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6" i="14"/>
  <c r="D227" i="14"/>
  <c r="D223" i="14"/>
  <c r="D204" i="14"/>
  <c r="D269" i="14" s="1"/>
  <c r="D203" i="14"/>
  <c r="D198" i="14"/>
  <c r="D290" i="14" s="1"/>
  <c r="D191" i="14"/>
  <c r="D264" i="14" s="1"/>
  <c r="D189" i="14"/>
  <c r="D278" i="14" s="1"/>
  <c r="D188" i="14"/>
  <c r="D206" i="14" s="1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92" i="14" s="1"/>
  <c r="D193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282" i="14" s="1"/>
  <c r="D17" i="14"/>
  <c r="E97" i="19"/>
  <c r="D97" i="19"/>
  <c r="C97" i="19"/>
  <c r="E96" i="19"/>
  <c r="D96" i="19"/>
  <c r="D98" i="19" s="1"/>
  <c r="C96" i="19"/>
  <c r="E92" i="19"/>
  <c r="D92" i="19"/>
  <c r="C92" i="19"/>
  <c r="E91" i="19"/>
  <c r="D91" i="19"/>
  <c r="D93" i="19" s="1"/>
  <c r="C91" i="19"/>
  <c r="E87" i="19"/>
  <c r="D87" i="19"/>
  <c r="C87" i="19"/>
  <c r="E86" i="19"/>
  <c r="D86" i="19"/>
  <c r="D88" i="19" s="1"/>
  <c r="C86" i="19"/>
  <c r="C88" i="19"/>
  <c r="E83" i="19"/>
  <c r="D83" i="19"/>
  <c r="C83" i="19"/>
  <c r="E76" i="19"/>
  <c r="E102" i="19" s="1"/>
  <c r="D76" i="19"/>
  <c r="D102" i="19" s="1"/>
  <c r="C76" i="19"/>
  <c r="E75" i="19"/>
  <c r="E77" i="19" s="1"/>
  <c r="D75" i="19"/>
  <c r="D77" i="19" s="1"/>
  <c r="D109" i="19" s="1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 s="1"/>
  <c r="C46" i="19" s="1"/>
  <c r="C34" i="19"/>
  <c r="D21" i="18"/>
  <c r="C21" i="18"/>
  <c r="E21" i="18" s="1"/>
  <c r="F21" i="18" s="1"/>
  <c r="D19" i="18"/>
  <c r="C19" i="18"/>
  <c r="E19" i="18" s="1"/>
  <c r="F19" i="18" s="1"/>
  <c r="E17" i="18"/>
  <c r="F17" i="18"/>
  <c r="E15" i="18"/>
  <c r="F15" i="18" s="1"/>
  <c r="D45" i="17"/>
  <c r="E45" i="17" s="1"/>
  <c r="C45" i="17"/>
  <c r="D44" i="17"/>
  <c r="C44" i="17"/>
  <c r="D43" i="17"/>
  <c r="D46" i="17" s="1"/>
  <c r="C43" i="17"/>
  <c r="D36" i="17"/>
  <c r="D40" i="17" s="1"/>
  <c r="C36" i="17"/>
  <c r="E35" i="17"/>
  <c r="F35" i="17" s="1"/>
  <c r="E34" i="17"/>
  <c r="F34" i="17" s="1"/>
  <c r="E33" i="17"/>
  <c r="E36" i="17"/>
  <c r="E30" i="17"/>
  <c r="F30" i="17" s="1"/>
  <c r="E29" i="17"/>
  <c r="F29" i="17" s="1"/>
  <c r="E28" i="17"/>
  <c r="F28" i="17" s="1"/>
  <c r="E27" i="17"/>
  <c r="F27" i="17"/>
  <c r="D25" i="17"/>
  <c r="D39" i="17" s="1"/>
  <c r="C25" i="17"/>
  <c r="C39" i="17" s="1"/>
  <c r="E24" i="17"/>
  <c r="F24" i="17" s="1"/>
  <c r="E23" i="17"/>
  <c r="F23" i="17" s="1"/>
  <c r="F22" i="17"/>
  <c r="E22" i="17"/>
  <c r="E25" i="17"/>
  <c r="F25" i="17" s="1"/>
  <c r="D19" i="17"/>
  <c r="D20" i="17" s="1"/>
  <c r="C19" i="17"/>
  <c r="E18" i="17"/>
  <c r="F18" i="17"/>
  <c r="D16" i="17"/>
  <c r="C16" i="17"/>
  <c r="E16" i="17" s="1"/>
  <c r="F16" i="17" s="1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C22" i="16" s="1"/>
  <c r="E328" i="15"/>
  <c r="E325" i="15"/>
  <c r="D324" i="15"/>
  <c r="D326" i="15"/>
  <c r="C324" i="15"/>
  <c r="C326" i="15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E301" i="15" s="1"/>
  <c r="D293" i="15"/>
  <c r="C293" i="15"/>
  <c r="D292" i="15"/>
  <c r="C292" i="15"/>
  <c r="D291" i="15"/>
  <c r="C291" i="15"/>
  <c r="D290" i="15"/>
  <c r="C290" i="15"/>
  <c r="E290" i="15" s="1"/>
  <c r="D288" i="15"/>
  <c r="E288" i="15" s="1"/>
  <c r="C288" i="15"/>
  <c r="D287" i="15"/>
  <c r="E287" i="15" s="1"/>
  <c r="C287" i="15"/>
  <c r="D282" i="15"/>
  <c r="E282" i="15" s="1"/>
  <c r="C282" i="15"/>
  <c r="D281" i="15"/>
  <c r="C281" i="15"/>
  <c r="D280" i="15"/>
  <c r="C280" i="15"/>
  <c r="E280" i="15"/>
  <c r="D279" i="15"/>
  <c r="C279" i="15"/>
  <c r="D278" i="15"/>
  <c r="C278" i="15"/>
  <c r="D277" i="15"/>
  <c r="E277" i="15"/>
  <c r="C277" i="15"/>
  <c r="D276" i="15"/>
  <c r="C276" i="15"/>
  <c r="E276" i="15"/>
  <c r="E270" i="15"/>
  <c r="D265" i="15"/>
  <c r="E265" i="15" s="1"/>
  <c r="D302" i="15"/>
  <c r="C265" i="15"/>
  <c r="C302" i="15"/>
  <c r="C303" i="15" s="1"/>
  <c r="C306" i="15" s="1"/>
  <c r="C310" i="15" s="1"/>
  <c r="D262" i="15"/>
  <c r="C262" i="15"/>
  <c r="E262" i="15" s="1"/>
  <c r="D251" i="15"/>
  <c r="C251" i="15"/>
  <c r="D233" i="15"/>
  <c r="C233" i="15"/>
  <c r="D232" i="15"/>
  <c r="C232" i="15"/>
  <c r="D231" i="15"/>
  <c r="C231" i="15"/>
  <c r="D230" i="15"/>
  <c r="E230" i="15" s="1"/>
  <c r="C230" i="15"/>
  <c r="D228" i="15"/>
  <c r="C228" i="15"/>
  <c r="D227" i="15"/>
  <c r="E227" i="15" s="1"/>
  <c r="C227" i="15"/>
  <c r="D221" i="15"/>
  <c r="D245" i="15" s="1"/>
  <c r="C221" i="15"/>
  <c r="C245" i="15" s="1"/>
  <c r="D220" i="15"/>
  <c r="D244" i="15" s="1"/>
  <c r="E244" i="15" s="1"/>
  <c r="C220" i="15"/>
  <c r="C244" i="15" s="1"/>
  <c r="D219" i="15"/>
  <c r="C219" i="15"/>
  <c r="C243" i="15" s="1"/>
  <c r="D218" i="15"/>
  <c r="D242" i="15" s="1"/>
  <c r="C218" i="15"/>
  <c r="D216" i="15"/>
  <c r="C216" i="15"/>
  <c r="C240" i="15" s="1"/>
  <c r="D215" i="15"/>
  <c r="C215" i="15"/>
  <c r="C239" i="15" s="1"/>
  <c r="E209" i="15"/>
  <c r="E208" i="15"/>
  <c r="E207" i="15"/>
  <c r="E206" i="15"/>
  <c r="D205" i="15"/>
  <c r="E205" i="15" s="1"/>
  <c r="C205" i="15"/>
  <c r="C229" i="15" s="1"/>
  <c r="E204" i="15"/>
  <c r="E203" i="15"/>
  <c r="E197" i="15"/>
  <c r="E196" i="15"/>
  <c r="D195" i="15"/>
  <c r="D260" i="15" s="1"/>
  <c r="C195" i="15"/>
  <c r="C260" i="15"/>
  <c r="E194" i="15"/>
  <c r="E193" i="15"/>
  <c r="E192" i="15"/>
  <c r="E191" i="15"/>
  <c r="E190" i="15"/>
  <c r="D189" i="15"/>
  <c r="D188" i="15"/>
  <c r="D261" i="15" s="1"/>
  <c r="C188" i="15"/>
  <c r="C189" i="15" s="1"/>
  <c r="E186" i="15"/>
  <c r="E185" i="15"/>
  <c r="D179" i="15"/>
  <c r="C179" i="15"/>
  <c r="E179" i="15" s="1"/>
  <c r="D178" i="15"/>
  <c r="C178" i="15"/>
  <c r="D177" i="15"/>
  <c r="C177" i="15"/>
  <c r="D176" i="15"/>
  <c r="C176" i="15"/>
  <c r="E176" i="15" s="1"/>
  <c r="D174" i="15"/>
  <c r="C174" i="15"/>
  <c r="E174" i="15" s="1"/>
  <c r="D173" i="15"/>
  <c r="E173" i="15"/>
  <c r="C173" i="15"/>
  <c r="D167" i="15"/>
  <c r="C167" i="15"/>
  <c r="D166" i="15"/>
  <c r="C166" i="15"/>
  <c r="D165" i="15"/>
  <c r="C165" i="15"/>
  <c r="D164" i="15"/>
  <c r="C164" i="15"/>
  <c r="D162" i="15"/>
  <c r="E162" i="15" s="1"/>
  <c r="C162" i="15"/>
  <c r="D161" i="15"/>
  <c r="C161" i="15"/>
  <c r="E161" i="15" s="1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D145" i="15" s="1"/>
  <c r="C139" i="15"/>
  <c r="C144" i="15"/>
  <c r="E138" i="15"/>
  <c r="E137" i="15"/>
  <c r="D75" i="15"/>
  <c r="E75" i="15"/>
  <c r="C75" i="15"/>
  <c r="D74" i="15"/>
  <c r="C74" i="15"/>
  <c r="E74" i="15"/>
  <c r="D73" i="15"/>
  <c r="C73" i="15"/>
  <c r="D72" i="15"/>
  <c r="C72" i="15"/>
  <c r="E72" i="15" s="1"/>
  <c r="D70" i="15"/>
  <c r="C70" i="15"/>
  <c r="D69" i="15"/>
  <c r="C69" i="15"/>
  <c r="E69" i="15" s="1"/>
  <c r="E64" i="15"/>
  <c r="E63" i="15"/>
  <c r="E62" i="15"/>
  <c r="E61" i="15"/>
  <c r="D60" i="15"/>
  <c r="D71" i="15" s="1"/>
  <c r="C60" i="15"/>
  <c r="C71" i="15" s="1"/>
  <c r="E59" i="15"/>
  <c r="E58" i="15"/>
  <c r="D54" i="15"/>
  <c r="D55" i="15" s="1"/>
  <c r="C54" i="15"/>
  <c r="C55" i="15" s="1"/>
  <c r="E53" i="15"/>
  <c r="E52" i="15"/>
  <c r="E51" i="15"/>
  <c r="E50" i="15"/>
  <c r="E49" i="15"/>
  <c r="E48" i="15"/>
  <c r="E47" i="15"/>
  <c r="D42" i="15"/>
  <c r="C42" i="15"/>
  <c r="D41" i="15"/>
  <c r="C41" i="15"/>
  <c r="D40" i="15"/>
  <c r="E40" i="15" s="1"/>
  <c r="C40" i="15"/>
  <c r="D39" i="15"/>
  <c r="C39" i="15"/>
  <c r="D38" i="15"/>
  <c r="C38" i="15"/>
  <c r="D37" i="15"/>
  <c r="E37" i="15" s="1"/>
  <c r="C37" i="15"/>
  <c r="C43" i="15" s="1"/>
  <c r="D36" i="15"/>
  <c r="E36" i="15" s="1"/>
  <c r="C36" i="15"/>
  <c r="D32" i="15"/>
  <c r="D33" i="15" s="1"/>
  <c r="C32" i="15"/>
  <c r="C33" i="15" s="1"/>
  <c r="E31" i="15"/>
  <c r="E30" i="15"/>
  <c r="E29" i="15"/>
  <c r="E28" i="15"/>
  <c r="E27" i="15"/>
  <c r="E26" i="15"/>
  <c r="E25" i="15"/>
  <c r="D21" i="15"/>
  <c r="C21" i="15"/>
  <c r="C22" i="15" s="1"/>
  <c r="C284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F330" i="14"/>
  <c r="E330" i="14"/>
  <c r="F329" i="14"/>
  <c r="E329" i="14"/>
  <c r="F316" i="14"/>
  <c r="E316" i="14"/>
  <c r="C311" i="14"/>
  <c r="F308" i="14"/>
  <c r="E308" i="14"/>
  <c r="C307" i="14"/>
  <c r="C299" i="14"/>
  <c r="C298" i="14"/>
  <c r="E298" i="14" s="1"/>
  <c r="C297" i="14"/>
  <c r="C296" i="14"/>
  <c r="E296" i="14" s="1"/>
  <c r="C295" i="14"/>
  <c r="E295" i="14" s="1"/>
  <c r="C294" i="14"/>
  <c r="E294" i="14" s="1"/>
  <c r="C250" i="14"/>
  <c r="C306" i="14" s="1"/>
  <c r="E249" i="14"/>
  <c r="F249" i="14" s="1"/>
  <c r="E248" i="14"/>
  <c r="F248" i="14" s="1"/>
  <c r="F245" i="14"/>
  <c r="E245" i="14"/>
  <c r="E244" i="14"/>
  <c r="F244" i="14" s="1"/>
  <c r="E243" i="14"/>
  <c r="F243" i="14" s="1"/>
  <c r="C238" i="14"/>
  <c r="E238" i="14" s="1"/>
  <c r="F238" i="14" s="1"/>
  <c r="C237" i="14"/>
  <c r="C239" i="14" s="1"/>
  <c r="E239" i="14" s="1"/>
  <c r="E234" i="14"/>
  <c r="F234" i="14" s="1"/>
  <c r="F233" i="14"/>
  <c r="E233" i="14"/>
  <c r="E230" i="14"/>
  <c r="C230" i="14"/>
  <c r="E229" i="14"/>
  <c r="C229" i="14"/>
  <c r="F228" i="14"/>
  <c r="E228" i="14"/>
  <c r="C226" i="14"/>
  <c r="E225" i="14"/>
  <c r="F225" i="14"/>
  <c r="E224" i="14"/>
  <c r="F224" i="14"/>
  <c r="C223" i="14"/>
  <c r="E223" i="14"/>
  <c r="E222" i="14"/>
  <c r="F222" i="14"/>
  <c r="E221" i="14"/>
  <c r="F221" i="14"/>
  <c r="C204" i="14"/>
  <c r="E204" i="14"/>
  <c r="C203" i="14"/>
  <c r="E203" i="14"/>
  <c r="C198" i="14"/>
  <c r="E198" i="14" s="1"/>
  <c r="E191" i="14"/>
  <c r="C191" i="14"/>
  <c r="C264" i="14"/>
  <c r="C189" i="14"/>
  <c r="C278" i="14"/>
  <c r="C188" i="14"/>
  <c r="C261" i="14" s="1"/>
  <c r="C180" i="14"/>
  <c r="E180" i="14" s="1"/>
  <c r="F180" i="14" s="1"/>
  <c r="C179" i="14"/>
  <c r="C171" i="14"/>
  <c r="E171" i="14" s="1"/>
  <c r="C170" i="14"/>
  <c r="E170" i="14" s="1"/>
  <c r="E169" i="14"/>
  <c r="F169" i="14" s="1"/>
  <c r="E168" i="14"/>
  <c r="F168" i="14" s="1"/>
  <c r="C165" i="14"/>
  <c r="C164" i="14"/>
  <c r="E164" i="14" s="1"/>
  <c r="F164" i="14" s="1"/>
  <c r="E163" i="14"/>
  <c r="F163" i="14" s="1"/>
  <c r="C158" i="14"/>
  <c r="E158" i="14" s="1"/>
  <c r="F158" i="14" s="1"/>
  <c r="E157" i="14"/>
  <c r="F157" i="14" s="1"/>
  <c r="E156" i="14"/>
  <c r="F156" i="14" s="1"/>
  <c r="C155" i="14"/>
  <c r="E155" i="14" s="1"/>
  <c r="E154" i="14"/>
  <c r="F154" i="14" s="1"/>
  <c r="E153" i="14"/>
  <c r="F153" i="14" s="1"/>
  <c r="C145" i="14"/>
  <c r="E145" i="14" s="1"/>
  <c r="F145" i="14" s="1"/>
  <c r="C144" i="14"/>
  <c r="E144" i="14" s="1"/>
  <c r="C136" i="14"/>
  <c r="C137" i="14" s="1"/>
  <c r="C135" i="14"/>
  <c r="E135" i="14" s="1"/>
  <c r="E134" i="14"/>
  <c r="F134" i="14" s="1"/>
  <c r="E133" i="14"/>
  <c r="F133" i="14" s="1"/>
  <c r="C130" i="14"/>
  <c r="E130" i="14" s="1"/>
  <c r="C129" i="14"/>
  <c r="E129" i="14" s="1"/>
  <c r="E128" i="14"/>
  <c r="F128" i="14" s="1"/>
  <c r="C123" i="14"/>
  <c r="C192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E110" i="14" s="1"/>
  <c r="E109" i="14"/>
  <c r="C109" i="14"/>
  <c r="C111" i="14"/>
  <c r="C101" i="14"/>
  <c r="C102" i="14" s="1"/>
  <c r="C103" i="14" s="1"/>
  <c r="C100" i="14"/>
  <c r="E100" i="14" s="1"/>
  <c r="E99" i="14"/>
  <c r="F99" i="14" s="1"/>
  <c r="E98" i="14"/>
  <c r="F98" i="14" s="1"/>
  <c r="C95" i="14"/>
  <c r="E95" i="14" s="1"/>
  <c r="C94" i="14"/>
  <c r="E94" i="14" s="1"/>
  <c r="E93" i="14"/>
  <c r="F93" i="14" s="1"/>
  <c r="C88" i="14"/>
  <c r="C89" i="14" s="1"/>
  <c r="E87" i="14"/>
  <c r="F87" i="14" s="1"/>
  <c r="E86" i="14"/>
  <c r="F86" i="14" s="1"/>
  <c r="C85" i="14"/>
  <c r="E85" i="14" s="1"/>
  <c r="E84" i="14"/>
  <c r="F84" i="14" s="1"/>
  <c r="E83" i="14"/>
  <c r="F83" i="14" s="1"/>
  <c r="E76" i="14"/>
  <c r="C76" i="14"/>
  <c r="C77" i="14" s="1"/>
  <c r="E77" i="14" s="1"/>
  <c r="F76" i="14"/>
  <c r="E74" i="14"/>
  <c r="F74" i="14" s="1"/>
  <c r="E73" i="14"/>
  <c r="F73" i="14" s="1"/>
  <c r="C67" i="14"/>
  <c r="E67" i="14"/>
  <c r="C66" i="14"/>
  <c r="E66" i="14" s="1"/>
  <c r="C59" i="14"/>
  <c r="C60" i="14" s="1"/>
  <c r="C58" i="14"/>
  <c r="E58" i="14" s="1"/>
  <c r="E57" i="14"/>
  <c r="F57" i="14" s="1"/>
  <c r="E56" i="14"/>
  <c r="F56" i="14" s="1"/>
  <c r="C53" i="14"/>
  <c r="E53" i="14" s="1"/>
  <c r="C52" i="14"/>
  <c r="E52" i="14" s="1"/>
  <c r="E51" i="14"/>
  <c r="F51" i="14" s="1"/>
  <c r="C47" i="14"/>
  <c r="E47" i="14" s="1"/>
  <c r="E46" i="14"/>
  <c r="F46" i="14"/>
  <c r="E45" i="14"/>
  <c r="F45" i="14"/>
  <c r="C44" i="14"/>
  <c r="E44" i="14"/>
  <c r="E43" i="14"/>
  <c r="F43" i="14"/>
  <c r="E42" i="14"/>
  <c r="F42" i="14"/>
  <c r="C36" i="14"/>
  <c r="C37" i="14"/>
  <c r="C35" i="14"/>
  <c r="E35" i="14" s="1"/>
  <c r="F35" i="14" s="1"/>
  <c r="C30" i="14"/>
  <c r="C31" i="14" s="1"/>
  <c r="C29" i="14"/>
  <c r="E29" i="14" s="1"/>
  <c r="E28" i="14"/>
  <c r="F28" i="14" s="1"/>
  <c r="E27" i="14"/>
  <c r="F27" i="14" s="1"/>
  <c r="C24" i="14"/>
  <c r="E24" i="14"/>
  <c r="C23" i="14"/>
  <c r="E22" i="14"/>
  <c r="F22" i="14" s="1"/>
  <c r="C20" i="14"/>
  <c r="E20" i="14" s="1"/>
  <c r="E19" i="14"/>
  <c r="F19" i="14" s="1"/>
  <c r="E18" i="14"/>
  <c r="F18" i="14" s="1"/>
  <c r="C17" i="14"/>
  <c r="E17" i="14"/>
  <c r="F17" i="14" s="1"/>
  <c r="E16" i="14"/>
  <c r="F16" i="14" s="1"/>
  <c r="E15" i="14"/>
  <c r="F15" i="14" s="1"/>
  <c r="D23" i="13"/>
  <c r="C23" i="13"/>
  <c r="E22" i="13"/>
  <c r="F22" i="13" s="1"/>
  <c r="D19" i="13"/>
  <c r="C19" i="13"/>
  <c r="E19" i="13"/>
  <c r="E18" i="13"/>
  <c r="F18" i="13"/>
  <c r="E17" i="13"/>
  <c r="F17" i="13"/>
  <c r="D14" i="13"/>
  <c r="C14" i="13"/>
  <c r="E14" i="13" s="1"/>
  <c r="E13" i="13"/>
  <c r="F13" i="13" s="1"/>
  <c r="E12" i="13"/>
  <c r="F12" i="13" s="1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E84" i="12" s="1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E70" i="12" s="1"/>
  <c r="F70" i="12" s="1"/>
  <c r="C70" i="12"/>
  <c r="E69" i="12"/>
  <c r="F69" i="12" s="1"/>
  <c r="E68" i="12"/>
  <c r="F68" i="12" s="1"/>
  <c r="D65" i="12"/>
  <c r="E65" i="12" s="1"/>
  <c r="F65" i="12" s="1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E55" i="12" s="1"/>
  <c r="C55" i="12"/>
  <c r="F55" i="12"/>
  <c r="F54" i="12"/>
  <c r="E54" i="12"/>
  <c r="F53" i="12"/>
  <c r="E53" i="12"/>
  <c r="D50" i="12"/>
  <c r="E50" i="12" s="1"/>
  <c r="C50" i="12"/>
  <c r="F50" i="12"/>
  <c r="F49" i="12"/>
  <c r="E49" i="12"/>
  <c r="F48" i="12"/>
  <c r="E48" i="12"/>
  <c r="D45" i="12"/>
  <c r="C45" i="12"/>
  <c r="F45" i="12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/>
  <c r="E12" i="12"/>
  <c r="F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3" i="11" s="1"/>
  <c r="E36" i="11" s="1"/>
  <c r="E38" i="11" s="1"/>
  <c r="D17" i="11"/>
  <c r="D33" i="11" s="1"/>
  <c r="D36" i="11" s="1"/>
  <c r="D38" i="11" s="1"/>
  <c r="C17" i="11"/>
  <c r="C31" i="11"/>
  <c r="I16" i="11"/>
  <c r="H16" i="11"/>
  <c r="I15" i="11"/>
  <c r="H15" i="11"/>
  <c r="I13" i="11"/>
  <c r="H13" i="11"/>
  <c r="I11" i="11"/>
  <c r="H11" i="11"/>
  <c r="E79" i="10"/>
  <c r="E80" i="10"/>
  <c r="D79" i="10"/>
  <c r="C79" i="10"/>
  <c r="E78" i="10"/>
  <c r="D78" i="10"/>
  <c r="D80" i="10" s="1"/>
  <c r="D77" i="10" s="1"/>
  <c r="C78" i="10"/>
  <c r="E77" i="10"/>
  <c r="E73" i="10"/>
  <c r="E75" i="10" s="1"/>
  <c r="D73" i="10"/>
  <c r="D75" i="10" s="1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 s="1"/>
  <c r="E54" i="10"/>
  <c r="D54" i="10"/>
  <c r="C54" i="10"/>
  <c r="E46" i="10"/>
  <c r="D46" i="10"/>
  <c r="D48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F46" i="9" s="1"/>
  <c r="F45" i="9"/>
  <c r="E45" i="9"/>
  <c r="F44" i="9"/>
  <c r="E44" i="9"/>
  <c r="D39" i="9"/>
  <c r="C39" i="9"/>
  <c r="E39" i="9" s="1"/>
  <c r="E38" i="9"/>
  <c r="F38" i="9"/>
  <c r="F37" i="9"/>
  <c r="E37" i="9"/>
  <c r="E36" i="9"/>
  <c r="F36" i="9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 s="1"/>
  <c r="D16" i="9"/>
  <c r="D19" i="9" s="1"/>
  <c r="D33" i="9" s="1"/>
  <c r="D41" i="9" s="1"/>
  <c r="D48" i="9" s="1"/>
  <c r="C16" i="9"/>
  <c r="F15" i="9"/>
  <c r="E15" i="9"/>
  <c r="E14" i="9"/>
  <c r="F14" i="9" s="1"/>
  <c r="E13" i="9"/>
  <c r="F13" i="9" s="1"/>
  <c r="E12" i="9"/>
  <c r="F12" i="9" s="1"/>
  <c r="D73" i="8"/>
  <c r="E73" i="8" s="1"/>
  <c r="C73" i="8"/>
  <c r="E72" i="8"/>
  <c r="F72" i="8" s="1"/>
  <c r="E71" i="8"/>
  <c r="F71" i="8"/>
  <c r="E70" i="8"/>
  <c r="F70" i="8"/>
  <c r="F67" i="8"/>
  <c r="E67" i="8"/>
  <c r="E64" i="8"/>
  <c r="F64" i="8"/>
  <c r="F63" i="8"/>
  <c r="E63" i="8"/>
  <c r="D61" i="8"/>
  <c r="D65" i="8"/>
  <c r="C61" i="8"/>
  <c r="C65" i="8"/>
  <c r="E60" i="8"/>
  <c r="F60" i="8"/>
  <c r="F59" i="8"/>
  <c r="E59" i="8"/>
  <c r="D56" i="8"/>
  <c r="C56" i="8"/>
  <c r="E55" i="8"/>
  <c r="F55" i="8"/>
  <c r="E54" i="8"/>
  <c r="F54" i="8" s="1"/>
  <c r="F53" i="8"/>
  <c r="E53" i="8"/>
  <c r="F52" i="8"/>
  <c r="E52" i="8"/>
  <c r="E51" i="8"/>
  <c r="F51" i="8" s="1"/>
  <c r="E50" i="8"/>
  <c r="F50" i="8" s="1"/>
  <c r="A50" i="8"/>
  <c r="A51" i="8"/>
  <c r="A52" i="8" s="1"/>
  <c r="A53" i="8" s="1"/>
  <c r="A54" i="8" s="1"/>
  <c r="A55" i="8" s="1"/>
  <c r="E49" i="8"/>
  <c r="F49" i="8"/>
  <c r="F40" i="8"/>
  <c r="E40" i="8"/>
  <c r="D38" i="8"/>
  <c r="D41" i="8" s="1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F28" i="8"/>
  <c r="E28" i="8"/>
  <c r="F27" i="8"/>
  <c r="E27" i="8"/>
  <c r="F26" i="8"/>
  <c r="E26" i="8"/>
  <c r="E25" i="8"/>
  <c r="F25" i="8" s="1"/>
  <c r="D22" i="8"/>
  <c r="C22" i="8"/>
  <c r="E21" i="8"/>
  <c r="F21" i="8" s="1"/>
  <c r="E20" i="8"/>
  <c r="F20" i="8" s="1"/>
  <c r="E19" i="8"/>
  <c r="F19" i="8" s="1"/>
  <c r="F18" i="8"/>
  <c r="E18" i="8"/>
  <c r="F17" i="8"/>
  <c r="E17" i="8"/>
  <c r="F16" i="8"/>
  <c r="E16" i="8"/>
  <c r="E15" i="8"/>
  <c r="F15" i="8" s="1"/>
  <c r="F14" i="8"/>
  <c r="E14" i="8"/>
  <c r="E13" i="8"/>
  <c r="F13" i="8" s="1"/>
  <c r="D120" i="7"/>
  <c r="C120" i="7"/>
  <c r="E120" i="7"/>
  <c r="D119" i="7"/>
  <c r="C119" i="7"/>
  <c r="D118" i="7"/>
  <c r="E118" i="7" s="1"/>
  <c r="C118" i="7"/>
  <c r="D117" i="7"/>
  <c r="C117" i="7"/>
  <c r="D116" i="7"/>
  <c r="C116" i="7"/>
  <c r="E116" i="7" s="1"/>
  <c r="D115" i="7"/>
  <c r="C115" i="7"/>
  <c r="D114" i="7"/>
  <c r="E114" i="7" s="1"/>
  <c r="C114" i="7"/>
  <c r="D113" i="7"/>
  <c r="D122" i="7" s="1"/>
  <c r="C113" i="7"/>
  <c r="D112" i="7"/>
  <c r="D121" i="7" s="1"/>
  <c r="C112" i="7"/>
  <c r="C121" i="7" s="1"/>
  <c r="D108" i="7"/>
  <c r="E108" i="7" s="1"/>
  <c r="C108" i="7"/>
  <c r="D107" i="7"/>
  <c r="E107" i="7" s="1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E96" i="7" s="1"/>
  <c r="C96" i="7"/>
  <c r="D95" i="7"/>
  <c r="C95" i="7"/>
  <c r="F94" i="7"/>
  <c r="E94" i="7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/>
  <c r="E50" i="7"/>
  <c r="F50" i="7"/>
  <c r="D48" i="7"/>
  <c r="C48" i="7"/>
  <c r="D47" i="7"/>
  <c r="C47" i="7"/>
  <c r="F46" i="7"/>
  <c r="E46" i="7"/>
  <c r="E45" i="7"/>
  <c r="F45" i="7" s="1"/>
  <c r="E44" i="7"/>
  <c r="F44" i="7" s="1"/>
  <c r="F43" i="7"/>
  <c r="E43" i="7"/>
  <c r="F42" i="7"/>
  <c r="E42" i="7"/>
  <c r="E41" i="7"/>
  <c r="F41" i="7" s="1"/>
  <c r="E40" i="7"/>
  <c r="F40" i="7" s="1"/>
  <c r="F39" i="7"/>
  <c r="E39" i="7"/>
  <c r="F38" i="7"/>
  <c r="E38" i="7"/>
  <c r="D36" i="7"/>
  <c r="C36" i="7"/>
  <c r="E36" i="7" s="1"/>
  <c r="D35" i="7"/>
  <c r="E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E24" i="7" s="1"/>
  <c r="F24" i="7" s="1"/>
  <c r="C24" i="7"/>
  <c r="D23" i="7"/>
  <c r="E23" i="7" s="1"/>
  <c r="C23" i="7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F16" i="7"/>
  <c r="E16" i="7"/>
  <c r="E15" i="7"/>
  <c r="F15" i="7" s="1"/>
  <c r="E14" i="7"/>
  <c r="F14" i="7" s="1"/>
  <c r="D206" i="6"/>
  <c r="E206" i="6" s="1"/>
  <c r="C206" i="6"/>
  <c r="D205" i="6"/>
  <c r="E205" i="6" s="1"/>
  <c r="C205" i="6"/>
  <c r="D204" i="6"/>
  <c r="C204" i="6"/>
  <c r="E204" i="6" s="1"/>
  <c r="D203" i="6"/>
  <c r="E203" i="6" s="1"/>
  <c r="C203" i="6"/>
  <c r="F203" i="6" s="1"/>
  <c r="D202" i="6"/>
  <c r="E202" i="6" s="1"/>
  <c r="C202" i="6"/>
  <c r="D201" i="6"/>
  <c r="C201" i="6"/>
  <c r="D200" i="6"/>
  <c r="E200" i="6" s="1"/>
  <c r="C200" i="6"/>
  <c r="D199" i="6"/>
  <c r="D208" i="6" s="1"/>
  <c r="E208" i="6" s="1"/>
  <c r="C199" i="6"/>
  <c r="C208" i="6" s="1"/>
  <c r="D198" i="6"/>
  <c r="D207" i="6" s="1"/>
  <c r="C198" i="6"/>
  <c r="E198" i="6" s="1"/>
  <c r="D193" i="6"/>
  <c r="C193" i="6"/>
  <c r="D192" i="6"/>
  <c r="E192" i="6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F186" i="6"/>
  <c r="E186" i="6"/>
  <c r="E185" i="6"/>
  <c r="F185" i="6" s="1"/>
  <c r="E184" i="6"/>
  <c r="F184" i="6" s="1"/>
  <c r="E183" i="6"/>
  <c r="F183" i="6" s="1"/>
  <c r="D180" i="6"/>
  <c r="C180" i="6"/>
  <c r="E180" i="6" s="1"/>
  <c r="D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/>
  <c r="F154" i="6" s="1"/>
  <c r="D153" i="6"/>
  <c r="C153" i="6"/>
  <c r="E153" i="6" s="1"/>
  <c r="F153" i="6" s="1"/>
  <c r="F152" i="6"/>
  <c r="E152" i="6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F144" i="6"/>
  <c r="E144" i="6"/>
  <c r="D141" i="6"/>
  <c r="E141" i="6" s="1"/>
  <c r="C141" i="6"/>
  <c r="D140" i="6"/>
  <c r="C140" i="6"/>
  <c r="F139" i="6"/>
  <c r="E139" i="6"/>
  <c r="E138" i="6"/>
  <c r="F138" i="6" s="1"/>
  <c r="E137" i="6"/>
  <c r="F137" i="6" s="1"/>
  <c r="F136" i="6"/>
  <c r="E136" i="6"/>
  <c r="F135" i="6"/>
  <c r="E135" i="6"/>
  <c r="F134" i="6"/>
  <c r="E134" i="6"/>
  <c r="E133" i="6"/>
  <c r="F133" i="6" s="1"/>
  <c r="F132" i="6"/>
  <c r="E132" i="6"/>
  <c r="F131" i="6"/>
  <c r="E131" i="6"/>
  <c r="D128" i="6"/>
  <c r="C128" i="6"/>
  <c r="E128" i="6" s="1"/>
  <c r="F128" i="6" s="1"/>
  <c r="D127" i="6"/>
  <c r="C127" i="6"/>
  <c r="E127" i="6"/>
  <c r="F127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F120" i="6"/>
  <c r="E120" i="6"/>
  <c r="E119" i="6"/>
  <c r="F119" i="6" s="1"/>
  <c r="E118" i="6"/>
  <c r="F118" i="6" s="1"/>
  <c r="D115" i="6"/>
  <c r="C115" i="6"/>
  <c r="D114" i="6"/>
  <c r="C114" i="6"/>
  <c r="E114" i="6" s="1"/>
  <c r="E113" i="6"/>
  <c r="F113" i="6" s="1"/>
  <c r="F112" i="6"/>
  <c r="E112" i="6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E102" i="6"/>
  <c r="D101" i="6"/>
  <c r="C101" i="6"/>
  <c r="E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 s="1"/>
  <c r="D88" i="6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E63" i="6" s="1"/>
  <c r="D62" i="6"/>
  <c r="E62" i="6" s="1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F54" i="6"/>
  <c r="E54" i="6"/>
  <c r="E53" i="6"/>
  <c r="F53" i="6" s="1"/>
  <c r="D50" i="6"/>
  <c r="C50" i="6"/>
  <c r="E50" i="6" s="1"/>
  <c r="F50" i="6" s="1"/>
  <c r="D49" i="6"/>
  <c r="C49" i="6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F42" i="6"/>
  <c r="E42" i="6"/>
  <c r="E41" i="6"/>
  <c r="F41" i="6" s="1"/>
  <c r="E40" i="6"/>
  <c r="F40" i="6" s="1"/>
  <c r="D37" i="6"/>
  <c r="C37" i="6"/>
  <c r="D36" i="6"/>
  <c r="C36" i="6"/>
  <c r="E36" i="6" s="1"/>
  <c r="E35" i="6"/>
  <c r="F35" i="6" s="1"/>
  <c r="F34" i="6"/>
  <c r="E34" i="6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C24" i="6"/>
  <c r="E24" i="6"/>
  <c r="D23" i="6"/>
  <c r="C23" i="6"/>
  <c r="E23" i="6" s="1"/>
  <c r="E22" i="6"/>
  <c r="F22" i="6" s="1"/>
  <c r="E21" i="6"/>
  <c r="F21" i="6" s="1"/>
  <c r="F20" i="6"/>
  <c r="E20" i="6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D166" i="5" s="1"/>
  <c r="C164" i="5"/>
  <c r="C160" i="5" s="1"/>
  <c r="E162" i="5"/>
  <c r="D162" i="5"/>
  <c r="C162" i="5"/>
  <c r="E161" i="5"/>
  <c r="D161" i="5"/>
  <c r="C161" i="5"/>
  <c r="E160" i="5"/>
  <c r="E147" i="5"/>
  <c r="E143" i="5" s="1"/>
  <c r="D147" i="5"/>
  <c r="D143" i="5"/>
  <c r="C147" i="5"/>
  <c r="C143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C109" i="5" s="1"/>
  <c r="C106" i="5" s="1"/>
  <c r="E102" i="5"/>
  <c r="E104" i="5" s="1"/>
  <c r="D102" i="5"/>
  <c r="D104" i="5" s="1"/>
  <c r="C102" i="5"/>
  <c r="C104" i="5"/>
  <c r="E100" i="5"/>
  <c r="D100" i="5"/>
  <c r="C100" i="5"/>
  <c r="E95" i="5"/>
  <c r="E94" i="5" s="1"/>
  <c r="D95" i="5"/>
  <c r="D94" i="5"/>
  <c r="C95" i="5"/>
  <c r="C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C79" i="5" s="1"/>
  <c r="E75" i="5"/>
  <c r="E88" i="5"/>
  <c r="E90" i="5" s="1"/>
  <c r="E86" i="5" s="1"/>
  <c r="D75" i="5"/>
  <c r="D88" i="5" s="1"/>
  <c r="D90" i="5" s="1"/>
  <c r="D86" i="5" s="1"/>
  <c r="D77" i="5"/>
  <c r="D71" i="5" s="1"/>
  <c r="C75" i="5"/>
  <c r="C88" i="5" s="1"/>
  <c r="C90" i="5" s="1"/>
  <c r="C86" i="5" s="1"/>
  <c r="E74" i="5"/>
  <c r="D74" i="5"/>
  <c r="C74" i="5"/>
  <c r="E67" i="5"/>
  <c r="D67" i="5"/>
  <c r="C67" i="5"/>
  <c r="E38" i="5"/>
  <c r="E43" i="5" s="1"/>
  <c r="D38" i="5"/>
  <c r="D53" i="5" s="1"/>
  <c r="C38" i="5"/>
  <c r="C49" i="5" s="1"/>
  <c r="D34" i="5"/>
  <c r="E33" i="5"/>
  <c r="E34" i="5"/>
  <c r="D33" i="5"/>
  <c r="E26" i="5"/>
  <c r="D26" i="5"/>
  <c r="C26" i="5"/>
  <c r="E13" i="5"/>
  <c r="E25" i="5" s="1"/>
  <c r="D13" i="5"/>
  <c r="D25" i="5" s="1"/>
  <c r="D27" i="5" s="1"/>
  <c r="C13" i="5"/>
  <c r="C25" i="5" s="1"/>
  <c r="C27" i="5" s="1"/>
  <c r="C21" i="5" s="1"/>
  <c r="E174" i="4"/>
  <c r="F174" i="4" s="1"/>
  <c r="D171" i="4"/>
  <c r="E171" i="4" s="1"/>
  <c r="C171" i="4"/>
  <c r="F170" i="4"/>
  <c r="E170" i="4"/>
  <c r="F169" i="4"/>
  <c r="E169" i="4"/>
  <c r="F168" i="4"/>
  <c r="E168" i="4"/>
  <c r="E167" i="4"/>
  <c r="F167" i="4" s="1"/>
  <c r="F166" i="4"/>
  <c r="E166" i="4"/>
  <c r="F165" i="4"/>
  <c r="E165" i="4"/>
  <c r="F164" i="4"/>
  <c r="E164" i="4"/>
  <c r="E163" i="4"/>
  <c r="F163" i="4" s="1"/>
  <c r="F162" i="4"/>
  <c r="E162" i="4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 s="1"/>
  <c r="E144" i="4"/>
  <c r="F144" i="4" s="1"/>
  <c r="F143" i="4"/>
  <c r="E143" i="4"/>
  <c r="E142" i="4"/>
  <c r="F142" i="4" s="1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F135" i="4"/>
  <c r="E135" i="4"/>
  <c r="E134" i="4"/>
  <c r="F134" i="4" s="1"/>
  <c r="F133" i="4"/>
  <c r="E133" i="4"/>
  <c r="E132" i="4"/>
  <c r="F132" i="4" s="1"/>
  <c r="F131" i="4"/>
  <c r="E131" i="4"/>
  <c r="E130" i="4"/>
  <c r="F130" i="4" s="1"/>
  <c r="F129" i="4"/>
  <c r="E129" i="4"/>
  <c r="E128" i="4"/>
  <c r="F128" i="4" s="1"/>
  <c r="F127" i="4"/>
  <c r="E127" i="4"/>
  <c r="E126" i="4"/>
  <c r="F126" i="4" s="1"/>
  <c r="F125" i="4"/>
  <c r="E125" i="4"/>
  <c r="F124" i="4"/>
  <c r="E124" i="4"/>
  <c r="F123" i="4"/>
  <c r="E123" i="4"/>
  <c r="E122" i="4"/>
  <c r="F122" i="4" s="1"/>
  <c r="E121" i="4"/>
  <c r="F121" i="4" s="1"/>
  <c r="D118" i="4"/>
  <c r="C118" i="4"/>
  <c r="F117" i="4"/>
  <c r="E117" i="4"/>
  <c r="E116" i="4"/>
  <c r="F116" i="4" s="1"/>
  <c r="E115" i="4"/>
  <c r="F115" i="4" s="1"/>
  <c r="F114" i="4"/>
  <c r="E114" i="4"/>
  <c r="F113" i="4"/>
  <c r="E113" i="4"/>
  <c r="F112" i="4"/>
  <c r="E112" i="4"/>
  <c r="D109" i="4"/>
  <c r="E109" i="4" s="1"/>
  <c r="C109" i="4"/>
  <c r="E108" i="4"/>
  <c r="F108" i="4" s="1"/>
  <c r="E107" i="4"/>
  <c r="F107" i="4" s="1"/>
  <c r="E106" i="4"/>
  <c r="F106" i="4" s="1"/>
  <c r="F105" i="4"/>
  <c r="E105" i="4"/>
  <c r="E104" i="4"/>
  <c r="F104" i="4" s="1"/>
  <c r="E103" i="4"/>
  <c r="F103" i="4" s="1"/>
  <c r="E102" i="4"/>
  <c r="F102" i="4" s="1"/>
  <c r="F101" i="4"/>
  <c r="E101" i="4"/>
  <c r="E100" i="4"/>
  <c r="F100" i="4" s="1"/>
  <c r="E99" i="4"/>
  <c r="F99" i="4" s="1"/>
  <c r="E98" i="4"/>
  <c r="F98" i="4" s="1"/>
  <c r="F97" i="4"/>
  <c r="E97" i="4"/>
  <c r="E96" i="4"/>
  <c r="F96" i="4" s="1"/>
  <c r="E95" i="4"/>
  <c r="F95" i="4" s="1"/>
  <c r="E94" i="4"/>
  <c r="F94" i="4" s="1"/>
  <c r="F93" i="4"/>
  <c r="E93" i="4"/>
  <c r="E92" i="4"/>
  <c r="F92" i="4" s="1"/>
  <c r="E91" i="4"/>
  <c r="F91" i="4" s="1"/>
  <c r="E81" i="4"/>
  <c r="F81" i="4" s="1"/>
  <c r="D78" i="4"/>
  <c r="E78" i="4" s="1"/>
  <c r="C78" i="4"/>
  <c r="F77" i="4"/>
  <c r="E77" i="4"/>
  <c r="E76" i="4"/>
  <c r="F76" i="4" s="1"/>
  <c r="E75" i="4"/>
  <c r="F75" i="4" s="1"/>
  <c r="E74" i="4"/>
  <c r="F74" i="4" s="1"/>
  <c r="E73" i="4"/>
  <c r="F73" i="4" s="1"/>
  <c r="F72" i="4"/>
  <c r="E72" i="4"/>
  <c r="F71" i="4"/>
  <c r="E71" i="4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F63" i="4"/>
  <c r="E63" i="4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F54" i="4"/>
  <c r="E54" i="4"/>
  <c r="E53" i="4"/>
  <c r="F53" i="4" s="1"/>
  <c r="E50" i="4"/>
  <c r="F50" i="4" s="1"/>
  <c r="E47" i="4"/>
  <c r="F47" i="4" s="1"/>
  <c r="E44" i="4"/>
  <c r="F44" i="4" s="1"/>
  <c r="D41" i="4"/>
  <c r="C41" i="4"/>
  <c r="E40" i="4"/>
  <c r="F40" i="4" s="1"/>
  <c r="E39" i="4"/>
  <c r="F39" i="4" s="1"/>
  <c r="E38" i="4"/>
  <c r="F38" i="4" s="1"/>
  <c r="D35" i="4"/>
  <c r="C35" i="4"/>
  <c r="E34" i="4"/>
  <c r="F34" i="4" s="1"/>
  <c r="E33" i="4"/>
  <c r="F33" i="4"/>
  <c r="D30" i="4"/>
  <c r="E30" i="4"/>
  <c r="C30" i="4"/>
  <c r="F30" i="4"/>
  <c r="E29" i="4"/>
  <c r="F29" i="4" s="1"/>
  <c r="E28" i="4"/>
  <c r="F28" i="4" s="1"/>
  <c r="E27" i="4"/>
  <c r="F27" i="4" s="1"/>
  <c r="D24" i="4"/>
  <c r="C24" i="4"/>
  <c r="E23" i="4"/>
  <c r="F23" i="4"/>
  <c r="E22" i="4"/>
  <c r="F22" i="4" s="1"/>
  <c r="E21" i="4"/>
  <c r="F21" i="4" s="1"/>
  <c r="D18" i="4"/>
  <c r="E18" i="4" s="1"/>
  <c r="C18" i="4"/>
  <c r="E17" i="4"/>
  <c r="F17" i="4" s="1"/>
  <c r="E16" i="4"/>
  <c r="F16" i="4"/>
  <c r="E15" i="4"/>
  <c r="F15" i="4" s="1"/>
  <c r="D179" i="3"/>
  <c r="E179" i="3" s="1"/>
  <c r="C179" i="3"/>
  <c r="F178" i="3"/>
  <c r="E178" i="3"/>
  <c r="E177" i="3"/>
  <c r="F177" i="3" s="1"/>
  <c r="E176" i="3"/>
  <c r="F176" i="3"/>
  <c r="E175" i="3"/>
  <c r="F175" i="3" s="1"/>
  <c r="E174" i="3"/>
  <c r="F174" i="3" s="1"/>
  <c r="E173" i="3"/>
  <c r="F173" i="3" s="1"/>
  <c r="E172" i="3"/>
  <c r="F172" i="3"/>
  <c r="E171" i="3"/>
  <c r="F171" i="3" s="1"/>
  <c r="E170" i="3"/>
  <c r="F170" i="3" s="1"/>
  <c r="E169" i="3"/>
  <c r="F169" i="3" s="1"/>
  <c r="E168" i="3"/>
  <c r="F168" i="3"/>
  <c r="D166" i="3"/>
  <c r="E166" i="3"/>
  <c r="C166" i="3"/>
  <c r="F165" i="3"/>
  <c r="E165" i="3"/>
  <c r="E164" i="3"/>
  <c r="F164" i="3" s="1"/>
  <c r="E163" i="3"/>
  <c r="F163" i="3" s="1"/>
  <c r="E162" i="3"/>
  <c r="F162" i="3" s="1"/>
  <c r="F161" i="3"/>
  <c r="E161" i="3"/>
  <c r="E160" i="3"/>
  <c r="F160" i="3" s="1"/>
  <c r="E159" i="3"/>
  <c r="F159" i="3" s="1"/>
  <c r="E158" i="3"/>
  <c r="F158" i="3" s="1"/>
  <c r="F157" i="3"/>
  <c r="E157" i="3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F149" i="3"/>
  <c r="E149" i="3"/>
  <c r="E148" i="3"/>
  <c r="F148" i="3" s="1"/>
  <c r="E147" i="3"/>
  <c r="F147" i="3" s="1"/>
  <c r="E146" i="3"/>
  <c r="F146" i="3" s="1"/>
  <c r="F145" i="3"/>
  <c r="E145" i="3"/>
  <c r="E144" i="3"/>
  <c r="F144" i="3" s="1"/>
  <c r="E143" i="3"/>
  <c r="F143" i="3" s="1"/>
  <c r="E142" i="3"/>
  <c r="F142" i="3" s="1"/>
  <c r="D137" i="3"/>
  <c r="E137" i="3" s="1"/>
  <c r="C137" i="3"/>
  <c r="F136" i="3"/>
  <c r="E136" i="3"/>
  <c r="E135" i="3"/>
  <c r="F135" i="3" s="1"/>
  <c r="E134" i="3"/>
  <c r="F134" i="3" s="1"/>
  <c r="E133" i="3"/>
  <c r="F133" i="3" s="1"/>
  <c r="F132" i="3"/>
  <c r="E132" i="3"/>
  <c r="E131" i="3"/>
  <c r="F131" i="3" s="1"/>
  <c r="E130" i="3"/>
  <c r="F130" i="3" s="1"/>
  <c r="E129" i="3"/>
  <c r="F129" i="3" s="1"/>
  <c r="F128" i="3"/>
  <c r="E128" i="3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F120" i="3"/>
  <c r="E120" i="3"/>
  <c r="E119" i="3"/>
  <c r="F119" i="3" s="1"/>
  <c r="E118" i="3"/>
  <c r="F118" i="3" s="1"/>
  <c r="E117" i="3"/>
  <c r="F117" i="3" s="1"/>
  <c r="F116" i="3"/>
  <c r="E116" i="3"/>
  <c r="E115" i="3"/>
  <c r="F115" i="3" s="1"/>
  <c r="E114" i="3"/>
  <c r="F114" i="3" s="1"/>
  <c r="E113" i="3"/>
  <c r="F113" i="3" s="1"/>
  <c r="D111" i="3"/>
  <c r="E111" i="3" s="1"/>
  <c r="F111" i="3" s="1"/>
  <c r="C111" i="3"/>
  <c r="F110" i="3"/>
  <c r="E110" i="3"/>
  <c r="E109" i="3"/>
  <c r="F109" i="3" s="1"/>
  <c r="E108" i="3"/>
  <c r="F108" i="3" s="1"/>
  <c r="E107" i="3"/>
  <c r="F107" i="3"/>
  <c r="E106" i="3"/>
  <c r="F106" i="3" s="1"/>
  <c r="E105" i="3"/>
  <c r="F105" i="3" s="1"/>
  <c r="E104" i="3"/>
  <c r="F104" i="3" s="1"/>
  <c r="E103" i="3"/>
  <c r="F103" i="3"/>
  <c r="E102" i="3"/>
  <c r="F102" i="3" s="1"/>
  <c r="E101" i="3"/>
  <c r="F101" i="3" s="1"/>
  <c r="E100" i="3"/>
  <c r="F100" i="3" s="1"/>
  <c r="D94" i="3"/>
  <c r="C94" i="3"/>
  <c r="E94" i="3" s="1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D95" i="3"/>
  <c r="C84" i="3"/>
  <c r="C95" i="3"/>
  <c r="D81" i="3"/>
  <c r="C81" i="3"/>
  <c r="F80" i="3"/>
  <c r="E80" i="3"/>
  <c r="E79" i="3"/>
  <c r="F79" i="3" s="1"/>
  <c r="E78" i="3"/>
  <c r="F78" i="3" s="1"/>
  <c r="E77" i="3"/>
  <c r="F77" i="3" s="1"/>
  <c r="E76" i="3"/>
  <c r="F76" i="3"/>
  <c r="E75" i="3"/>
  <c r="F75" i="3" s="1"/>
  <c r="E74" i="3"/>
  <c r="F74" i="3" s="1"/>
  <c r="E73" i="3"/>
  <c r="F73" i="3" s="1"/>
  <c r="E72" i="3"/>
  <c r="F72" i="3"/>
  <c r="E71" i="3"/>
  <c r="F71" i="3" s="1"/>
  <c r="E70" i="3"/>
  <c r="F70" i="3" s="1"/>
  <c r="D68" i="3"/>
  <c r="E68" i="3" s="1"/>
  <c r="C68" i="3"/>
  <c r="F67" i="3"/>
  <c r="E67" i="3"/>
  <c r="E66" i="3"/>
  <c r="F66" i="3" s="1"/>
  <c r="E65" i="3"/>
  <c r="F65" i="3" s="1"/>
  <c r="E64" i="3"/>
  <c r="F64" i="3"/>
  <c r="E63" i="3"/>
  <c r="F63" i="3" s="1"/>
  <c r="E62" i="3"/>
  <c r="F62" i="3" s="1"/>
  <c r="E61" i="3"/>
  <c r="F61" i="3" s="1"/>
  <c r="E60" i="3"/>
  <c r="F60" i="3"/>
  <c r="E59" i="3"/>
  <c r="F59" i="3" s="1"/>
  <c r="E58" i="3"/>
  <c r="F58" i="3" s="1"/>
  <c r="E57" i="3"/>
  <c r="F57" i="3" s="1"/>
  <c r="D51" i="3"/>
  <c r="C51" i="3"/>
  <c r="E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 s="1"/>
  <c r="C41" i="3"/>
  <c r="D38" i="3"/>
  <c r="C38" i="3"/>
  <c r="F37" i="3"/>
  <c r="E37" i="3"/>
  <c r="E36" i="3"/>
  <c r="F36" i="3" s="1"/>
  <c r="E35" i="3"/>
  <c r="F35" i="3" s="1"/>
  <c r="F34" i="3"/>
  <c r="E34" i="3"/>
  <c r="E33" i="3"/>
  <c r="F33" i="3" s="1"/>
  <c r="E32" i="3"/>
  <c r="F32" i="3" s="1"/>
  <c r="E31" i="3"/>
  <c r="F31" i="3" s="1"/>
  <c r="F30" i="3"/>
  <c r="E30" i="3"/>
  <c r="E29" i="3"/>
  <c r="F29" i="3" s="1"/>
  <c r="E28" i="3"/>
  <c r="F28" i="3" s="1"/>
  <c r="E27" i="3"/>
  <c r="F27" i="3" s="1"/>
  <c r="D25" i="3"/>
  <c r="E25" i="3" s="1"/>
  <c r="F25" i="3" s="1"/>
  <c r="C25" i="3"/>
  <c r="F24" i="3"/>
  <c r="E24" i="3"/>
  <c r="E23" i="3"/>
  <c r="F23" i="3" s="1"/>
  <c r="E22" i="3"/>
  <c r="F22" i="3" s="1"/>
  <c r="E21" i="3"/>
  <c r="F21" i="3"/>
  <c r="E20" i="3"/>
  <c r="F20" i="3" s="1"/>
  <c r="E19" i="3"/>
  <c r="F19" i="3" s="1"/>
  <c r="E18" i="3"/>
  <c r="F18" i="3" s="1"/>
  <c r="E17" i="3"/>
  <c r="F17" i="3"/>
  <c r="E16" i="3"/>
  <c r="F16" i="3" s="1"/>
  <c r="E15" i="3"/>
  <c r="F15" i="3" s="1"/>
  <c r="E14" i="3"/>
  <c r="F14" i="3" s="1"/>
  <c r="E49" i="2"/>
  <c r="F49" i="2"/>
  <c r="D46" i="2"/>
  <c r="E46" i="2"/>
  <c r="C46" i="2"/>
  <c r="F45" i="2"/>
  <c r="E45" i="2"/>
  <c r="F44" i="2"/>
  <c r="E44" i="2"/>
  <c r="D39" i="2"/>
  <c r="E39" i="2" s="1"/>
  <c r="F39" i="2" s="1"/>
  <c r="C39" i="2"/>
  <c r="F38" i="2"/>
  <c r="E38" i="2"/>
  <c r="F37" i="2"/>
  <c r="E37" i="2"/>
  <c r="E36" i="2"/>
  <c r="F36" i="2" s="1"/>
  <c r="D31" i="2"/>
  <c r="C31" i="2"/>
  <c r="E30" i="2"/>
  <c r="F30" i="2"/>
  <c r="E29" i="2"/>
  <c r="F29" i="2" s="1"/>
  <c r="E28" i="2"/>
  <c r="F28" i="2" s="1"/>
  <c r="E27" i="2"/>
  <c r="F27" i="2" s="1"/>
  <c r="E26" i="2"/>
  <c r="F26" i="2"/>
  <c r="E25" i="2"/>
  <c r="F25" i="2" s="1"/>
  <c r="E24" i="2"/>
  <c r="F24" i="2" s="1"/>
  <c r="E23" i="2"/>
  <c r="F23" i="2" s="1"/>
  <c r="E22" i="2"/>
  <c r="F22" i="2"/>
  <c r="F18" i="2"/>
  <c r="E18" i="2"/>
  <c r="E17" i="2"/>
  <c r="F17" i="2"/>
  <c r="D16" i="2"/>
  <c r="D19" i="2"/>
  <c r="C16" i="2"/>
  <c r="C19" i="2" s="1"/>
  <c r="F15" i="2"/>
  <c r="E15" i="2"/>
  <c r="E14" i="2"/>
  <c r="F14" i="2" s="1"/>
  <c r="E13" i="2"/>
  <c r="F13" i="2" s="1"/>
  <c r="E12" i="2"/>
  <c r="F12" i="2"/>
  <c r="D73" i="1"/>
  <c r="C73" i="1"/>
  <c r="E72" i="1"/>
  <c r="F72" i="1" s="1"/>
  <c r="F71" i="1"/>
  <c r="E71" i="1"/>
  <c r="E70" i="1"/>
  <c r="F70" i="1" s="1"/>
  <c r="F67" i="1"/>
  <c r="E67" i="1"/>
  <c r="E64" i="1"/>
  <c r="F64" i="1" s="1"/>
  <c r="F63" i="1"/>
  <c r="E63" i="1"/>
  <c r="D61" i="1"/>
  <c r="D65" i="1" s="1"/>
  <c r="C61" i="1"/>
  <c r="E60" i="1"/>
  <c r="F60" i="1" s="1"/>
  <c r="F59" i="1"/>
  <c r="E59" i="1"/>
  <c r="D56" i="1"/>
  <c r="C56" i="1"/>
  <c r="F55" i="1"/>
  <c r="E55" i="1"/>
  <c r="F54" i="1"/>
  <c r="E54" i="1"/>
  <c r="F53" i="1"/>
  <c r="E53" i="1"/>
  <c r="F52" i="1"/>
  <c r="E52" i="1"/>
  <c r="F51" i="1"/>
  <c r="E51" i="1"/>
  <c r="E50" i="1"/>
  <c r="F50" i="1" s="1"/>
  <c r="A50" i="1"/>
  <c r="A51" i="1" s="1"/>
  <c r="A52" i="1" s="1"/>
  <c r="A53" i="1" s="1"/>
  <c r="A54" i="1" s="1"/>
  <c r="A55" i="1" s="1"/>
  <c r="E49" i="1"/>
  <c r="F49" i="1" s="1"/>
  <c r="F40" i="1"/>
  <c r="E40" i="1"/>
  <c r="D38" i="1"/>
  <c r="D41" i="1" s="1"/>
  <c r="C38" i="1"/>
  <c r="E37" i="1"/>
  <c r="F37" i="1" s="1"/>
  <c r="E36" i="1"/>
  <c r="F36" i="1" s="1"/>
  <c r="E33" i="1"/>
  <c r="F33" i="1" s="1"/>
  <c r="E32" i="1"/>
  <c r="F32" i="1" s="1"/>
  <c r="F31" i="1"/>
  <c r="E31" i="1"/>
  <c r="D29" i="1"/>
  <c r="E29" i="1" s="1"/>
  <c r="F29" i="1" s="1"/>
  <c r="C29" i="1"/>
  <c r="E28" i="1"/>
  <c r="F28" i="1" s="1"/>
  <c r="F27" i="1"/>
  <c r="E27" i="1"/>
  <c r="F26" i="1"/>
  <c r="E26" i="1"/>
  <c r="E25" i="1"/>
  <c r="F25" i="1"/>
  <c r="D22" i="1"/>
  <c r="D43" i="1" s="1"/>
  <c r="C22" i="1"/>
  <c r="E21" i="1"/>
  <c r="F21" i="1" s="1"/>
  <c r="E20" i="1"/>
  <c r="F20" i="1" s="1"/>
  <c r="E19" i="1"/>
  <c r="F19" i="1" s="1"/>
  <c r="F18" i="1"/>
  <c r="E18" i="1"/>
  <c r="F17" i="1"/>
  <c r="E17" i="1"/>
  <c r="F16" i="1"/>
  <c r="E16" i="1"/>
  <c r="E15" i="1"/>
  <c r="F15" i="1" s="1"/>
  <c r="F14" i="1"/>
  <c r="E14" i="1"/>
  <c r="E13" i="1"/>
  <c r="F13" i="1" s="1"/>
  <c r="D214" i="14"/>
  <c r="D285" i="14"/>
  <c r="D288" i="14" s="1"/>
  <c r="F129" i="14"/>
  <c r="D277" i="14"/>
  <c r="E89" i="14"/>
  <c r="D111" i="14"/>
  <c r="D146" i="14"/>
  <c r="D261" i="14"/>
  <c r="F52" i="14"/>
  <c r="F95" i="14"/>
  <c r="F230" i="14"/>
  <c r="D21" i="5"/>
  <c r="E65" i="8"/>
  <c r="F65" i="8" s="1"/>
  <c r="D33" i="2"/>
  <c r="D21" i="10"/>
  <c r="F46" i="2"/>
  <c r="E95" i="3"/>
  <c r="F95" i="3"/>
  <c r="F166" i="3"/>
  <c r="E31" i="14"/>
  <c r="F31" i="14" s="1"/>
  <c r="C32" i="14"/>
  <c r="E111" i="14"/>
  <c r="F111" i="14" s="1"/>
  <c r="D157" i="15"/>
  <c r="E157" i="15" s="1"/>
  <c r="E156" i="15"/>
  <c r="C59" i="10"/>
  <c r="C61" i="10" s="1"/>
  <c r="C57" i="10" s="1"/>
  <c r="C48" i="10"/>
  <c r="C42" i="10" s="1"/>
  <c r="E103" i="14"/>
  <c r="F103" i="14"/>
  <c r="E137" i="14"/>
  <c r="F137" i="14"/>
  <c r="C138" i="14"/>
  <c r="E264" i="14"/>
  <c r="F264" i="14" s="1"/>
  <c r="C65" i="1"/>
  <c r="F141" i="6"/>
  <c r="F200" i="6"/>
  <c r="F205" i="6"/>
  <c r="F96" i="7"/>
  <c r="F107" i="7"/>
  <c r="F114" i="7"/>
  <c r="F118" i="7"/>
  <c r="E22" i="8"/>
  <c r="E61" i="8"/>
  <c r="C15" i="10"/>
  <c r="C25" i="10"/>
  <c r="C27" i="10" s="1"/>
  <c r="E25" i="10"/>
  <c r="E27" i="10" s="1"/>
  <c r="E15" i="10"/>
  <c r="E278" i="14"/>
  <c r="F278" i="14" s="1"/>
  <c r="D57" i="5"/>
  <c r="D62" i="5" s="1"/>
  <c r="F208" i="6"/>
  <c r="F78" i="4"/>
  <c r="D83" i="4"/>
  <c r="F171" i="4"/>
  <c r="D176" i="4"/>
  <c r="E15" i="5"/>
  <c r="D43" i="5"/>
  <c r="E49" i="5"/>
  <c r="C57" i="5"/>
  <c r="C62" i="5" s="1"/>
  <c r="E77" i="5"/>
  <c r="E71" i="5" s="1"/>
  <c r="C166" i="5"/>
  <c r="F23" i="6"/>
  <c r="F24" i="6"/>
  <c r="F101" i="6"/>
  <c r="F102" i="6"/>
  <c r="E22" i="1"/>
  <c r="F22" i="1" s="1"/>
  <c r="E56" i="1"/>
  <c r="F56" i="1" s="1"/>
  <c r="E61" i="1"/>
  <c r="F61" i="1"/>
  <c r="E16" i="2"/>
  <c r="F16" i="2"/>
  <c r="D49" i="5"/>
  <c r="E53" i="5"/>
  <c r="C149" i="5"/>
  <c r="F62" i="6"/>
  <c r="F179" i="6"/>
  <c r="F180" i="6"/>
  <c r="F198" i="6"/>
  <c r="F202" i="6"/>
  <c r="F206" i="6"/>
  <c r="F23" i="7"/>
  <c r="E48" i="7"/>
  <c r="F48" i="7"/>
  <c r="E59" i="7"/>
  <c r="F59" i="7"/>
  <c r="E71" i="7"/>
  <c r="E83" i="7"/>
  <c r="E95" i="7"/>
  <c r="F95" i="7"/>
  <c r="F108" i="7"/>
  <c r="E113" i="7"/>
  <c r="F113" i="7" s="1"/>
  <c r="E117" i="7"/>
  <c r="F117" i="7" s="1"/>
  <c r="C122" i="7"/>
  <c r="D43" i="8"/>
  <c r="E38" i="8"/>
  <c r="F38" i="8" s="1"/>
  <c r="F73" i="8"/>
  <c r="E16" i="9"/>
  <c r="F16" i="9"/>
  <c r="C19" i="9"/>
  <c r="F39" i="9"/>
  <c r="D42" i="10"/>
  <c r="C80" i="10"/>
  <c r="C77" i="10" s="1"/>
  <c r="I17" i="11"/>
  <c r="C33" i="11"/>
  <c r="C36" i="11" s="1"/>
  <c r="C38" i="11" s="1"/>
  <c r="C40" i="11" s="1"/>
  <c r="E48" i="10"/>
  <c r="E42" i="10"/>
  <c r="E59" i="10"/>
  <c r="E61" i="10"/>
  <c r="E57" i="10" s="1"/>
  <c r="E60" i="14"/>
  <c r="F60" i="14" s="1"/>
  <c r="C61" i="14"/>
  <c r="C168" i="15"/>
  <c r="C145" i="15"/>
  <c r="F192" i="6"/>
  <c r="F204" i="6"/>
  <c r="F36" i="7"/>
  <c r="F36" i="6"/>
  <c r="F63" i="6"/>
  <c r="F114" i="6"/>
  <c r="E201" i="6"/>
  <c r="F201" i="6" s="1"/>
  <c r="C207" i="6"/>
  <c r="E207" i="6" s="1"/>
  <c r="F207" i="6" s="1"/>
  <c r="F35" i="7"/>
  <c r="F116" i="7"/>
  <c r="F120" i="7"/>
  <c r="E121" i="7"/>
  <c r="F121" i="7" s="1"/>
  <c r="F22" i="8"/>
  <c r="C41" i="8"/>
  <c r="C43" i="8" s="1"/>
  <c r="F61" i="8"/>
  <c r="C75" i="8"/>
  <c r="F31" i="9"/>
  <c r="E46" i="9"/>
  <c r="I31" i="11"/>
  <c r="G33" i="11"/>
  <c r="E21" i="15"/>
  <c r="D283" i="15"/>
  <c r="E144" i="15"/>
  <c r="D168" i="15"/>
  <c r="E168" i="15" s="1"/>
  <c r="D240" i="15"/>
  <c r="D222" i="15"/>
  <c r="D223" i="15"/>
  <c r="C108" i="19"/>
  <c r="C109" i="19"/>
  <c r="D254" i="14"/>
  <c r="E16" i="12"/>
  <c r="F16" i="12" s="1"/>
  <c r="E23" i="12"/>
  <c r="F23" i="12" s="1"/>
  <c r="E30" i="12"/>
  <c r="E37" i="12"/>
  <c r="E75" i="12"/>
  <c r="F75" i="12" s="1"/>
  <c r="E92" i="12"/>
  <c r="F92" i="12" s="1"/>
  <c r="E23" i="13"/>
  <c r="F23" i="13" s="1"/>
  <c r="F85" i="14"/>
  <c r="F94" i="14"/>
  <c r="C172" i="14"/>
  <c r="E192" i="14"/>
  <c r="F192" i="14" s="1"/>
  <c r="C205" i="14"/>
  <c r="C214" i="14"/>
  <c r="C304" i="14" s="1"/>
  <c r="E38" i="15"/>
  <c r="E55" i="15"/>
  <c r="E189" i="15"/>
  <c r="C65" i="16"/>
  <c r="C114" i="16" s="1"/>
  <c r="C116" i="16" s="1"/>
  <c r="C119" i="16" s="1"/>
  <c r="C123" i="16" s="1"/>
  <c r="F45" i="17"/>
  <c r="E33" i="15"/>
  <c r="C217" i="15"/>
  <c r="C241" i="15" s="1"/>
  <c r="C242" i="15"/>
  <c r="E242" i="15" s="1"/>
  <c r="E218" i="15"/>
  <c r="C253" i="15"/>
  <c r="E233" i="15"/>
  <c r="H17" i="11"/>
  <c r="F84" i="12"/>
  <c r="F99" i="12"/>
  <c r="F14" i="13"/>
  <c r="F19" i="13"/>
  <c r="F20" i="14"/>
  <c r="E30" i="14"/>
  <c r="F30" i="14" s="1"/>
  <c r="E36" i="14"/>
  <c r="F36" i="14" s="1"/>
  <c r="E59" i="14"/>
  <c r="F59" i="14" s="1"/>
  <c r="F66" i="14"/>
  <c r="E102" i="14"/>
  <c r="F102" i="14" s="1"/>
  <c r="F109" i="14"/>
  <c r="C124" i="14"/>
  <c r="E136" i="14"/>
  <c r="F136" i="14"/>
  <c r="C190" i="14"/>
  <c r="F191" i="14"/>
  <c r="F223" i="14"/>
  <c r="F229" i="14"/>
  <c r="C254" i="14"/>
  <c r="F296" i="14"/>
  <c r="C283" i="15"/>
  <c r="E195" i="15"/>
  <c r="E231" i="15"/>
  <c r="E302" i="15"/>
  <c r="D41" i="17"/>
  <c r="E215" i="15"/>
  <c r="D239" i="15"/>
  <c r="E239" i="15"/>
  <c r="E219" i="15"/>
  <c r="D243" i="15"/>
  <c r="E243" i="15" s="1"/>
  <c r="D217" i="15"/>
  <c r="E251" i="15"/>
  <c r="D320" i="15"/>
  <c r="E320" i="15" s="1"/>
  <c r="E316" i="15"/>
  <c r="D330" i="15"/>
  <c r="E330" i="15"/>
  <c r="E326" i="15"/>
  <c r="D104" i="14"/>
  <c r="D174" i="14"/>
  <c r="F24" i="14"/>
  <c r="F44" i="14"/>
  <c r="F53" i="14"/>
  <c r="F67" i="14"/>
  <c r="F89" i="14"/>
  <c r="F100" i="14"/>
  <c r="F110" i="14"/>
  <c r="F130" i="14"/>
  <c r="F144" i="14"/>
  <c r="C146" i="14"/>
  <c r="F171" i="14"/>
  <c r="C193" i="14"/>
  <c r="F204" i="14"/>
  <c r="C215" i="14"/>
  <c r="C227" i="14"/>
  <c r="C267" i="14"/>
  <c r="C268" i="14" s="1"/>
  <c r="C269" i="14"/>
  <c r="C285" i="14"/>
  <c r="D22" i="15"/>
  <c r="E39" i="15"/>
  <c r="E71" i="15"/>
  <c r="E145" i="15"/>
  <c r="E151" i="15"/>
  <c r="D163" i="15"/>
  <c r="E166" i="15"/>
  <c r="E245" i="15"/>
  <c r="E281" i="15"/>
  <c r="E291" i="15"/>
  <c r="C262" i="14"/>
  <c r="C263" i="14" s="1"/>
  <c r="C255" i="14"/>
  <c r="E189" i="14"/>
  <c r="F189" i="14"/>
  <c r="C280" i="14"/>
  <c r="C200" i="14"/>
  <c r="C274" i="14"/>
  <c r="C300" i="14" s="1"/>
  <c r="F198" i="14"/>
  <c r="C175" i="15"/>
  <c r="C163" i="15"/>
  <c r="E163" i="15" s="1"/>
  <c r="E139" i="15"/>
  <c r="C261" i="15"/>
  <c r="E261" i="15" s="1"/>
  <c r="E188" i="15"/>
  <c r="D229" i="15"/>
  <c r="E229" i="15" s="1"/>
  <c r="D210" i="15"/>
  <c r="D175" i="15"/>
  <c r="E109" i="19"/>
  <c r="E108" i="19"/>
  <c r="D175" i="14"/>
  <c r="D62" i="14"/>
  <c r="D105" i="14"/>
  <c r="D90" i="14"/>
  <c r="D160" i="14"/>
  <c r="D194" i="14"/>
  <c r="D195" i="14" s="1"/>
  <c r="E193" i="14"/>
  <c r="D207" i="14"/>
  <c r="D138" i="14"/>
  <c r="E138" i="14" s="1"/>
  <c r="F138" i="14" s="1"/>
  <c r="C266" i="14"/>
  <c r="E123" i="14"/>
  <c r="F123" i="14" s="1"/>
  <c r="F170" i="14"/>
  <c r="F203" i="14"/>
  <c r="E226" i="14"/>
  <c r="F226" i="14"/>
  <c r="F239" i="14"/>
  <c r="E261" i="14"/>
  <c r="F261" i="14" s="1"/>
  <c r="C283" i="14"/>
  <c r="C290" i="14"/>
  <c r="D169" i="15"/>
  <c r="C222" i="15"/>
  <c r="E260" i="15"/>
  <c r="F36" i="17"/>
  <c r="C37" i="16"/>
  <c r="C38" i="16" s="1"/>
  <c r="C127" i="16" s="1"/>
  <c r="C129" i="16" s="1"/>
  <c r="C133" i="16" s="1"/>
  <c r="C20" i="17"/>
  <c r="E20" i="17" s="1"/>
  <c r="F20" i="17" s="1"/>
  <c r="C40" i="17"/>
  <c r="C41" i="17" s="1"/>
  <c r="C46" i="17"/>
  <c r="E22" i="19"/>
  <c r="C33" i="19"/>
  <c r="D34" i="19"/>
  <c r="C101" i="19"/>
  <c r="D267" i="14"/>
  <c r="D268" i="14" s="1"/>
  <c r="E268" i="14" s="1"/>
  <c r="D306" i="14"/>
  <c r="E306" i="14" s="1"/>
  <c r="D303" i="15"/>
  <c r="E314" i="15"/>
  <c r="C49" i="16"/>
  <c r="F33" i="17"/>
  <c r="D22" i="19"/>
  <c r="E23" i="19"/>
  <c r="C54" i="19"/>
  <c r="D124" i="14"/>
  <c r="E124" i="14" s="1"/>
  <c r="F124" i="14" s="1"/>
  <c r="D200" i="14"/>
  <c r="E200" i="14" s="1"/>
  <c r="F200" i="14" s="1"/>
  <c r="D262" i="14"/>
  <c r="D266" i="14"/>
  <c r="E266" i="14" s="1"/>
  <c r="F266" i="14" s="1"/>
  <c r="D274" i="14"/>
  <c r="E274" i="14" s="1"/>
  <c r="F274" i="14" s="1"/>
  <c r="D280" i="14"/>
  <c r="E324" i="15"/>
  <c r="E19" i="17"/>
  <c r="F19" i="17" s="1"/>
  <c r="E39" i="17"/>
  <c r="F39" i="17" s="1"/>
  <c r="E43" i="17"/>
  <c r="D23" i="19"/>
  <c r="E33" i="19"/>
  <c r="E101" i="19"/>
  <c r="E103" i="19" s="1"/>
  <c r="D108" i="19"/>
  <c r="C111" i="19"/>
  <c r="D199" i="14"/>
  <c r="D205" i="14"/>
  <c r="E205" i="14" s="1"/>
  <c r="F205" i="14" s="1"/>
  <c r="D215" i="14"/>
  <c r="D279" i="14"/>
  <c r="D283" i="14"/>
  <c r="D287" i="14" s="1"/>
  <c r="C30" i="19"/>
  <c r="C36" i="19"/>
  <c r="C40" i="19"/>
  <c r="D21" i="14"/>
  <c r="D190" i="14"/>
  <c r="E190" i="14" s="1"/>
  <c r="F190" i="14" s="1"/>
  <c r="D306" i="15"/>
  <c r="E303" i="15"/>
  <c r="E285" i="14"/>
  <c r="F285" i="14"/>
  <c r="G36" i="11"/>
  <c r="G38" i="11" s="1"/>
  <c r="G40" i="11" s="1"/>
  <c r="I33" i="11"/>
  <c r="I36" i="11"/>
  <c r="I38" i="11" s="1"/>
  <c r="I40" i="11" s="1"/>
  <c r="E61" i="14"/>
  <c r="F61" i="14"/>
  <c r="C139" i="14"/>
  <c r="C104" i="14"/>
  <c r="E32" i="14"/>
  <c r="F32" i="14" s="1"/>
  <c r="C140" i="14"/>
  <c r="C105" i="14"/>
  <c r="C62" i="14"/>
  <c r="D300" i="14"/>
  <c r="E300" i="14" s="1"/>
  <c r="D139" i="14"/>
  <c r="E139" i="14" s="1"/>
  <c r="F139" i="14" s="1"/>
  <c r="C271" i="14"/>
  <c r="C288" i="14"/>
  <c r="C56" i="19"/>
  <c r="C48" i="19"/>
  <c r="C38" i="19"/>
  <c r="C113" i="19"/>
  <c r="D53" i="19"/>
  <c r="D45" i="19"/>
  <c r="D39" i="19"/>
  <c r="D35" i="19"/>
  <c r="D29" i="19"/>
  <c r="D110" i="19"/>
  <c r="D106" i="14"/>
  <c r="E105" i="14"/>
  <c r="D176" i="14"/>
  <c r="E227" i="14"/>
  <c r="F227" i="14" s="1"/>
  <c r="D255" i="14"/>
  <c r="E255" i="14" s="1"/>
  <c r="F255" i="14" s="1"/>
  <c r="E215" i="14"/>
  <c r="D281" i="14"/>
  <c r="E280" i="14"/>
  <c r="F280" i="14" s="1"/>
  <c r="E54" i="19"/>
  <c r="E46" i="19"/>
  <c r="E40" i="19"/>
  <c r="E36" i="19"/>
  <c r="E30" i="19"/>
  <c r="E111" i="19"/>
  <c r="E110" i="19"/>
  <c r="E53" i="19"/>
  <c r="E45" i="19"/>
  <c r="E39" i="19"/>
  <c r="E35" i="19"/>
  <c r="E29" i="19"/>
  <c r="C286" i="14"/>
  <c r="C272" i="14"/>
  <c r="F193" i="14"/>
  <c r="C194" i="14"/>
  <c r="E217" i="15"/>
  <c r="D241" i="15"/>
  <c r="E241" i="15" s="1"/>
  <c r="E254" i="14"/>
  <c r="F254" i="14" s="1"/>
  <c r="E240" i="15"/>
  <c r="D253" i="15"/>
  <c r="E253" i="15" s="1"/>
  <c r="C169" i="15"/>
  <c r="E169" i="15" s="1"/>
  <c r="E24" i="5"/>
  <c r="E17" i="5"/>
  <c r="E17" i="10"/>
  <c r="E28" i="10" s="1"/>
  <c r="E70" i="10" s="1"/>
  <c r="E72" i="10" s="1"/>
  <c r="E69" i="10" s="1"/>
  <c r="E24" i="10"/>
  <c r="D41" i="2"/>
  <c r="D125" i="14"/>
  <c r="D140" i="14"/>
  <c r="D265" i="14"/>
  <c r="F43" i="17"/>
  <c r="E283" i="15"/>
  <c r="C265" i="14"/>
  <c r="D63" i="14"/>
  <c r="E62" i="14"/>
  <c r="D211" i="15"/>
  <c r="D234" i="15"/>
  <c r="D284" i="15"/>
  <c r="E284" i="15" s="1"/>
  <c r="E22" i="15"/>
  <c r="C270" i="14"/>
  <c r="E222" i="15"/>
  <c r="C33" i="9"/>
  <c r="C155" i="5"/>
  <c r="C153" i="5"/>
  <c r="C157" i="5"/>
  <c r="C154" i="5"/>
  <c r="C152" i="5"/>
  <c r="C156" i="5"/>
  <c r="C24" i="10"/>
  <c r="C17" i="10"/>
  <c r="C28" i="10" s="1"/>
  <c r="C70" i="10" s="1"/>
  <c r="C72" i="10" s="1"/>
  <c r="C69" i="10" s="1"/>
  <c r="C223" i="15"/>
  <c r="E104" i="14"/>
  <c r="D216" i="14"/>
  <c r="D180" i="15"/>
  <c r="E19" i="9"/>
  <c r="F19" i="9" s="1"/>
  <c r="D252" i="15"/>
  <c r="E122" i="7"/>
  <c r="F122" i="7" s="1"/>
  <c r="D272" i="14"/>
  <c r="E272" i="14" s="1"/>
  <c r="F272" i="14" s="1"/>
  <c r="D263" i="14"/>
  <c r="E263" i="14" s="1"/>
  <c r="E262" i="14"/>
  <c r="F262" i="14" s="1"/>
  <c r="D270" i="14"/>
  <c r="E270" i="14" s="1"/>
  <c r="F270" i="14" s="1"/>
  <c r="E267" i="14"/>
  <c r="F267" i="14" s="1"/>
  <c r="D271" i="14"/>
  <c r="E290" i="14"/>
  <c r="F290" i="14" s="1"/>
  <c r="D126" i="14"/>
  <c r="D91" i="14"/>
  <c r="D49" i="14"/>
  <c r="D196" i="14"/>
  <c r="D161" i="14"/>
  <c r="D286" i="14"/>
  <c r="E286" i="14" s="1"/>
  <c r="F286" i="14" s="1"/>
  <c r="E283" i="14"/>
  <c r="F283" i="14" s="1"/>
  <c r="D46" i="19"/>
  <c r="D40" i="19"/>
  <c r="D36" i="19"/>
  <c r="D30" i="19"/>
  <c r="D111" i="19"/>
  <c r="D54" i="19"/>
  <c r="D208" i="14"/>
  <c r="E269" i="14"/>
  <c r="F269" i="14"/>
  <c r="E146" i="14"/>
  <c r="F146" i="14"/>
  <c r="C216" i="14"/>
  <c r="E214" i="14"/>
  <c r="F214" i="14" s="1"/>
  <c r="C173" i="14"/>
  <c r="E172" i="14"/>
  <c r="F172" i="14" s="1"/>
  <c r="C138" i="5"/>
  <c r="C140" i="5"/>
  <c r="C136" i="5"/>
  <c r="C137" i="5"/>
  <c r="C135" i="5"/>
  <c r="C139" i="5"/>
  <c r="E175" i="15"/>
  <c r="E40" i="17"/>
  <c r="E41" i="17" s="1"/>
  <c r="F215" i="14"/>
  <c r="C282" i="14"/>
  <c r="C281" i="14" s="1"/>
  <c r="C207" i="14"/>
  <c r="E41" i="8"/>
  <c r="F41" i="8" s="1"/>
  <c r="E65" i="1"/>
  <c r="F65" i="1" s="1"/>
  <c r="C75" i="1"/>
  <c r="E173" i="14"/>
  <c r="F173" i="14" s="1"/>
  <c r="D50" i="14"/>
  <c r="D254" i="15"/>
  <c r="D48" i="2"/>
  <c r="E48" i="19"/>
  <c r="E38" i="19"/>
  <c r="E113" i="19"/>
  <c r="E56" i="19"/>
  <c r="D47" i="19"/>
  <c r="D37" i="19"/>
  <c r="D112" i="19"/>
  <c r="D55" i="19"/>
  <c r="C158" i="5"/>
  <c r="C175" i="14"/>
  <c r="D141" i="14"/>
  <c r="E140" i="14"/>
  <c r="D210" i="14"/>
  <c r="D209" i="14"/>
  <c r="C208" i="14"/>
  <c r="E208" i="14"/>
  <c r="D113" i="19"/>
  <c r="D56" i="19"/>
  <c r="D48" i="19"/>
  <c r="D38" i="19"/>
  <c r="D197" i="14"/>
  <c r="D304" i="14"/>
  <c r="D273" i="14"/>
  <c r="E271" i="14"/>
  <c r="D235" i="15"/>
  <c r="D181" i="15"/>
  <c r="E112" i="5"/>
  <c r="E111" i="5" s="1"/>
  <c r="E28" i="5"/>
  <c r="E288" i="14"/>
  <c r="F288" i="14"/>
  <c r="F105" i="14"/>
  <c r="C106" i="14"/>
  <c r="D310" i="15"/>
  <c r="E310" i="15" s="1"/>
  <c r="E306" i="15"/>
  <c r="E207" i="14"/>
  <c r="F207" i="14"/>
  <c r="E216" i="14"/>
  <c r="F216" i="14"/>
  <c r="E282" i="14"/>
  <c r="F282" i="14" s="1"/>
  <c r="D92" i="14"/>
  <c r="C41" i="9"/>
  <c r="E41" i="9" s="1"/>
  <c r="F41" i="9" s="1"/>
  <c r="E33" i="9"/>
  <c r="F33" i="9" s="1"/>
  <c r="E47" i="19"/>
  <c r="E37" i="19"/>
  <c r="E112" i="19"/>
  <c r="E55" i="19"/>
  <c r="D162" i="14"/>
  <c r="D183" i="14" s="1"/>
  <c r="D127" i="14"/>
  <c r="D148" i="14" s="1"/>
  <c r="C273" i="14"/>
  <c r="F271" i="14"/>
  <c r="F62" i="14"/>
  <c r="C63" i="14"/>
  <c r="E63" i="14" s="1"/>
  <c r="F63" i="14" s="1"/>
  <c r="C141" i="14"/>
  <c r="F140" i="14"/>
  <c r="C141" i="5"/>
  <c r="E265" i="14"/>
  <c r="F265" i="14" s="1"/>
  <c r="E194" i="14"/>
  <c r="F194" i="14" s="1"/>
  <c r="E106" i="14"/>
  <c r="F106" i="14" s="1"/>
  <c r="F104" i="14"/>
  <c r="C174" i="14"/>
  <c r="E174" i="14" s="1"/>
  <c r="F174" i="14" s="1"/>
  <c r="E223" i="15"/>
  <c r="C48" i="9"/>
  <c r="E48" i="9" s="1"/>
  <c r="F48" i="9" s="1"/>
  <c r="C176" i="14"/>
  <c r="E176" i="14" s="1"/>
  <c r="F176" i="14" s="1"/>
  <c r="E175" i="14"/>
  <c r="F175" i="14" s="1"/>
  <c r="D70" i="14"/>
  <c r="D323" i="14"/>
  <c r="D324" i="14"/>
  <c r="D113" i="14"/>
  <c r="E99" i="5"/>
  <c r="E101" i="5" s="1"/>
  <c r="E98" i="5" s="1"/>
  <c r="D211" i="14"/>
  <c r="C211" i="14"/>
  <c r="C322" i="14"/>
  <c r="F208" i="14"/>
  <c r="C209" i="14"/>
  <c r="C210" i="14"/>
  <c r="E210" i="14" s="1"/>
  <c r="F210" i="14" s="1"/>
  <c r="D322" i="14"/>
  <c r="E322" i="14" s="1"/>
  <c r="F322" i="14" s="1"/>
  <c r="E141" i="14"/>
  <c r="F141" i="14" s="1"/>
  <c r="E273" i="14"/>
  <c r="F273" i="14" s="1"/>
  <c r="E209" i="14"/>
  <c r="F209" i="14"/>
  <c r="E21" i="10" l="1"/>
  <c r="E22" i="10"/>
  <c r="D325" i="14"/>
  <c r="E211" i="14"/>
  <c r="F211" i="14" s="1"/>
  <c r="F68" i="3"/>
  <c r="F18" i="4"/>
  <c r="D152" i="5"/>
  <c r="D153" i="5"/>
  <c r="D154" i="5"/>
  <c r="D156" i="5"/>
  <c r="D155" i="5"/>
  <c r="D157" i="5"/>
  <c r="E20" i="10"/>
  <c r="E35" i="4"/>
  <c r="F35" i="4" s="1"/>
  <c r="E41" i="4"/>
  <c r="E59" i="4"/>
  <c r="C83" i="4"/>
  <c r="E83" i="4" s="1"/>
  <c r="F83" i="4" s="1"/>
  <c r="F109" i="4"/>
  <c r="E118" i="4"/>
  <c r="E155" i="4"/>
  <c r="D15" i="5"/>
  <c r="E27" i="5"/>
  <c r="E57" i="5"/>
  <c r="E62" i="5" s="1"/>
  <c r="D79" i="5"/>
  <c r="E109" i="5"/>
  <c r="E106" i="5" s="1"/>
  <c r="E166" i="5"/>
  <c r="E37" i="6"/>
  <c r="F37" i="6" s="1"/>
  <c r="D75" i="1"/>
  <c r="E75" i="1" s="1"/>
  <c r="F75" i="1" s="1"/>
  <c r="E73" i="1"/>
  <c r="F73" i="1" s="1"/>
  <c r="E31" i="2"/>
  <c r="F31" i="2" s="1"/>
  <c r="E38" i="3"/>
  <c r="F38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81" i="3"/>
  <c r="F81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124" i="3"/>
  <c r="F124" i="3" s="1"/>
  <c r="E153" i="3"/>
  <c r="F153" i="3" s="1"/>
  <c r="E24" i="4"/>
  <c r="F24" i="4" s="1"/>
  <c r="F118" i="4"/>
  <c r="F155" i="4"/>
  <c r="D149" i="5"/>
  <c r="E149" i="5"/>
  <c r="E47" i="7"/>
  <c r="F47" i="7" s="1"/>
  <c r="E60" i="7"/>
  <c r="E72" i="7"/>
  <c r="E84" i="7"/>
  <c r="E112" i="7"/>
  <c r="F112" i="7" s="1"/>
  <c r="E29" i="8"/>
  <c r="F29" i="8" s="1"/>
  <c r="E56" i="8"/>
  <c r="F56" i="8" s="1"/>
  <c r="H31" i="11"/>
  <c r="F294" i="14"/>
  <c r="E32" i="15"/>
  <c r="E228" i="15"/>
  <c r="E232" i="15"/>
  <c r="E278" i="15"/>
  <c r="E279" i="15"/>
  <c r="E44" i="17"/>
  <c r="E46" i="17" s="1"/>
  <c r="F46" i="17" s="1"/>
  <c r="C102" i="19"/>
  <c r="C103" i="19" s="1"/>
  <c r="E88" i="19"/>
  <c r="C93" i="19"/>
  <c r="E93" i="19"/>
  <c r="C98" i="19"/>
  <c r="E98" i="19"/>
  <c r="D37" i="14"/>
  <c r="E37" i="14" s="1"/>
  <c r="F37" i="14" s="1"/>
  <c r="D68" i="14"/>
  <c r="E75" i="6"/>
  <c r="F75" i="6" s="1"/>
  <c r="E76" i="6"/>
  <c r="F76" i="6" s="1"/>
  <c r="E88" i="6"/>
  <c r="E89" i="6"/>
  <c r="E115" i="6"/>
  <c r="F115" i="6" s="1"/>
  <c r="E140" i="6"/>
  <c r="F140" i="6" s="1"/>
  <c r="E179" i="6"/>
  <c r="E193" i="6"/>
  <c r="F193" i="6" s="1"/>
  <c r="E115" i="7"/>
  <c r="F115" i="7" s="1"/>
  <c r="E119" i="7"/>
  <c r="F119" i="7" s="1"/>
  <c r="E50" i="10"/>
  <c r="D50" i="10"/>
  <c r="E45" i="12"/>
  <c r="C21" i="14"/>
  <c r="C159" i="14"/>
  <c r="C181" i="14"/>
  <c r="C206" i="14"/>
  <c r="E188" i="14"/>
  <c r="E237" i="14"/>
  <c r="C44" i="15"/>
  <c r="E41" i="15"/>
  <c r="E42" i="15"/>
  <c r="D76" i="15"/>
  <c r="D77" i="15" s="1"/>
  <c r="E73" i="15"/>
  <c r="E164" i="15"/>
  <c r="E165" i="15"/>
  <c r="E167" i="15"/>
  <c r="E177" i="15"/>
  <c r="E178" i="15"/>
  <c r="C210" i="15"/>
  <c r="E216" i="15"/>
  <c r="E292" i="15"/>
  <c r="E293" i="15"/>
  <c r="F44" i="17"/>
  <c r="E281" i="14"/>
  <c r="F281" i="14"/>
  <c r="D289" i="14"/>
  <c r="D291" i="14"/>
  <c r="F268" i="14"/>
  <c r="E304" i="14"/>
  <c r="F304" i="14" s="1"/>
  <c r="F41" i="17"/>
  <c r="F300" i="14"/>
  <c r="F263" i="14"/>
  <c r="E43" i="8"/>
  <c r="F43" i="8" s="1"/>
  <c r="C21" i="10"/>
  <c r="C20" i="10"/>
  <c r="C22" i="10"/>
  <c r="F40" i="17"/>
  <c r="D284" i="14"/>
  <c r="C33" i="2"/>
  <c r="E19" i="2"/>
  <c r="F19" i="2" s="1"/>
  <c r="F137" i="3"/>
  <c r="F179" i="3"/>
  <c r="F41" i="4"/>
  <c r="F59" i="4"/>
  <c r="E38" i="1"/>
  <c r="F38" i="1" s="1"/>
  <c r="C41" i="1"/>
  <c r="C52" i="3"/>
  <c r="E52" i="3" s="1"/>
  <c r="E41" i="3"/>
  <c r="F41" i="3" s="1"/>
  <c r="F51" i="3"/>
  <c r="F94" i="3"/>
  <c r="C176" i="4"/>
  <c r="E176" i="4" s="1"/>
  <c r="C53" i="5"/>
  <c r="C77" i="5"/>
  <c r="C71" i="5" s="1"/>
  <c r="E167" i="6"/>
  <c r="F60" i="7"/>
  <c r="F84" i="7"/>
  <c r="D75" i="8"/>
  <c r="E75" i="8" s="1"/>
  <c r="F75" i="8" s="1"/>
  <c r="D15" i="10"/>
  <c r="D59" i="10"/>
  <c r="D61" i="10" s="1"/>
  <c r="D57" i="10" s="1"/>
  <c r="E31" i="11"/>
  <c r="F33" i="11"/>
  <c r="D31" i="11"/>
  <c r="E23" i="14"/>
  <c r="F23" i="14" s="1"/>
  <c r="C15" i="5"/>
  <c r="C43" i="5"/>
  <c r="E199" i="6"/>
  <c r="F199" i="6" s="1"/>
  <c r="F29" i="14"/>
  <c r="F47" i="14"/>
  <c r="C48" i="14"/>
  <c r="F58" i="14"/>
  <c r="C68" i="14"/>
  <c r="E88" i="14"/>
  <c r="F88" i="14" s="1"/>
  <c r="E101" i="14"/>
  <c r="F101" i="14" s="1"/>
  <c r="F120" i="14"/>
  <c r="F135" i="14"/>
  <c r="F155" i="14"/>
  <c r="E165" i="14"/>
  <c r="F165" i="14" s="1"/>
  <c r="E179" i="14"/>
  <c r="F179" i="14" s="1"/>
  <c r="F188" i="14"/>
  <c r="C199" i="14"/>
  <c r="F237" i="14"/>
  <c r="E250" i="14"/>
  <c r="F250" i="14" s="1"/>
  <c r="F295" i="14"/>
  <c r="E297" i="14"/>
  <c r="F297" i="14"/>
  <c r="F298" i="14"/>
  <c r="E311" i="14"/>
  <c r="F311" i="14"/>
  <c r="C76" i="15"/>
  <c r="C252" i="15"/>
  <c r="C277" i="14"/>
  <c r="E299" i="14"/>
  <c r="F299" i="14" s="1"/>
  <c r="E307" i="14"/>
  <c r="F307" i="14" s="1"/>
  <c r="E54" i="15"/>
  <c r="E60" i="15"/>
  <c r="C65" i="15"/>
  <c r="E70" i="15"/>
  <c r="E220" i="15"/>
  <c r="D289" i="15"/>
  <c r="D101" i="19"/>
  <c r="D103" i="19" s="1"/>
  <c r="D43" i="15"/>
  <c r="C289" i="15"/>
  <c r="D65" i="15"/>
  <c r="E221" i="15"/>
  <c r="C22" i="19"/>
  <c r="C234" i="15" l="1"/>
  <c r="E234" i="15" s="1"/>
  <c r="C180" i="15"/>
  <c r="E180" i="15" s="1"/>
  <c r="C211" i="15"/>
  <c r="E210" i="15"/>
  <c r="C97" i="15"/>
  <c r="C100" i="15"/>
  <c r="C258" i="15"/>
  <c r="C84" i="15"/>
  <c r="C95" i="15"/>
  <c r="C103" i="15" s="1"/>
  <c r="C83" i="15"/>
  <c r="C89" i="15"/>
  <c r="C101" i="15"/>
  <c r="C86" i="15"/>
  <c r="C96" i="15"/>
  <c r="C102" i="15" s="1"/>
  <c r="C99" i="15"/>
  <c r="C88" i="15"/>
  <c r="C85" i="15"/>
  <c r="C98" i="15"/>
  <c r="C87" i="15"/>
  <c r="E181" i="14"/>
  <c r="F181" i="14"/>
  <c r="C126" i="14"/>
  <c r="C196" i="14"/>
  <c r="E196" i="14" s="1"/>
  <c r="F196" i="14" s="1"/>
  <c r="C91" i="14"/>
  <c r="C161" i="14"/>
  <c r="E21" i="14"/>
  <c r="F21" i="14" s="1"/>
  <c r="D135" i="5"/>
  <c r="D136" i="5"/>
  <c r="D137" i="5"/>
  <c r="D139" i="5"/>
  <c r="D138" i="5"/>
  <c r="D140" i="5"/>
  <c r="E153" i="5"/>
  <c r="E154" i="5"/>
  <c r="E152" i="5"/>
  <c r="E157" i="5"/>
  <c r="E156" i="5"/>
  <c r="E155" i="5"/>
  <c r="E21" i="5"/>
  <c r="E22" i="5"/>
  <c r="E20" i="5"/>
  <c r="D158" i="5"/>
  <c r="D125" i="15"/>
  <c r="D114" i="15"/>
  <c r="D124" i="15"/>
  <c r="D109" i="15"/>
  <c r="D122" i="15"/>
  <c r="D123" i="15"/>
  <c r="D126" i="15"/>
  <c r="D121" i="15"/>
  <c r="D110" i="15"/>
  <c r="D116" i="15" s="1"/>
  <c r="D117" i="15" s="1"/>
  <c r="D113" i="15"/>
  <c r="D127" i="15"/>
  <c r="D111" i="15"/>
  <c r="D112" i="15"/>
  <c r="D115" i="15"/>
  <c r="E206" i="14"/>
  <c r="F206" i="14" s="1"/>
  <c r="E159" i="14"/>
  <c r="F159" i="14" s="1"/>
  <c r="E140" i="5"/>
  <c r="E138" i="5"/>
  <c r="E137" i="5"/>
  <c r="E136" i="5"/>
  <c r="E135" i="5"/>
  <c r="E141" i="5" s="1"/>
  <c r="E139" i="5"/>
  <c r="D24" i="5"/>
  <c r="D20" i="5" s="1"/>
  <c r="D17" i="5"/>
  <c r="C45" i="19"/>
  <c r="C110" i="19"/>
  <c r="C39" i="19"/>
  <c r="C53" i="19"/>
  <c r="C29" i="19"/>
  <c r="C35" i="19"/>
  <c r="D66" i="15"/>
  <c r="D294" i="15"/>
  <c r="D246" i="15"/>
  <c r="E65" i="15"/>
  <c r="E43" i="15"/>
  <c r="D259" i="15"/>
  <c r="D44" i="15"/>
  <c r="E289" i="15"/>
  <c r="C254" i="15"/>
  <c r="E254" i="15" s="1"/>
  <c r="E252" i="15"/>
  <c r="C17" i="5"/>
  <c r="C24" i="5"/>
  <c r="C20" i="5" s="1"/>
  <c r="D24" i="10"/>
  <c r="D20" i="10" s="1"/>
  <c r="D17" i="10"/>
  <c r="D28" i="10" s="1"/>
  <c r="C43" i="1"/>
  <c r="E33" i="2"/>
  <c r="C41" i="2"/>
  <c r="F33" i="2"/>
  <c r="E41" i="1"/>
  <c r="F41" i="1" s="1"/>
  <c r="C66" i="15"/>
  <c r="C294" i="15"/>
  <c r="E277" i="14"/>
  <c r="C279" i="14"/>
  <c r="F277" i="14"/>
  <c r="C287" i="14"/>
  <c r="C284" i="14"/>
  <c r="C77" i="15"/>
  <c r="E76" i="15"/>
  <c r="C259" i="15"/>
  <c r="C263" i="15" s="1"/>
  <c r="C264" i="15" s="1"/>
  <c r="C266" i="15" s="1"/>
  <c r="C267" i="15" s="1"/>
  <c r="E68" i="14"/>
  <c r="F68" i="14" s="1"/>
  <c r="E48" i="14"/>
  <c r="C160" i="14"/>
  <c r="C125" i="14"/>
  <c r="F48" i="14"/>
  <c r="C90" i="14"/>
  <c r="C49" i="14"/>
  <c r="C195" i="14"/>
  <c r="F36" i="11"/>
  <c r="F38" i="11" s="1"/>
  <c r="F40" i="11" s="1"/>
  <c r="H33" i="11"/>
  <c r="H36" i="11" s="1"/>
  <c r="H38" i="11" s="1"/>
  <c r="H40" i="11" s="1"/>
  <c r="F176" i="4"/>
  <c r="F52" i="3"/>
  <c r="E284" i="14"/>
  <c r="C246" i="15"/>
  <c r="E199" i="14"/>
  <c r="F199" i="14" s="1"/>
  <c r="D305" i="14"/>
  <c r="D28" i="5" l="1"/>
  <c r="D112" i="5"/>
  <c r="D111" i="5" s="1"/>
  <c r="E91" i="14"/>
  <c r="C92" i="14"/>
  <c r="F91" i="14"/>
  <c r="C127" i="14"/>
  <c r="E126" i="14"/>
  <c r="F126" i="14" s="1"/>
  <c r="C90" i="15"/>
  <c r="C91" i="15" s="1"/>
  <c r="C105" i="15" s="1"/>
  <c r="D128" i="15"/>
  <c r="D129" i="15" s="1"/>
  <c r="D131" i="15" s="1"/>
  <c r="E158" i="5"/>
  <c r="D141" i="5"/>
  <c r="C162" i="14"/>
  <c r="E161" i="14"/>
  <c r="F161" i="14" s="1"/>
  <c r="C181" i="15"/>
  <c r="E181" i="15" s="1"/>
  <c r="E211" i="15"/>
  <c r="C235" i="15"/>
  <c r="E235" i="15" s="1"/>
  <c r="E195" i="14"/>
  <c r="F195" i="14" s="1"/>
  <c r="F90" i="14"/>
  <c r="E90" i="14"/>
  <c r="F125" i="14"/>
  <c r="E125" i="14"/>
  <c r="C269" i="15"/>
  <c r="C268" i="15"/>
  <c r="C113" i="15"/>
  <c r="E113" i="15" s="1"/>
  <c r="C127" i="15"/>
  <c r="E127" i="15" s="1"/>
  <c r="C112" i="15"/>
  <c r="E112" i="15" s="1"/>
  <c r="C111" i="15"/>
  <c r="E111" i="15" s="1"/>
  <c r="C114" i="15"/>
  <c r="E114" i="15" s="1"/>
  <c r="C115" i="15"/>
  <c r="E115" i="15" s="1"/>
  <c r="C110" i="15"/>
  <c r="E77" i="15"/>
  <c r="C124" i="15"/>
  <c r="E124" i="15" s="1"/>
  <c r="C109" i="15"/>
  <c r="C123" i="15"/>
  <c r="E123" i="15" s="1"/>
  <c r="C122" i="15"/>
  <c r="C125" i="15"/>
  <c r="E125" i="15" s="1"/>
  <c r="C126" i="15"/>
  <c r="E126" i="15" s="1"/>
  <c r="C121" i="15"/>
  <c r="C289" i="14"/>
  <c r="C291" i="14"/>
  <c r="E287" i="14"/>
  <c r="F287" i="14" s="1"/>
  <c r="E279" i="14"/>
  <c r="F279" i="14" s="1"/>
  <c r="E41" i="2"/>
  <c r="F41" i="2"/>
  <c r="C48" i="2"/>
  <c r="E43" i="1"/>
  <c r="F43" i="1" s="1"/>
  <c r="D70" i="10"/>
  <c r="D72" i="10" s="1"/>
  <c r="D69" i="10" s="1"/>
  <c r="D22" i="10"/>
  <c r="D263" i="15"/>
  <c r="E263" i="15" s="1"/>
  <c r="E259" i="15"/>
  <c r="E294" i="15"/>
  <c r="D309" i="14"/>
  <c r="E49" i="14"/>
  <c r="C50" i="14"/>
  <c r="F49" i="14"/>
  <c r="E160" i="14"/>
  <c r="F160" i="14" s="1"/>
  <c r="F284" i="14"/>
  <c r="C247" i="15"/>
  <c r="C295" i="15"/>
  <c r="C28" i="5"/>
  <c r="C112" i="5"/>
  <c r="C111" i="5" s="1"/>
  <c r="D98" i="15"/>
  <c r="E98" i="15" s="1"/>
  <c r="D87" i="15"/>
  <c r="E87" i="15" s="1"/>
  <c r="D83" i="15"/>
  <c r="D89" i="15"/>
  <c r="E89" i="15" s="1"/>
  <c r="D99" i="15"/>
  <c r="E99" i="15" s="1"/>
  <c r="D86" i="15"/>
  <c r="E86" i="15" s="1"/>
  <c r="D84" i="15"/>
  <c r="D85" i="15"/>
  <c r="E85" i="15" s="1"/>
  <c r="E44" i="15"/>
  <c r="D258" i="15"/>
  <c r="D101" i="15"/>
  <c r="E101" i="15" s="1"/>
  <c r="D97" i="15"/>
  <c r="E97" i="15" s="1"/>
  <c r="D96" i="15"/>
  <c r="D100" i="15"/>
  <c r="E100" i="15" s="1"/>
  <c r="D88" i="15"/>
  <c r="E88" i="15" s="1"/>
  <c r="D95" i="15"/>
  <c r="E246" i="15"/>
  <c r="E66" i="15"/>
  <c r="D295" i="15"/>
  <c r="E295" i="15" s="1"/>
  <c r="D247" i="15"/>
  <c r="E247" i="15" s="1"/>
  <c r="C112" i="19"/>
  <c r="C47" i="19"/>
  <c r="C55" i="19"/>
  <c r="C37" i="19"/>
  <c r="C323" i="14" l="1"/>
  <c r="C183" i="14"/>
  <c r="F162" i="14"/>
  <c r="E162" i="14"/>
  <c r="C197" i="14"/>
  <c r="C148" i="14"/>
  <c r="E148" i="14" s="1"/>
  <c r="F148" i="14" s="1"/>
  <c r="E127" i="14"/>
  <c r="F127" i="14" s="1"/>
  <c r="C324" i="14"/>
  <c r="F92" i="14"/>
  <c r="E92" i="14"/>
  <c r="C113" i="14"/>
  <c r="E113" i="14" s="1"/>
  <c r="F113" i="14" s="1"/>
  <c r="D22" i="5"/>
  <c r="D99" i="5"/>
  <c r="D101" i="5" s="1"/>
  <c r="D98" i="5" s="1"/>
  <c r="E95" i="15"/>
  <c r="D102" i="15"/>
  <c r="E102" i="15" s="1"/>
  <c r="E96" i="15"/>
  <c r="E84" i="15"/>
  <c r="D90" i="15"/>
  <c r="E90" i="15" s="1"/>
  <c r="E83" i="15"/>
  <c r="D91" i="15"/>
  <c r="C99" i="5"/>
  <c r="C101" i="5" s="1"/>
  <c r="C98" i="5" s="1"/>
  <c r="C22" i="5"/>
  <c r="D310" i="14"/>
  <c r="E48" i="2"/>
  <c r="F48" i="2" s="1"/>
  <c r="C305" i="14"/>
  <c r="E291" i="14"/>
  <c r="F291" i="14" s="1"/>
  <c r="E289" i="14"/>
  <c r="F289" i="14" s="1"/>
  <c r="C128" i="15"/>
  <c r="E128" i="15" s="1"/>
  <c r="E122" i="15"/>
  <c r="E109" i="15"/>
  <c r="C271" i="15"/>
  <c r="D264" i="15"/>
  <c r="E258" i="15"/>
  <c r="C70" i="14"/>
  <c r="E50" i="14"/>
  <c r="F50" i="14" s="1"/>
  <c r="E121" i="15"/>
  <c r="C129" i="15"/>
  <c r="E129" i="15" s="1"/>
  <c r="C116" i="15"/>
  <c r="E116" i="15" s="1"/>
  <c r="E110" i="15"/>
  <c r="C325" i="14" l="1"/>
  <c r="E325" i="14" s="1"/>
  <c r="F325" i="14" s="1"/>
  <c r="E324" i="14"/>
  <c r="F324" i="14" s="1"/>
  <c r="E183" i="14"/>
  <c r="F183" i="14" s="1"/>
  <c r="E197" i="14"/>
  <c r="F197" i="14"/>
  <c r="E323" i="14"/>
  <c r="F323" i="14"/>
  <c r="E70" i="14"/>
  <c r="F70" i="14" s="1"/>
  <c r="C117" i="15"/>
  <c r="E91" i="15"/>
  <c r="D266" i="15"/>
  <c r="E264" i="15"/>
  <c r="C309" i="14"/>
  <c r="E305" i="14"/>
  <c r="F305" i="14" s="1"/>
  <c r="D312" i="14"/>
  <c r="D103" i="15"/>
  <c r="E103" i="15" s="1"/>
  <c r="D313" i="14" l="1"/>
  <c r="E266" i="15"/>
  <c r="D267" i="15"/>
  <c r="D105" i="15"/>
  <c r="E105" i="15" s="1"/>
  <c r="C310" i="14"/>
  <c r="E309" i="14"/>
  <c r="F309" i="14" s="1"/>
  <c r="C131" i="15"/>
  <c r="E131" i="15" s="1"/>
  <c r="E117" i="15"/>
  <c r="C312" i="14" l="1"/>
  <c r="E310" i="14"/>
  <c r="F310" i="14" s="1"/>
  <c r="E267" i="15"/>
  <c r="D269" i="15"/>
  <c r="E269" i="15" s="1"/>
  <c r="D268" i="15"/>
  <c r="D314" i="14"/>
  <c r="D256" i="14"/>
  <c r="D251" i="14"/>
  <c r="D315" i="14"/>
  <c r="D257" i="14" l="1"/>
  <c r="D318" i="14"/>
  <c r="D271" i="15"/>
  <c r="E271" i="15" s="1"/>
  <c r="E268" i="15"/>
  <c r="C313" i="14"/>
  <c r="E312" i="14"/>
  <c r="F312" i="14" s="1"/>
  <c r="C251" i="14" l="1"/>
  <c r="C256" i="14"/>
  <c r="C315" i="14"/>
  <c r="C314" i="14"/>
  <c r="F313" i="14"/>
  <c r="E313" i="14"/>
  <c r="C318" i="14" l="1"/>
  <c r="E314" i="14"/>
  <c r="F314" i="14" s="1"/>
  <c r="C257" i="14"/>
  <c r="E256" i="14"/>
  <c r="F256" i="14" s="1"/>
  <c r="E315" i="14"/>
  <c r="F315" i="14" s="1"/>
  <c r="E251" i="14"/>
  <c r="F251" i="14" s="1"/>
  <c r="F257" i="14" l="1"/>
  <c r="E257" i="14"/>
  <c r="F318" i="14"/>
  <c r="E318" i="14"/>
</calcChain>
</file>

<file path=xl/sharedStrings.xml><?xml version="1.0" encoding="utf-8"?>
<sst xmlns="http://schemas.openxmlformats.org/spreadsheetml/2006/main" count="2309" uniqueCount="985">
  <si>
    <t>JOHNSON MEMORIAL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</si>
  <si>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</si>
  <si>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</si>
  <si>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</si>
  <si>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</si>
  <si>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</si>
  <si>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</si>
  <si>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</si>
  <si>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</si>
  <si>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</si>
  <si>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</si>
  <si>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</si>
  <si>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</si>
  <si>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</si>
  <si>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</si>
  <si>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</si>
  <si>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</si>
  <si>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</si>
  <si>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</si>
  <si>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</si>
  <si>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</si>
  <si>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</si>
  <si>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</si>
  <si>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</si>
  <si>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</si>
  <si>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</si>
  <si>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</si>
  <si>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</si>
  <si>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</si>
  <si>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</si>
  <si>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</si>
  <si>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</si>
  <si>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</si>
  <si>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</si>
  <si>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</si>
  <si>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</si>
  <si>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</si>
  <si>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</si>
  <si>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</si>
  <si>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</si>
  <si>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</si>
  <si>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</si>
  <si>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</si>
  <si>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</si>
  <si>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</si>
  <si>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</si>
  <si>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</si>
  <si>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</si>
  <si>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</si>
  <si>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</si>
  <si>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</si>
  <si>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</si>
  <si>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</si>
  <si>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</si>
  <si>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</si>
  <si>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</si>
  <si>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</si>
  <si>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</si>
  <si>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</si>
  <si>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</si>
  <si>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</si>
  <si>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</si>
  <si>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</si>
  <si>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</si>
  <si>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</si>
  <si>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</si>
  <si>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</si>
  <si>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</si>
  <si>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</si>
  <si>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</si>
  <si>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</si>
  <si>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</si>
  <si>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</si>
  <si>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</si>
  <si>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</si>
  <si>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</si>
  <si>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</si>
  <si>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</si>
  <si>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</si>
  <si>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</si>
  <si>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</si>
  <si>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</si>
  <si>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</si>
  <si>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</si>
  <si>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</si>
  <si>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</si>
  <si>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</si>
  <si>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</si>
  <si>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</si>
  <si>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</si>
  <si>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</si>
  <si>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</si>
  <si>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</si>
  <si>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</si>
  <si>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</si>
  <si>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</si>
  <si>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</si>
  <si>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</si>
  <si>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</si>
  <si>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</si>
  <si>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</si>
  <si>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</si>
  <si>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</si>
  <si>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</si>
  <si>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</si>
  <si>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</si>
  <si>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</si>
  <si>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</si>
  <si>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</si>
  <si>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</si>
  <si>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</si>
  <si>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</si>
  <si>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</si>
  <si>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</si>
  <si>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</si>
  <si>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</si>
  <si>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</si>
  <si>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</si>
  <si>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</si>
  <si>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</si>
  <si>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</si>
  <si>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</si>
  <si>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</si>
  <si>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</si>
  <si>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</si>
  <si>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</si>
  <si>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</si>
  <si>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</si>
  <si>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</si>
  <si>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</si>
  <si>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</si>
  <si>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</si>
  <si>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</si>
  <si>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</si>
  <si>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</si>
  <si>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</si>
  <si>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</si>
  <si>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</si>
  <si>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</si>
  <si>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</si>
  <si>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</si>
  <si>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</si>
  <si>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</si>
  <si>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</si>
  <si>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</si>
  <si>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</si>
  <si>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</si>
  <si>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</si>
  <si>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</si>
  <si>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</si>
  <si>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</si>
  <si>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</si>
  <si>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</si>
  <si>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</si>
  <si>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</si>
  <si>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</si>
  <si>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</si>
  <si>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</si>
  <si>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</si>
  <si>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</si>
  <si>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</si>
  <si>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</si>
  <si>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</si>
  <si>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</si>
  <si>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</si>
  <si>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</si>
  <si>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</si>
  <si>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</si>
  <si>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</si>
  <si>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</si>
  <si>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</si>
  <si>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</si>
  <si>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</si>
  <si>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</si>
  <si>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</si>
  <si>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</si>
  <si>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</si>
  <si>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</si>
  <si>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</si>
  <si>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</si>
  <si>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</si>
  <si>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</si>
  <si>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</si>
  <si>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</si>
  <si>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</si>
  <si>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</si>
  <si>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</si>
  <si>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</si>
  <si>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</si>
  <si>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</si>
  <si>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</si>
  <si>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</si>
  <si>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</si>
  <si>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</si>
  <si>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</si>
  <si>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</si>
  <si>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</si>
  <si>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</si>
  <si>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</si>
  <si>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</si>
  <si>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</si>
  <si>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</si>
  <si>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</si>
  <si>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</si>
  <si>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</si>
  <si>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</si>
  <si>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</si>
  <si>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</si>
  <si>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</si>
  <si>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</si>
  <si>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</si>
  <si>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</si>
  <si>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</si>
  <si>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</si>
  <si>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</si>
  <si>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</si>
  <si>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</si>
  <si>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</si>
  <si>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</si>
  <si>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</si>
  <si>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</si>
  <si>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</si>
  <si>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</si>
  <si>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</si>
  <si>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</si>
  <si>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</si>
  <si>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</si>
  <si>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</si>
  <si>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</si>
  <si>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</si>
  <si>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</si>
  <si>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</si>
  <si>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</si>
  <si>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</si>
  <si>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</si>
  <si>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</si>
  <si>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</si>
  <si>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</si>
  <si>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</si>
  <si>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</si>
  <si>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</si>
  <si>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</si>
  <si>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</si>
  <si>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</si>
  <si>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</si>
  <si>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</si>
  <si>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</si>
  <si>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</si>
  <si>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</si>
  <si>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</si>
  <si>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</si>
  <si>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</si>
  <si>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</si>
  <si>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</si>
  <si>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</si>
  <si>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</si>
  <si>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</si>
  <si>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</si>
  <si>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</si>
  <si>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</si>
  <si>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</si>
  <si>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</si>
  <si>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</si>
  <si>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</si>
  <si>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</si>
  <si>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</si>
  <si>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</si>
  <si>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</si>
  <si>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</si>
  <si>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</si>
  <si>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</si>
  <si>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</si>
  <si>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</si>
  <si>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</si>
  <si>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</si>
  <si>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</si>
  <si>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</si>
  <si>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</si>
  <si>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</si>
  <si>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</si>
  <si>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</si>
  <si>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</si>
  <si>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</si>
  <si>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</si>
  <si>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</si>
  <si>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</si>
  <si>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</si>
  <si>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</si>
  <si>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</si>
  <si>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</si>
  <si>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</si>
  <si>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</si>
  <si>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</si>
  <si>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</si>
  <si>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</si>
  <si>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</si>
  <si>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</si>
  <si>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</si>
  <si>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</si>
  <si>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</si>
  <si>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</si>
  <si>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</si>
  <si>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</si>
  <si>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</si>
  <si>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</si>
  <si>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</si>
  <si>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</si>
  <si>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</si>
  <si>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</si>
  <si>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</si>
  <si>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</si>
  <si>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</si>
  <si>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</si>
  <si>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</si>
  <si>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</si>
  <si>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</si>
  <si>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</si>
  <si>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</si>
  <si>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</si>
  <si>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</si>
  <si>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</si>
  <si>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</si>
  <si>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</si>
  <si>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</si>
  <si>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</si>
  <si>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</si>
  <si>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</si>
  <si>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</si>
  <si>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</si>
  <si>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</si>
  <si>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</si>
  <si>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</si>
  <si>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</si>
  <si>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</si>
  <si>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</si>
  <si>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</si>
  <si>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</si>
  <si>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</si>
  <si>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</si>
  <si>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</si>
  <si>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</si>
  <si>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</si>
  <si>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</si>
  <si>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</si>
  <si>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</si>
  <si>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</si>
  <si>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</si>
  <si>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</si>
  <si>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</si>
  <si>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</si>
  <si>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</si>
  <si>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</si>
  <si>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</si>
  <si>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</si>
  <si>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</si>
  <si>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</si>
  <si>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</si>
  <si>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</si>
  <si>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</si>
  <si>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</si>
  <si>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</si>
  <si>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</si>
  <si>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</si>
  <si>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</si>
  <si>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</si>
  <si>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</si>
  <si>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</si>
  <si>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</si>
  <si>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</si>
  <si>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</si>
  <si>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</si>
  <si>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</si>
  <si>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</si>
  <si>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</si>
  <si>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</si>
  <si>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</si>
  <si>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</si>
  <si>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</si>
  <si>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</si>
  <si>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</si>
  <si>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</si>
  <si>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</si>
  <si>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</si>
  <si>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</si>
  <si>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</si>
  <si>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</si>
  <si>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</si>
  <si>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</si>
  <si>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</si>
  <si>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</si>
  <si>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</si>
  <si>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</si>
  <si>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</si>
  <si>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</si>
  <si>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</si>
  <si>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</si>
  <si>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</si>
  <si>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</si>
  <si>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</si>
  <si>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</si>
  <si>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</si>
  <si>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</si>
  <si>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</si>
  <si>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</si>
  <si>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</si>
  <si>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</si>
  <si>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</si>
  <si>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</si>
  <si>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</si>
  <si>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</si>
  <si>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</si>
  <si>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</si>
  <si>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</si>
  <si>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</si>
  <si>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</si>
  <si>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</si>
  <si>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</si>
  <si>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</si>
  <si>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</si>
  <si>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</si>
  <si>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</si>
  <si>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</si>
  <si>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</si>
  <si>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</si>
  <si>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</si>
  <si>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</si>
  <si>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</si>
  <si>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</si>
  <si>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</si>
  <si>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</si>
  <si>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</si>
  <si>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</si>
  <si>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</si>
  <si>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</si>
  <si>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</si>
  <si>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</si>
  <si>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</si>
  <si>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</si>
  <si>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</si>
  <si>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</si>
  <si>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</si>
  <si>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</si>
  <si>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</si>
  <si>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</si>
  <si>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</si>
  <si>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</si>
  <si>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</si>
  <si>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</si>
  <si>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</si>
  <si>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</si>
  <si>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</si>
  <si>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</si>
  <si>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</si>
  <si>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</si>
  <si>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</si>
  <si>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</si>
  <si>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</si>
  <si>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</si>
  <si>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</si>
  <si>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</si>
  <si>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</si>
  <si>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</si>
  <si>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</si>
  <si>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</si>
  <si>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</si>
  <si>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</si>
  <si>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</si>
  <si>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</si>
  <si>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</si>
  <si>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</si>
  <si>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</si>
  <si>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</si>
  <si>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</si>
  <si>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</si>
  <si>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</si>
  <si>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</si>
  <si>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</si>
  <si>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JOHNSON MEMORIAL MEDICAL CENTER,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</si>
  <si>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</si>
  <si>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</si>
  <si>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</si>
  <si>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</si>
  <si>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</si>
  <si>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</si>
  <si>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</si>
  <si>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</si>
  <si>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</si>
  <si>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</si>
  <si>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</si>
  <si>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</si>
  <si>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</si>
  <si>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</si>
  <si>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</si>
  <si>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</si>
  <si>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</si>
  <si>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</si>
  <si>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</si>
  <si>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</si>
  <si>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</si>
  <si>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</si>
  <si>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</si>
  <si>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</si>
  <si>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</si>
  <si>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</si>
  <si>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</si>
  <si>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</si>
  <si>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</si>
  <si>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</si>
  <si>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</si>
  <si>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</si>
  <si>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</si>
  <si>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</si>
  <si>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</si>
  <si>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</si>
  <si>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</si>
  <si>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</si>
  <si>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</si>
  <si>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</si>
  <si>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</si>
  <si>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</si>
  <si>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</si>
  <si>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</si>
  <si>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</si>
  <si>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</si>
  <si>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</si>
  <si>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</si>
  <si>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</si>
  <si>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</si>
  <si>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</si>
  <si>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</si>
  <si>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</si>
  <si>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</si>
  <si>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</si>
  <si>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</si>
  <si>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</si>
  <si>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</si>
  <si>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</si>
  <si>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</si>
  <si>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</si>
  <si>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</si>
  <si>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</si>
  <si>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</si>
  <si>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</si>
  <si>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</si>
  <si>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</si>
  <si>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</si>
  <si>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</si>
  <si>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</si>
  <si>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</si>
  <si>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</si>
  <si>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</si>
  <si>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</si>
  <si>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</si>
  <si>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</si>
  <si>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</si>
  <si>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</si>
  <si>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</si>
  <si>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</si>
  <si>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</si>
  <si>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</si>
  <si>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</si>
  <si>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</si>
  <si>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</si>
  <si>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</si>
  <si>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</si>
  <si>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</si>
  <si>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</si>
  <si>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</si>
  <si>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</si>
  <si>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</si>
  <si>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</si>
  <si>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</si>
  <si>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</si>
  <si>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</si>
  <si>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</si>
  <si>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</si>
  <si>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</si>
  <si>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</si>
  <si>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</si>
  <si>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</si>
  <si>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</si>
  <si>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</si>
  <si>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</si>
  <si>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</si>
  <si>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</si>
  <si>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</si>
  <si>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Johnson Memorial Hospital</t>
  </si>
  <si>
    <t>Offsite Surgery Department - Enfield, CT</t>
  </si>
  <si>
    <t xml:space="preserve">      Total Outpatient Surgical Procedures(A)     </t>
  </si>
  <si>
    <t>Offsite Surgical Department - Enfield, CT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</si>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</sst>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20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D3" sqref="D3"/>
    </sheetView>
  </sheetViews>
  <sheetFormatPr defaultRowHeight="24" customHeight="1" x14ac:dyDescent="0.2"/>
  <cols>
    <col min="1" max="1" width="5.7109375" style="1" customWidth="1"/>
    <col min="2" max="2" width="67.57031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4142244</v>
      </c>
      <c r="D13" s="23">
        <v>884889</v>
      </c>
      <c r="E13" s="23">
        <f t="shared" ref="E13:E22" si="0">D13-C13</f>
        <v>-3257355</v>
      </c>
      <c r="F13" s="24">
        <f t="shared" ref="F13:F22" si="1">IF(C13=0,0,E13/C13)</f>
        <v>-0.78637448687233302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6.25" customHeight="1" x14ac:dyDescent="0.2">
      <c r="A15" s="21">
        <v>3</v>
      </c>
      <c r="B15" s="22" t="s">
        <v>18</v>
      </c>
      <c r="C15" s="23">
        <v>7869668</v>
      </c>
      <c r="D15" s="23">
        <v>7216450</v>
      </c>
      <c r="E15" s="23">
        <f t="shared" si="0"/>
        <v>-653218</v>
      </c>
      <c r="F15" s="24">
        <f t="shared" si="1"/>
        <v>-8.3004518106735883E-2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1154583</v>
      </c>
      <c r="D19" s="23">
        <v>1216494</v>
      </c>
      <c r="E19" s="23">
        <f t="shared" si="0"/>
        <v>61911</v>
      </c>
      <c r="F19" s="24">
        <f t="shared" si="1"/>
        <v>5.3621957018248144E-2</v>
      </c>
    </row>
    <row r="20" spans="1:11" ht="24" customHeight="1" x14ac:dyDescent="0.2">
      <c r="A20" s="21">
        <v>8</v>
      </c>
      <c r="B20" s="22" t="s">
        <v>23</v>
      </c>
      <c r="C20" s="23">
        <v>1147109</v>
      </c>
      <c r="D20" s="23">
        <v>901400</v>
      </c>
      <c r="E20" s="23">
        <f t="shared" si="0"/>
        <v>-245709</v>
      </c>
      <c r="F20" s="24">
        <f t="shared" si="1"/>
        <v>-0.21419847634357328</v>
      </c>
    </row>
    <row r="21" spans="1:11" ht="24" customHeight="1" x14ac:dyDescent="0.2">
      <c r="A21" s="21">
        <v>9</v>
      </c>
      <c r="B21" s="22" t="s">
        <v>24</v>
      </c>
      <c r="C21" s="23">
        <v>307732</v>
      </c>
      <c r="D21" s="23">
        <v>1226590</v>
      </c>
      <c r="E21" s="23">
        <f t="shared" si="0"/>
        <v>918858</v>
      </c>
      <c r="F21" s="24">
        <f t="shared" si="1"/>
        <v>2.9859033184719173</v>
      </c>
    </row>
    <row r="22" spans="1:11" ht="24" customHeight="1" x14ac:dyDescent="0.25">
      <c r="A22" s="25"/>
      <c r="B22" s="26" t="s">
        <v>25</v>
      </c>
      <c r="C22" s="27">
        <f>SUM(C13:C21)</f>
        <v>14621336</v>
      </c>
      <c r="D22" s="27">
        <f>SUM(D13:D21)</f>
        <v>11445823</v>
      </c>
      <c r="E22" s="27">
        <f t="shared" si="0"/>
        <v>-3175513</v>
      </c>
      <c r="F22" s="28">
        <f t="shared" si="1"/>
        <v>-0.21718350498203448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3283243</v>
      </c>
      <c r="D25" s="23">
        <v>3165722</v>
      </c>
      <c r="E25" s="23">
        <f>D25-C25</f>
        <v>-117521</v>
      </c>
      <c r="F25" s="24">
        <f>IF(C25=0,0,E25/C25)</f>
        <v>-3.5794182763810051E-2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1806257</v>
      </c>
      <c r="D28" s="23">
        <v>1360994</v>
      </c>
      <c r="E28" s="23">
        <f>D28-C28</f>
        <v>-445263</v>
      </c>
      <c r="F28" s="24">
        <f>IF(C28=0,0,E28/C28)</f>
        <v>-0.24651143220483021</v>
      </c>
    </row>
    <row r="29" spans="1:11" ht="24" customHeight="1" x14ac:dyDescent="0.25">
      <c r="A29" s="25"/>
      <c r="B29" s="26" t="s">
        <v>32</v>
      </c>
      <c r="C29" s="27">
        <f>SUM(C25:C28)</f>
        <v>5089500</v>
      </c>
      <c r="D29" s="27">
        <f>SUM(D25:D28)</f>
        <v>4526716</v>
      </c>
      <c r="E29" s="27">
        <f>D29-C29</f>
        <v>-562784</v>
      </c>
      <c r="F29" s="28">
        <f>IF(C29=0,0,E29/C29)</f>
        <v>-0.11057746340504961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2868975</v>
      </c>
      <c r="D32" s="23">
        <v>2856651</v>
      </c>
      <c r="E32" s="23">
        <f>D32-C32</f>
        <v>-12324</v>
      </c>
      <c r="F32" s="24">
        <f>IF(C32=0,0,E32/C32)</f>
        <v>-4.2956108017671813E-3</v>
      </c>
    </row>
    <row r="33" spans="1:8" ht="24" customHeight="1" x14ac:dyDescent="0.2">
      <c r="A33" s="21">
        <v>7</v>
      </c>
      <c r="B33" s="22" t="s">
        <v>35</v>
      </c>
      <c r="C33" s="23">
        <v>724807</v>
      </c>
      <c r="D33" s="23">
        <v>1167552</v>
      </c>
      <c r="E33" s="23">
        <f>D33-C33</f>
        <v>442745</v>
      </c>
      <c r="F33" s="24">
        <f>IF(C33=0,0,E33/C33)</f>
        <v>0.61084536987087601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57976953</v>
      </c>
      <c r="D36" s="23">
        <v>58550236</v>
      </c>
      <c r="E36" s="23">
        <f>D36-C36</f>
        <v>573283</v>
      </c>
      <c r="F36" s="24">
        <f>IF(C36=0,0,E36/C36)</f>
        <v>9.8881188185243191E-3</v>
      </c>
    </row>
    <row r="37" spans="1:8" ht="24" customHeight="1" x14ac:dyDescent="0.2">
      <c r="A37" s="21">
        <v>2</v>
      </c>
      <c r="B37" s="22" t="s">
        <v>39</v>
      </c>
      <c r="C37" s="23">
        <v>34378475</v>
      </c>
      <c r="D37" s="23">
        <v>37256964</v>
      </c>
      <c r="E37" s="23">
        <f>D37-C37</f>
        <v>2878489</v>
      </c>
      <c r="F37" s="24">
        <f>IF(C37=0,0,E37/C37)</f>
        <v>8.3729397537267145E-2</v>
      </c>
    </row>
    <row r="38" spans="1:8" ht="24" customHeight="1" x14ac:dyDescent="0.25">
      <c r="A38" s="25"/>
      <c r="B38" s="26" t="s">
        <v>40</v>
      </c>
      <c r="C38" s="27">
        <f>C36-C37</f>
        <v>23598478</v>
      </c>
      <c r="D38" s="27">
        <f>D36-D37</f>
        <v>21293272</v>
      </c>
      <c r="E38" s="27">
        <f>D38-C38</f>
        <v>-2305206</v>
      </c>
      <c r="F38" s="28">
        <f>IF(C38=0,0,E38/C38)</f>
        <v>-9.7684520162698629E-2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23598478</v>
      </c>
      <c r="D41" s="27">
        <f>+D38+D40</f>
        <v>21293272</v>
      </c>
      <c r="E41" s="27">
        <f>D41-C41</f>
        <v>-2305206</v>
      </c>
      <c r="F41" s="28">
        <f>IF(C41=0,0,E41/C41)</f>
        <v>-9.7684520162698629E-2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46903096</v>
      </c>
      <c r="D43" s="27">
        <f>D22+D29+D31+D32+D33+D41</f>
        <v>41290014</v>
      </c>
      <c r="E43" s="27">
        <f>D43-C43</f>
        <v>-5613082</v>
      </c>
      <c r="F43" s="28">
        <f>IF(C43=0,0,E43/C43)</f>
        <v>-0.11967401896028355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5340005</v>
      </c>
      <c r="D49" s="23">
        <v>3828267</v>
      </c>
      <c r="E49" s="23">
        <f t="shared" ref="E49:E56" si="2">D49-C49</f>
        <v>-1511738</v>
      </c>
      <c r="F49" s="24">
        <f t="shared" ref="F49:F56" si="3">IF(C49=0,0,E49/C49)</f>
        <v>-0.28309673867346569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2629814</v>
      </c>
      <c r="D50" s="23">
        <v>1770108</v>
      </c>
      <c r="E50" s="23">
        <f t="shared" si="2"/>
        <v>-859706</v>
      </c>
      <c r="F50" s="24">
        <f t="shared" si="3"/>
        <v>-0.32690753034245007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1071475</v>
      </c>
      <c r="D51" s="23">
        <v>1266304</v>
      </c>
      <c r="E51" s="23">
        <f t="shared" si="2"/>
        <v>194829</v>
      </c>
      <c r="F51" s="24">
        <f t="shared" si="3"/>
        <v>0.1818325205907744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342500</v>
      </c>
      <c r="D54" s="23">
        <v>342500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7017456</v>
      </c>
      <c r="D55" s="23">
        <v>4855415</v>
      </c>
      <c r="E55" s="23">
        <f t="shared" si="2"/>
        <v>-2162041</v>
      </c>
      <c r="F55" s="24">
        <f t="shared" si="3"/>
        <v>-0.30809469984564208</v>
      </c>
    </row>
    <row r="56" spans="1:6" ht="24" customHeight="1" x14ac:dyDescent="0.25">
      <c r="A56" s="25"/>
      <c r="B56" s="26" t="s">
        <v>54</v>
      </c>
      <c r="C56" s="27">
        <f>SUM(C49:C55)</f>
        <v>16401250</v>
      </c>
      <c r="D56" s="27">
        <f>SUM(D49:D55)</f>
        <v>12062594</v>
      </c>
      <c r="E56" s="27">
        <f t="shared" si="2"/>
        <v>-4338656</v>
      </c>
      <c r="F56" s="28">
        <f t="shared" si="3"/>
        <v>-0.26453203261946501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12501250</v>
      </c>
      <c r="D60" s="23">
        <v>12158750</v>
      </c>
      <c r="E60" s="23">
        <f>D60-C60</f>
        <v>-342500</v>
      </c>
      <c r="F60" s="24">
        <f>IF(C60=0,0,E60/C60)</f>
        <v>-2.7397260273972601E-2</v>
      </c>
    </row>
    <row r="61" spans="1:6" ht="24" customHeight="1" x14ac:dyDescent="0.25">
      <c r="A61" s="25"/>
      <c r="B61" s="26" t="s">
        <v>58</v>
      </c>
      <c r="C61" s="27">
        <f>SUM(C59:C60)</f>
        <v>12501250</v>
      </c>
      <c r="D61" s="27">
        <f>SUM(D59:D60)</f>
        <v>12158750</v>
      </c>
      <c r="E61" s="27">
        <f>D61-C61</f>
        <v>-342500</v>
      </c>
      <c r="F61" s="28">
        <f>IF(C61=0,0,E61/C61)</f>
        <v>-2.7397260273972601E-2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9266631</v>
      </c>
      <c r="D64" s="23">
        <v>8452551</v>
      </c>
      <c r="E64" s="23">
        <f>D64-C64</f>
        <v>-814080</v>
      </c>
      <c r="F64" s="24">
        <f>IF(C64=0,0,E64/C64)</f>
        <v>-8.7850697842613998E-2</v>
      </c>
    </row>
    <row r="65" spans="1:6" ht="24" customHeight="1" x14ac:dyDescent="0.25">
      <c r="A65" s="25"/>
      <c r="B65" s="26" t="s">
        <v>61</v>
      </c>
      <c r="C65" s="27">
        <f>SUM(C61:C64)</f>
        <v>21767881</v>
      </c>
      <c r="D65" s="27">
        <f>SUM(D61:D64)</f>
        <v>20611301</v>
      </c>
      <c r="E65" s="27">
        <f>D65-C65</f>
        <v>-1156580</v>
      </c>
      <c r="F65" s="28">
        <f>IF(C65=0,0,E65/C65)</f>
        <v>-5.3132411005003197E-2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4607135</v>
      </c>
      <c r="D70" s="23">
        <v>4285194</v>
      </c>
      <c r="E70" s="23">
        <f>D70-C70</f>
        <v>-321941</v>
      </c>
      <c r="F70" s="24">
        <f>IF(C70=0,0,E70/C70)</f>
        <v>-6.9878785839789806E-2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321617</v>
      </c>
      <c r="E71" s="23">
        <f>D71-C71</f>
        <v>321617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4126830</v>
      </c>
      <c r="D72" s="23">
        <v>4009308</v>
      </c>
      <c r="E72" s="23">
        <f>D72-C72</f>
        <v>-117522</v>
      </c>
      <c r="F72" s="24">
        <f>IF(C72=0,0,E72/C72)</f>
        <v>-2.8477548142278698E-2</v>
      </c>
    </row>
    <row r="73" spans="1:6" ht="24" customHeight="1" x14ac:dyDescent="0.25">
      <c r="A73" s="21"/>
      <c r="B73" s="26" t="s">
        <v>67</v>
      </c>
      <c r="C73" s="27">
        <f>SUM(C70:C72)</f>
        <v>8733965</v>
      </c>
      <c r="D73" s="27">
        <f>SUM(D70:D72)</f>
        <v>8616119</v>
      </c>
      <c r="E73" s="27">
        <f>D73-C73</f>
        <v>-117846</v>
      </c>
      <c r="F73" s="28">
        <f>IF(C73=0,0,E73/C73)</f>
        <v>-1.3492840880401971E-2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46903096</v>
      </c>
      <c r="D75" s="27">
        <f>D56+D65+D67+D73</f>
        <v>41290014</v>
      </c>
      <c r="E75" s="27">
        <f>D75-C75</f>
        <v>-5613082</v>
      </c>
      <c r="F75" s="28">
        <f>IF(C75=0,0,E75/C75)</f>
        <v>-0.11967401896028355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FILING&amp;RJOHNSON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6" t="s">
        <v>477</v>
      </c>
      <c r="B1" s="697"/>
      <c r="C1" s="697"/>
      <c r="D1" s="697"/>
      <c r="E1" s="698"/>
    </row>
    <row r="2" spans="1:6" ht="24" customHeight="1" x14ac:dyDescent="0.25">
      <c r="A2" s="696" t="s">
        <v>1</v>
      </c>
      <c r="B2" s="697"/>
      <c r="C2" s="697"/>
      <c r="D2" s="697"/>
      <c r="E2" s="698"/>
    </row>
    <row r="3" spans="1:6" ht="24" customHeight="1" x14ac:dyDescent="0.25">
      <c r="A3" s="696" t="s">
        <v>2</v>
      </c>
      <c r="B3" s="697"/>
      <c r="C3" s="697"/>
      <c r="D3" s="697"/>
      <c r="E3" s="698"/>
    </row>
    <row r="4" spans="1:6" ht="24" customHeight="1" x14ac:dyDescent="0.25">
      <c r="A4" s="696" t="s">
        <v>480</v>
      </c>
      <c r="B4" s="697"/>
      <c r="C4" s="697"/>
      <c r="D4" s="697"/>
      <c r="E4" s="698"/>
    </row>
    <row r="5" spans="1:6" ht="24" customHeight="1" x14ac:dyDescent="0.25">
      <c r="A5" s="696"/>
      <c r="B5" s="697"/>
      <c r="C5" s="697"/>
      <c r="D5" s="697"/>
      <c r="E5" s="698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86692181</v>
      </c>
      <c r="D11" s="51">
        <v>89148038</v>
      </c>
      <c r="E11" s="51">
        <v>88797294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6489182</v>
      </c>
      <c r="D12" s="49">
        <v>1507077</v>
      </c>
      <c r="E12" s="49">
        <v>965605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93181363</v>
      </c>
      <c r="D13" s="51">
        <f>+D11+D12</f>
        <v>90655115</v>
      </c>
      <c r="E13" s="51">
        <f>+E11+E12</f>
        <v>89762899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98500073</v>
      </c>
      <c r="D14" s="49">
        <v>97303163</v>
      </c>
      <c r="E14" s="49">
        <v>92989841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-5318710</v>
      </c>
      <c r="D15" s="51">
        <f>+D13-D14</f>
        <v>-6648048</v>
      </c>
      <c r="E15" s="51">
        <f>+E13-E14</f>
        <v>-3226942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-672962</v>
      </c>
      <c r="D16" s="49">
        <v>33842025</v>
      </c>
      <c r="E16" s="49">
        <v>1205975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-5991672</v>
      </c>
      <c r="D17" s="51">
        <f>D15+D16</f>
        <v>27193977</v>
      </c>
      <c r="E17" s="51">
        <f>E15+E16</f>
        <v>-2020967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-5.7494345837844497E-2</v>
      </c>
      <c r="D20" s="169">
        <f>IF(+D27=0,0,+D24/+D27)</f>
        <v>-5.339920258409149E-2</v>
      </c>
      <c r="E20" s="169">
        <f>IF(+E27=0,0,+E24/+E27)</f>
        <v>-3.547303443593245E-2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-7.2746041735171707E-3</v>
      </c>
      <c r="D21" s="169">
        <f>IF(+D27=0,0,+D26/+D27)</f>
        <v>0.27182973841808733</v>
      </c>
      <c r="E21" s="169">
        <f>IF(+E27=0,0,+E26/+E27)</f>
        <v>1.3257007006594365E-2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-6.4768950011361667E-2</v>
      </c>
      <c r="D22" s="169">
        <f>IF(+D27=0,0,+D28/+D27)</f>
        <v>0.21843053583399585</v>
      </c>
      <c r="E22" s="169">
        <f>IF(+E27=0,0,+E28/+E27)</f>
        <v>-2.2216027429338082E-2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-5318710</v>
      </c>
      <c r="D24" s="51">
        <f>+D15</f>
        <v>-6648048</v>
      </c>
      <c r="E24" s="51">
        <f>+E15</f>
        <v>-3226942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93181363</v>
      </c>
      <c r="D25" s="51">
        <f>+D13</f>
        <v>90655115</v>
      </c>
      <c r="E25" s="51">
        <f>+E13</f>
        <v>89762899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-672962</v>
      </c>
      <c r="D26" s="51">
        <f>+D16</f>
        <v>33842025</v>
      </c>
      <c r="E26" s="51">
        <f>+E16</f>
        <v>1205975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92508401</v>
      </c>
      <c r="D27" s="51">
        <f>SUM(D25:D26)</f>
        <v>124497140</v>
      </c>
      <c r="E27" s="51">
        <f>SUM(E25:E26)</f>
        <v>90968874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-5991672</v>
      </c>
      <c r="D28" s="51">
        <f>+D17</f>
        <v>27193977</v>
      </c>
      <c r="E28" s="51">
        <f>+E17</f>
        <v>-2020967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-16166149</v>
      </c>
      <c r="D31" s="51">
        <v>2894449</v>
      </c>
      <c r="E31" s="52">
        <v>-9697651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-14868343</v>
      </c>
      <c r="D32" s="51">
        <v>7232493</v>
      </c>
      <c r="E32" s="51">
        <v>-5165349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-8448356</v>
      </c>
      <c r="D33" s="51">
        <f>+D32-C32</f>
        <v>22100836</v>
      </c>
      <c r="E33" s="51">
        <f>+E32-D32</f>
        <v>-12397842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2.3159000000000001</v>
      </c>
      <c r="D34" s="171">
        <f>IF(C32=0,0,+D33/C32)</f>
        <v>-1.48643571109437</v>
      </c>
      <c r="E34" s="171">
        <f>IF(D32=0,0,+E33/D32)</f>
        <v>-1.7141865190882315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0.4651518727748295</v>
      </c>
      <c r="D38" s="269">
        <f>IF(+D40=0,0,+D39/+D40)</f>
        <v>0.95771714741530756</v>
      </c>
      <c r="E38" s="269">
        <f>IF(+E40=0,0,+E39/+E40)</f>
        <v>0.966261490700143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21329107</v>
      </c>
      <c r="D39" s="270">
        <v>20051722</v>
      </c>
      <c r="E39" s="270">
        <v>15471435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45854071</v>
      </c>
      <c r="D40" s="270">
        <v>20936998</v>
      </c>
      <c r="E40" s="270">
        <v>16011644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20.703572320094356</v>
      </c>
      <c r="D42" s="271">
        <f>IF((D48/365)=0,0,+D45/(D48/365))</f>
        <v>23.293104584717398</v>
      </c>
      <c r="E42" s="271">
        <f>IF((E48/365)=0,0,+E45/(E48/365))</f>
        <v>5.3667771448895625</v>
      </c>
    </row>
    <row r="43" spans="1:14" ht="24" customHeight="1" x14ac:dyDescent="0.2">
      <c r="A43" s="17">
        <v>5</v>
      </c>
      <c r="B43" s="188" t="s">
        <v>16</v>
      </c>
      <c r="C43" s="272">
        <v>5343494</v>
      </c>
      <c r="D43" s="272">
        <v>5926275</v>
      </c>
      <c r="E43" s="272">
        <v>1301545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344</v>
      </c>
      <c r="C45" s="270">
        <f>+C43+C44</f>
        <v>5343494</v>
      </c>
      <c r="D45" s="270">
        <f>+D43+D44</f>
        <v>5926275</v>
      </c>
      <c r="E45" s="270">
        <f>+E43+E44</f>
        <v>1301545</v>
      </c>
    </row>
    <row r="46" spans="1:14" ht="24" customHeight="1" x14ac:dyDescent="0.2">
      <c r="A46" s="17">
        <v>8</v>
      </c>
      <c r="B46" s="45" t="s">
        <v>322</v>
      </c>
      <c r="C46" s="270">
        <f>+C14</f>
        <v>98500073</v>
      </c>
      <c r="D46" s="270">
        <f>+D14</f>
        <v>97303163</v>
      </c>
      <c r="E46" s="270">
        <f>+E14</f>
        <v>92989841</v>
      </c>
    </row>
    <row r="47" spans="1:14" ht="24" customHeight="1" x14ac:dyDescent="0.2">
      <c r="A47" s="17">
        <v>9</v>
      </c>
      <c r="B47" s="45" t="s">
        <v>345</v>
      </c>
      <c r="C47" s="270">
        <v>4295301</v>
      </c>
      <c r="D47" s="270">
        <v>4439184</v>
      </c>
      <c r="E47" s="270">
        <v>4470435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94204772</v>
      </c>
      <c r="D48" s="270">
        <f>+D46-D47</f>
        <v>92863979</v>
      </c>
      <c r="E48" s="270">
        <f>+E46-E47</f>
        <v>88519406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50.626293621566631</v>
      </c>
      <c r="D50" s="278">
        <f>IF((D55/365)=0,0,+D54/(D55/365))</f>
        <v>40.290643020096525</v>
      </c>
      <c r="E50" s="278">
        <f>IF((E55/365)=0,0,+E54/(E55/365))</f>
        <v>40.900125233545971</v>
      </c>
    </row>
    <row r="51" spans="1:5" ht="24" customHeight="1" x14ac:dyDescent="0.2">
      <c r="A51" s="17">
        <v>12</v>
      </c>
      <c r="B51" s="188" t="s">
        <v>348</v>
      </c>
      <c r="C51" s="279">
        <v>12328784</v>
      </c>
      <c r="D51" s="279">
        <v>11163874</v>
      </c>
      <c r="E51" s="279">
        <v>11509996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304390</v>
      </c>
      <c r="D53" s="270">
        <v>1323239</v>
      </c>
      <c r="E53" s="270">
        <v>1559803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12024394</v>
      </c>
      <c r="D54" s="280">
        <f>+D51+D52-D53</f>
        <v>9840635</v>
      </c>
      <c r="E54" s="280">
        <f>+E51+E52-E53</f>
        <v>9950193</v>
      </c>
    </row>
    <row r="55" spans="1:5" ht="24" customHeight="1" x14ac:dyDescent="0.2">
      <c r="A55" s="17">
        <v>16</v>
      </c>
      <c r="B55" s="45" t="s">
        <v>75</v>
      </c>
      <c r="C55" s="270">
        <f>+C11</f>
        <v>86692181</v>
      </c>
      <c r="D55" s="270">
        <f>+D11</f>
        <v>89148038</v>
      </c>
      <c r="E55" s="270">
        <f>+E11</f>
        <v>88797294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177.6633556843596</v>
      </c>
      <c r="D57" s="283">
        <f>IF((D61/365)=0,0,+D58/(D61/365))</f>
        <v>82.292449152970292</v>
      </c>
      <c r="E57" s="283">
        <f>IF((E61/365)=0,0,+E58/(E61/365))</f>
        <v>66.022246692437136</v>
      </c>
    </row>
    <row r="58" spans="1:5" ht="24" customHeight="1" x14ac:dyDescent="0.2">
      <c r="A58" s="17">
        <v>18</v>
      </c>
      <c r="B58" s="45" t="s">
        <v>54</v>
      </c>
      <c r="C58" s="281">
        <f>+C40</f>
        <v>45854071</v>
      </c>
      <c r="D58" s="281">
        <f>+D40</f>
        <v>20936998</v>
      </c>
      <c r="E58" s="281">
        <f>+E40</f>
        <v>16011644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98500073</v>
      </c>
      <c r="D59" s="281">
        <f t="shared" si="0"/>
        <v>97303163</v>
      </c>
      <c r="E59" s="281">
        <f t="shared" si="0"/>
        <v>92989841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4295301</v>
      </c>
      <c r="D60" s="176">
        <f t="shared" si="0"/>
        <v>4439184</v>
      </c>
      <c r="E60" s="176">
        <f t="shared" si="0"/>
        <v>4470435</v>
      </c>
    </row>
    <row r="61" spans="1:5" ht="24" customHeight="1" x14ac:dyDescent="0.2">
      <c r="A61" s="17">
        <v>21</v>
      </c>
      <c r="B61" s="45" t="s">
        <v>351</v>
      </c>
      <c r="C61" s="281">
        <f>+C59-C60</f>
        <v>94204772</v>
      </c>
      <c r="D61" s="281">
        <f>+D59-D60</f>
        <v>92863979</v>
      </c>
      <c r="E61" s="281">
        <f>+E59-E60</f>
        <v>88519406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-21.016843166570954</v>
      </c>
      <c r="D65" s="284">
        <f>IF(D67=0,0,(D66/D67)*100)</f>
        <v>10.547956862788849</v>
      </c>
      <c r="E65" s="284">
        <f>IF(E67=0,0,(E66/E67)*100)</f>
        <v>-8.653315739949397</v>
      </c>
    </row>
    <row r="66" spans="1:5" ht="24" customHeight="1" x14ac:dyDescent="0.2">
      <c r="A66" s="17">
        <v>2</v>
      </c>
      <c r="B66" s="45" t="s">
        <v>67</v>
      </c>
      <c r="C66" s="281">
        <f>+C32</f>
        <v>-14868343</v>
      </c>
      <c r="D66" s="281">
        <f>+D32</f>
        <v>7232493</v>
      </c>
      <c r="E66" s="281">
        <f>+E32</f>
        <v>-5165349</v>
      </c>
    </row>
    <row r="67" spans="1:5" ht="24" customHeight="1" x14ac:dyDescent="0.2">
      <c r="A67" s="17">
        <v>3</v>
      </c>
      <c r="B67" s="45" t="s">
        <v>43</v>
      </c>
      <c r="C67" s="281">
        <v>70744892</v>
      </c>
      <c r="D67" s="281">
        <v>68567715</v>
      </c>
      <c r="E67" s="281">
        <v>59692136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-2.1792962774776168</v>
      </c>
      <c r="D69" s="284">
        <f>IF(D75=0,0,(D72/D75)*100)</f>
        <v>60.626221039665886</v>
      </c>
      <c r="E69" s="284">
        <f>IF(E75=0,0,(E72/E75)*100)</f>
        <v>5.3658160869946947</v>
      </c>
    </row>
    <row r="70" spans="1:5" ht="24" customHeight="1" x14ac:dyDescent="0.2">
      <c r="A70" s="17">
        <v>5</v>
      </c>
      <c r="B70" s="45" t="s">
        <v>356</v>
      </c>
      <c r="C70" s="281">
        <f>+C28</f>
        <v>-5991672</v>
      </c>
      <c r="D70" s="281">
        <f>+D28</f>
        <v>27193977</v>
      </c>
      <c r="E70" s="281">
        <f>+E28</f>
        <v>-2020967</v>
      </c>
    </row>
    <row r="71" spans="1:5" ht="24" customHeight="1" x14ac:dyDescent="0.2">
      <c r="A71" s="17">
        <v>6</v>
      </c>
      <c r="B71" s="45" t="s">
        <v>345</v>
      </c>
      <c r="C71" s="176">
        <f>+C47</f>
        <v>4295301</v>
      </c>
      <c r="D71" s="176">
        <f>+D47</f>
        <v>4439184</v>
      </c>
      <c r="E71" s="176">
        <f>+E47</f>
        <v>4470435</v>
      </c>
    </row>
    <row r="72" spans="1:5" ht="24" customHeight="1" x14ac:dyDescent="0.2">
      <c r="A72" s="17">
        <v>7</v>
      </c>
      <c r="B72" s="45" t="s">
        <v>357</v>
      </c>
      <c r="C72" s="281">
        <f>+C70+C71</f>
        <v>-1696371</v>
      </c>
      <c r="D72" s="281">
        <f>+D70+D71</f>
        <v>31633161</v>
      </c>
      <c r="E72" s="281">
        <f>+E70+E71</f>
        <v>2449468</v>
      </c>
    </row>
    <row r="73" spans="1:5" ht="24" customHeight="1" x14ac:dyDescent="0.2">
      <c r="A73" s="17">
        <v>8</v>
      </c>
      <c r="B73" s="45" t="s">
        <v>54</v>
      </c>
      <c r="C73" s="270">
        <f>+C40</f>
        <v>45854071</v>
      </c>
      <c r="D73" s="270">
        <f>+D40</f>
        <v>20936998</v>
      </c>
      <c r="E73" s="270">
        <f>+E40</f>
        <v>16011644</v>
      </c>
    </row>
    <row r="74" spans="1:5" ht="24" customHeight="1" x14ac:dyDescent="0.2">
      <c r="A74" s="17">
        <v>9</v>
      </c>
      <c r="B74" s="45" t="s">
        <v>58</v>
      </c>
      <c r="C74" s="281">
        <v>31986240</v>
      </c>
      <c r="D74" s="281">
        <v>31240361</v>
      </c>
      <c r="E74" s="281">
        <v>29637852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77840311</v>
      </c>
      <c r="D75" s="270">
        <f>+D73+D74</f>
        <v>52177359</v>
      </c>
      <c r="E75" s="270">
        <f>+E73+E74</f>
        <v>45649496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186.85846748581324</v>
      </c>
      <c r="D77" s="286">
        <f>IF(D80=0,0,(D78/D80)*100)</f>
        <v>81.201048926601587</v>
      </c>
      <c r="E77" s="286">
        <f>IF(E80=0,0,(E78/E80)*100)</f>
        <v>121.10674580364747</v>
      </c>
    </row>
    <row r="78" spans="1:5" ht="24" customHeight="1" x14ac:dyDescent="0.2">
      <c r="A78" s="17">
        <v>12</v>
      </c>
      <c r="B78" s="45" t="s">
        <v>58</v>
      </c>
      <c r="C78" s="270">
        <f>+C74</f>
        <v>31986240</v>
      </c>
      <c r="D78" s="270">
        <f>+D74</f>
        <v>31240361</v>
      </c>
      <c r="E78" s="270">
        <f>+E74</f>
        <v>29637852</v>
      </c>
    </row>
    <row r="79" spans="1:5" ht="24" customHeight="1" x14ac:dyDescent="0.2">
      <c r="A79" s="17">
        <v>13</v>
      </c>
      <c r="B79" s="45" t="s">
        <v>67</v>
      </c>
      <c r="C79" s="270">
        <f>+C32</f>
        <v>-14868343</v>
      </c>
      <c r="D79" s="270">
        <f>+D32</f>
        <v>7232493</v>
      </c>
      <c r="E79" s="270">
        <f>+E32</f>
        <v>-5165349</v>
      </c>
    </row>
    <row r="80" spans="1:5" ht="24" customHeight="1" x14ac:dyDescent="0.2">
      <c r="A80" s="17">
        <v>14</v>
      </c>
      <c r="B80" s="45" t="s">
        <v>360</v>
      </c>
      <c r="C80" s="270">
        <f>+C78+C79</f>
        <v>17117897</v>
      </c>
      <c r="D80" s="270">
        <f>+D78+D79</f>
        <v>38472854</v>
      </c>
      <c r="E80" s="270">
        <f>+E78+E79</f>
        <v>24472503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FILING&amp;R&amp;8JOHNSON MEMORIAL MEDICAL CENTER,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9961</v>
      </c>
      <c r="D11" s="296">
        <v>2220</v>
      </c>
      <c r="E11" s="296">
        <v>2232</v>
      </c>
      <c r="F11" s="297">
        <v>42</v>
      </c>
      <c r="G11" s="297">
        <v>56</v>
      </c>
      <c r="H11" s="298">
        <f>IF(F11=0,0,$C11/(F11*365))</f>
        <v>0.64977168949771691</v>
      </c>
      <c r="I11" s="298">
        <f>IF(G11=0,0,$C11/(G11*365))</f>
        <v>0.48732876712328765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1149</v>
      </c>
      <c r="D13" s="296">
        <v>105</v>
      </c>
      <c r="E13" s="296">
        <v>0</v>
      </c>
      <c r="F13" s="297">
        <v>5</v>
      </c>
      <c r="G13" s="297">
        <v>7</v>
      </c>
      <c r="H13" s="298">
        <f>IF(F13=0,0,$C13/(F13*365))</f>
        <v>0.62958904109589042</v>
      </c>
      <c r="I13" s="298">
        <f>IF(G13=0,0,$C13/(G13*365))</f>
        <v>0.44970645792563602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3492</v>
      </c>
      <c r="D16" s="296">
        <v>562</v>
      </c>
      <c r="E16" s="296">
        <v>549</v>
      </c>
      <c r="F16" s="297">
        <v>17</v>
      </c>
      <c r="G16" s="297">
        <v>20</v>
      </c>
      <c r="H16" s="298">
        <f t="shared" si="0"/>
        <v>0.56277195809830782</v>
      </c>
      <c r="I16" s="298">
        <f t="shared" si="0"/>
        <v>0.47835616438356166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3492</v>
      </c>
      <c r="D17" s="300">
        <f>SUM(D15:D16)</f>
        <v>562</v>
      </c>
      <c r="E17" s="300">
        <f>SUM(E15:E16)</f>
        <v>549</v>
      </c>
      <c r="F17" s="300">
        <f>SUM(F15:F16)</f>
        <v>17</v>
      </c>
      <c r="G17" s="300">
        <f>SUM(G15:G16)</f>
        <v>20</v>
      </c>
      <c r="H17" s="301">
        <f t="shared" si="0"/>
        <v>0.56277195809830782</v>
      </c>
      <c r="I17" s="301">
        <f t="shared" si="0"/>
        <v>0.47835616438356166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640</v>
      </c>
      <c r="D21" s="296">
        <v>245</v>
      </c>
      <c r="E21" s="296">
        <v>254</v>
      </c>
      <c r="F21" s="297">
        <v>4</v>
      </c>
      <c r="G21" s="297">
        <v>6</v>
      </c>
      <c r="H21" s="298">
        <f>IF(F21=0,0,$C21/(F21*365))</f>
        <v>0.43835616438356162</v>
      </c>
      <c r="I21" s="298">
        <f>IF(G21=0,0,$C21/(G21*365))</f>
        <v>0.29223744292237441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548</v>
      </c>
      <c r="D23" s="296">
        <v>241</v>
      </c>
      <c r="E23" s="296">
        <v>238</v>
      </c>
      <c r="F23" s="297">
        <v>4</v>
      </c>
      <c r="G23" s="297">
        <v>6</v>
      </c>
      <c r="H23" s="298">
        <f>IF(F23=0,0,$C23/(F23*365))</f>
        <v>0.37534246575342467</v>
      </c>
      <c r="I23" s="298">
        <f>IF(G23=0,0,$C23/(G23*365))</f>
        <v>0.25022831050228311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15242</v>
      </c>
      <c r="D31" s="300">
        <f>SUM(D10:D29)-D13-D17-D23</f>
        <v>3027</v>
      </c>
      <c r="E31" s="300">
        <f>SUM(E10:E29)-E17-E23</f>
        <v>3035</v>
      </c>
      <c r="F31" s="300">
        <f>SUM(F10:F29)-F17-F23</f>
        <v>68</v>
      </c>
      <c r="G31" s="300">
        <f>SUM(G10:G29)-G17-G23</f>
        <v>89</v>
      </c>
      <c r="H31" s="301">
        <f>IF(F31=0,0,$C31/(F31*365))</f>
        <v>0.61410153102336829</v>
      </c>
      <c r="I31" s="301">
        <f>IF(G31=0,0,$C31/(G31*365))</f>
        <v>0.4692011697706634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15790</v>
      </c>
      <c r="D33" s="300">
        <f>SUM(D10:D29)-D13-D17</f>
        <v>3268</v>
      </c>
      <c r="E33" s="300">
        <f>SUM(E10:E29)-E17</f>
        <v>3273</v>
      </c>
      <c r="F33" s="300">
        <f>SUM(F10:F29)-F17</f>
        <v>72</v>
      </c>
      <c r="G33" s="300">
        <f>SUM(G10:G29)-G17</f>
        <v>95</v>
      </c>
      <c r="H33" s="301">
        <f>IF(F33=0,0,$C33/(F33*365))</f>
        <v>0.60083713850837139</v>
      </c>
      <c r="I33" s="301">
        <f>IF(G33=0,0,$C33/(G33*365))</f>
        <v>0.45537130497476569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15790</v>
      </c>
      <c r="D36" s="300">
        <f t="shared" si="1"/>
        <v>3268</v>
      </c>
      <c r="E36" s="300">
        <f t="shared" si="1"/>
        <v>3273</v>
      </c>
      <c r="F36" s="300">
        <f t="shared" si="1"/>
        <v>72</v>
      </c>
      <c r="G36" s="300">
        <f t="shared" si="1"/>
        <v>95</v>
      </c>
      <c r="H36" s="301">
        <f t="shared" si="1"/>
        <v>0.60083713850837139</v>
      </c>
      <c r="I36" s="301">
        <f t="shared" si="1"/>
        <v>0.45537130497476569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17737</v>
      </c>
      <c r="D37" s="300">
        <v>0</v>
      </c>
      <c r="E37" s="300">
        <v>0</v>
      </c>
      <c r="F37" s="302">
        <v>72</v>
      </c>
      <c r="G37" s="302">
        <v>95</v>
      </c>
      <c r="H37" s="301">
        <f>IF(F37=0,0,$C37/(F37*365))</f>
        <v>0.67492389649923901</v>
      </c>
      <c r="I37" s="301">
        <f>IF(G37=0,0,$C37/(G37*365))</f>
        <v>0.51152126892573901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-1947</v>
      </c>
      <c r="D38" s="300">
        <f t="shared" si="2"/>
        <v>3268</v>
      </c>
      <c r="E38" s="300">
        <f t="shared" si="2"/>
        <v>3273</v>
      </c>
      <c r="F38" s="300">
        <f t="shared" si="2"/>
        <v>0</v>
      </c>
      <c r="G38" s="300">
        <f t="shared" si="2"/>
        <v>0</v>
      </c>
      <c r="H38" s="301">
        <f t="shared" si="2"/>
        <v>-7.4086757990867613E-2</v>
      </c>
      <c r="I38" s="301">
        <f t="shared" si="2"/>
        <v>-5.6149963950973325E-2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-0.10977053616733382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-0.10977053616733387</v>
      </c>
      <c r="I40" s="148">
        <f t="shared" si="3"/>
        <v>-0.10977053616733383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101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FILING&amp;RJOHNSON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526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2274</v>
      </c>
      <c r="D12" s="296">
        <v>1890</v>
      </c>
      <c r="E12" s="296">
        <f>+D12-C12</f>
        <v>-384</v>
      </c>
      <c r="F12" s="316">
        <f>IF(C12=0,0,+E12/C12)</f>
        <v>-0.16886543535620052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2187</v>
      </c>
      <c r="D13" s="296">
        <v>1824</v>
      </c>
      <c r="E13" s="296">
        <f>+D13-C13</f>
        <v>-363</v>
      </c>
      <c r="F13" s="316">
        <f>IF(C13=0,0,+E13/C13)</f>
        <v>-0.16598079561042525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3860</v>
      </c>
      <c r="D14" s="296">
        <v>3887</v>
      </c>
      <c r="E14" s="296">
        <f>+D14-C14</f>
        <v>27</v>
      </c>
      <c r="F14" s="316">
        <f>IF(C14=0,0,+E14/C14)</f>
        <v>6.9948186528497412E-3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8321</v>
      </c>
      <c r="D16" s="300">
        <f>SUM(D12:D15)</f>
        <v>7601</v>
      </c>
      <c r="E16" s="300">
        <f>+D16-C16</f>
        <v>-720</v>
      </c>
      <c r="F16" s="309">
        <f>IF(C16=0,0,+E16/C16)</f>
        <v>-8.6528061531065972E-2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197</v>
      </c>
      <c r="D19" s="296">
        <v>120</v>
      </c>
      <c r="E19" s="296">
        <f>+D19-C19</f>
        <v>-77</v>
      </c>
      <c r="F19" s="316">
        <f>IF(C19=0,0,+E19/C19)</f>
        <v>-0.39086294416243655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1161</v>
      </c>
      <c r="D20" s="296">
        <v>1376</v>
      </c>
      <c r="E20" s="296">
        <f>+D20-C20</f>
        <v>215</v>
      </c>
      <c r="F20" s="316">
        <f>IF(C20=0,0,+E20/C20)</f>
        <v>0.18518518518518517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20</v>
      </c>
      <c r="D21" s="296">
        <v>15</v>
      </c>
      <c r="E21" s="296">
        <f>+D21-C21</f>
        <v>-5</v>
      </c>
      <c r="F21" s="316">
        <f>IF(C21=0,0,+E21/C21)</f>
        <v>-0.25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1378</v>
      </c>
      <c r="D23" s="300">
        <f>SUM(D19:D22)</f>
        <v>1511</v>
      </c>
      <c r="E23" s="300">
        <f>+D23-C23</f>
        <v>133</v>
      </c>
      <c r="F23" s="309">
        <f>IF(C23=0,0,+E23/C23)</f>
        <v>9.6516690856313495E-2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646</v>
      </c>
      <c r="D63" s="296">
        <v>578</v>
      </c>
      <c r="E63" s="296">
        <f>+D63-C63</f>
        <v>-68</v>
      </c>
      <c r="F63" s="316">
        <f>IF(C63=0,0,+E63/C63)</f>
        <v>-0.10526315789473684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2297</v>
      </c>
      <c r="D64" s="296">
        <v>2283</v>
      </c>
      <c r="E64" s="296">
        <f>+D64-C64</f>
        <v>-14</v>
      </c>
      <c r="F64" s="316">
        <f>IF(C64=0,0,+E64/C64)</f>
        <v>-6.0949063996517195E-3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2943</v>
      </c>
      <c r="D65" s="300">
        <f>SUM(D63:D64)</f>
        <v>2861</v>
      </c>
      <c r="E65" s="300">
        <f>+D65-C65</f>
        <v>-82</v>
      </c>
      <c r="F65" s="309">
        <f>IF(C65=0,0,+E65/C65)</f>
        <v>-2.7862725110431533E-2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165</v>
      </c>
      <c r="D68" s="296">
        <v>130</v>
      </c>
      <c r="E68" s="296">
        <f>+D68-C68</f>
        <v>-35</v>
      </c>
      <c r="F68" s="316">
        <f>IF(C68=0,0,+E68/C68)</f>
        <v>-0.21212121212121213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2061</v>
      </c>
      <c r="D69" s="296">
        <v>1809</v>
      </c>
      <c r="E69" s="296">
        <f>+D69-C69</f>
        <v>-252</v>
      </c>
      <c r="F69" s="318">
        <f>IF(C69=0,0,+E69/C69)</f>
        <v>-0.1222707423580786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2226</v>
      </c>
      <c r="D70" s="300">
        <f>SUM(D68:D69)</f>
        <v>1939</v>
      </c>
      <c r="E70" s="300">
        <f>+D70-C70</f>
        <v>-287</v>
      </c>
      <c r="F70" s="309">
        <f>IF(C70=0,0,+E70/C70)</f>
        <v>-0.12893081761006289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2178</v>
      </c>
      <c r="D73" s="319">
        <v>2686</v>
      </c>
      <c r="E73" s="296">
        <f>+D73-C73</f>
        <v>508</v>
      </c>
      <c r="F73" s="316">
        <f>IF(C73=0,0,+E73/C73)</f>
        <v>0.23324150596877868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17243</v>
      </c>
      <c r="D74" s="319">
        <v>17435</v>
      </c>
      <c r="E74" s="296">
        <f>+D74-C74</f>
        <v>192</v>
      </c>
      <c r="F74" s="316">
        <f>IF(C74=0,0,+E74/C74)</f>
        <v>1.1134953314388447E-2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19421</v>
      </c>
      <c r="D75" s="300">
        <f>SUM(D73:D74)</f>
        <v>20121</v>
      </c>
      <c r="E75" s="300">
        <f>SUM(E73:E74)</f>
        <v>700</v>
      </c>
      <c r="F75" s="309">
        <f>IF(C75=0,0,+E75/C75)</f>
        <v>3.6043458112352607E-2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871</v>
      </c>
      <c r="D87" s="322">
        <v>1180</v>
      </c>
      <c r="E87" s="323">
        <f t="shared" ref="E87:E92" si="2">+D87-C87</f>
        <v>309</v>
      </c>
      <c r="F87" s="318">
        <f t="shared" ref="F87:F92" si="3">IF(C87=0,0,+E87/C87)</f>
        <v>0.35476463834672789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1370</v>
      </c>
      <c r="D88" s="322">
        <v>1325</v>
      </c>
      <c r="E88" s="296">
        <f t="shared" si="2"/>
        <v>-45</v>
      </c>
      <c r="F88" s="316">
        <f t="shared" si="3"/>
        <v>-3.2846715328467155E-2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1023</v>
      </c>
      <c r="D89" s="322">
        <v>1427</v>
      </c>
      <c r="E89" s="296">
        <f t="shared" si="2"/>
        <v>404</v>
      </c>
      <c r="F89" s="316">
        <f t="shared" si="3"/>
        <v>0.39491691104594329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1291</v>
      </c>
      <c r="D90" s="322">
        <v>1287</v>
      </c>
      <c r="E90" s="296">
        <f t="shared" si="2"/>
        <v>-4</v>
      </c>
      <c r="F90" s="316">
        <f t="shared" si="3"/>
        <v>-3.0983733539891559E-3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79181</v>
      </c>
      <c r="D91" s="322">
        <v>75544</v>
      </c>
      <c r="E91" s="296">
        <f t="shared" si="2"/>
        <v>-3637</v>
      </c>
      <c r="F91" s="316">
        <f t="shared" si="3"/>
        <v>-4.5932736388780135E-2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83736</v>
      </c>
      <c r="D92" s="320">
        <f>SUM(D87:D91)</f>
        <v>80763</v>
      </c>
      <c r="E92" s="300">
        <f t="shared" si="2"/>
        <v>-2973</v>
      </c>
      <c r="F92" s="309">
        <f t="shared" si="3"/>
        <v>-3.5504442533677273E-2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125.4</v>
      </c>
      <c r="D96" s="325">
        <v>119.6</v>
      </c>
      <c r="E96" s="326">
        <f>+D96-C96</f>
        <v>-5.8000000000000114</v>
      </c>
      <c r="F96" s="316">
        <f>IF(C96=0,0,+E96/C96)</f>
        <v>-4.6251993620414759E-2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5.9</v>
      </c>
      <c r="D97" s="325">
        <v>0</v>
      </c>
      <c r="E97" s="326">
        <f>+D97-C97</f>
        <v>-5.9</v>
      </c>
      <c r="F97" s="316">
        <f>IF(C97=0,0,+E97/C97)</f>
        <v>-1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344.4</v>
      </c>
      <c r="D98" s="325">
        <v>343.9</v>
      </c>
      <c r="E98" s="326">
        <f>+D98-C98</f>
        <v>-0.5</v>
      </c>
      <c r="F98" s="316">
        <f>IF(C98=0,0,+E98/C98)</f>
        <v>-1.4518002322880372E-3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475.7</v>
      </c>
      <c r="D99" s="327">
        <f>SUM(D96:D98)</f>
        <v>463.5</v>
      </c>
      <c r="E99" s="327">
        <f>+D99-C99</f>
        <v>-12.199999999999989</v>
      </c>
      <c r="F99" s="309">
        <f>IF(C99=0,0,+E99/C99)</f>
        <v>-2.5646415808282509E-2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FILING&amp;RJOHNSON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585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937</v>
      </c>
      <c r="D12" s="296">
        <v>804</v>
      </c>
      <c r="E12" s="296">
        <f>+D12-C12</f>
        <v>-133</v>
      </c>
      <c r="F12" s="316">
        <f>IF(C12=0,0,+E12/C12)</f>
        <v>-0.14194236926360726</v>
      </c>
    </row>
    <row r="13" spans="1:16" ht="15.75" customHeight="1" x14ac:dyDescent="0.2">
      <c r="A13" s="294">
        <v>2</v>
      </c>
      <c r="B13" s="295" t="s">
        <v>587</v>
      </c>
      <c r="C13" s="296">
        <v>1360</v>
      </c>
      <c r="D13" s="296">
        <v>1479</v>
      </c>
      <c r="E13" s="296">
        <f>+D13-C13</f>
        <v>119</v>
      </c>
      <c r="F13" s="316">
        <f>IF(C13=0,0,+E13/C13)</f>
        <v>8.7499999999999994E-2</v>
      </c>
    </row>
    <row r="14" spans="1:16" ht="15.75" customHeight="1" x14ac:dyDescent="0.25">
      <c r="A14" s="294"/>
      <c r="B14" s="135" t="s">
        <v>588</v>
      </c>
      <c r="C14" s="300">
        <f>SUM(C11:C13)</f>
        <v>2297</v>
      </c>
      <c r="D14" s="300">
        <f>SUM(D11:D13)</f>
        <v>2283</v>
      </c>
      <c r="E14" s="300">
        <f>+D14-C14</f>
        <v>-14</v>
      </c>
      <c r="F14" s="309">
        <f>IF(C14=0,0,+E14/C14)</f>
        <v>-6.0949063996517195E-3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561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586</v>
      </c>
      <c r="C17" s="296">
        <v>1539</v>
      </c>
      <c r="D17" s="296">
        <v>1244</v>
      </c>
      <c r="E17" s="296">
        <f>+D17-C17</f>
        <v>-295</v>
      </c>
      <c r="F17" s="316">
        <f>IF(C17=0,0,+E17/C17)</f>
        <v>-0.19168291098115658</v>
      </c>
    </row>
    <row r="18" spans="1:6" ht="15.75" customHeight="1" x14ac:dyDescent="0.2">
      <c r="A18" s="294">
        <v>2</v>
      </c>
      <c r="B18" s="295" t="s">
        <v>589</v>
      </c>
      <c r="C18" s="296">
        <v>522</v>
      </c>
      <c r="D18" s="296">
        <v>565</v>
      </c>
      <c r="E18" s="296">
        <f>+D18-C18</f>
        <v>43</v>
      </c>
      <c r="F18" s="316">
        <f>IF(C18=0,0,+E18/C18)</f>
        <v>8.2375478927203066E-2</v>
      </c>
    </row>
    <row r="19" spans="1:6" ht="15.75" customHeight="1" x14ac:dyDescent="0.25">
      <c r="A19" s="294"/>
      <c r="B19" s="135" t="s">
        <v>590</v>
      </c>
      <c r="C19" s="300">
        <f>SUM(C16:C18)</f>
        <v>2061</v>
      </c>
      <c r="D19" s="300">
        <f>SUM(D16:D18)</f>
        <v>1809</v>
      </c>
      <c r="E19" s="300">
        <f>+D19-C19</f>
        <v>-252</v>
      </c>
      <c r="F19" s="309">
        <f>IF(C19=0,0,+E19/C19)</f>
        <v>-0.1222707423580786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591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586</v>
      </c>
      <c r="C22" s="296">
        <v>17243</v>
      </c>
      <c r="D22" s="296">
        <v>17435</v>
      </c>
      <c r="E22" s="296">
        <f>+D22-C22</f>
        <v>192</v>
      </c>
      <c r="F22" s="316">
        <f>IF(C22=0,0,+E22/C22)</f>
        <v>1.1134953314388447E-2</v>
      </c>
    </row>
    <row r="23" spans="1:6" ht="15.75" customHeight="1" x14ac:dyDescent="0.25">
      <c r="A23" s="294"/>
      <c r="B23" s="135" t="s">
        <v>592</v>
      </c>
      <c r="C23" s="300">
        <f>SUM(C21:C22)</f>
        <v>17243</v>
      </c>
      <c r="D23" s="300">
        <f>SUM(D21:D22)</f>
        <v>17435</v>
      </c>
      <c r="E23" s="300">
        <f>+D23-C23</f>
        <v>192</v>
      </c>
      <c r="F23" s="309">
        <f>IF(C23=0,0,+E23/C23)</f>
        <v>1.1134953314388447E-2</v>
      </c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700" t="s">
        <v>593</v>
      </c>
      <c r="C25" s="701"/>
      <c r="D25" s="701"/>
      <c r="E25" s="701"/>
      <c r="F25" s="702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700" t="s">
        <v>594</v>
      </c>
      <c r="C27" s="701"/>
      <c r="D27" s="701"/>
      <c r="E27" s="701"/>
      <c r="F27" s="702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700" t="s">
        <v>595</v>
      </c>
      <c r="C29" s="701"/>
      <c r="D29" s="701"/>
      <c r="E29" s="701"/>
      <c r="F29" s="702"/>
    </row>
    <row r="30" spans="1:6" ht="15.75" customHeight="1" x14ac:dyDescent="0.25">
      <c r="A30" s="293"/>
      <c r="B30" s="135"/>
      <c r="C30" s="300"/>
      <c r="D30" s="300"/>
      <c r="E30" s="300"/>
      <c r="F30" s="309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FILING&amp;RJOHNSON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3" t="s">
        <v>0</v>
      </c>
      <c r="B1" s="703"/>
      <c r="C1" s="703"/>
      <c r="D1" s="703"/>
      <c r="E1" s="703"/>
      <c r="F1" s="703"/>
    </row>
    <row r="2" spans="1:21" ht="15.75" customHeight="1" x14ac:dyDescent="0.25">
      <c r="A2" s="704" t="s">
        <v>596</v>
      </c>
      <c r="B2" s="705"/>
      <c r="C2" s="705"/>
      <c r="D2" s="705"/>
      <c r="E2" s="705"/>
      <c r="F2" s="706"/>
    </row>
    <row r="3" spans="1:21" ht="15.75" customHeight="1" x14ac:dyDescent="0.25">
      <c r="A3" s="704" t="s">
        <v>597</v>
      </c>
      <c r="B3" s="705"/>
      <c r="C3" s="705"/>
      <c r="D3" s="705"/>
      <c r="E3" s="705"/>
      <c r="F3" s="706"/>
    </row>
    <row r="4" spans="1:21" ht="15.75" customHeight="1" x14ac:dyDescent="0.25">
      <c r="A4" s="707" t="s">
        <v>598</v>
      </c>
      <c r="B4" s="708"/>
      <c r="C4" s="708"/>
      <c r="D4" s="708"/>
      <c r="E4" s="708"/>
      <c r="F4" s="709"/>
    </row>
    <row r="5" spans="1:21" ht="15.75" customHeight="1" x14ac:dyDescent="0.25">
      <c r="A5" s="707" t="s">
        <v>599</v>
      </c>
      <c r="B5" s="708"/>
      <c r="C5" s="708"/>
      <c r="D5" s="708"/>
      <c r="E5" s="708"/>
      <c r="F5" s="709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42815475</v>
      </c>
      <c r="D15" s="361">
        <v>39549056</v>
      </c>
      <c r="E15" s="361">
        <f t="shared" ref="E15:E24" si="0">D15-C15</f>
        <v>-3266419</v>
      </c>
      <c r="F15" s="362">
        <f t="shared" ref="F15:F24" si="1">IF(C15=0,0,E15/C15)</f>
        <v>-7.6290616885600362E-2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14503969</v>
      </c>
      <c r="D16" s="361">
        <v>14745330</v>
      </c>
      <c r="E16" s="361">
        <f t="shared" si="0"/>
        <v>241361</v>
      </c>
      <c r="F16" s="362">
        <f t="shared" si="1"/>
        <v>1.6641031154989369E-2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0.33875529817198102</v>
      </c>
      <c r="D17" s="366">
        <f>IF(LN_IA1=0,0,LN_IA2/LN_IA1)</f>
        <v>0.37283645910537028</v>
      </c>
      <c r="E17" s="367">
        <f t="shared" si="0"/>
        <v>3.4081160933389254E-2</v>
      </c>
      <c r="F17" s="362">
        <f t="shared" si="1"/>
        <v>0.10060701963128192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1733</v>
      </c>
      <c r="D18" s="369">
        <v>1616</v>
      </c>
      <c r="E18" s="369">
        <f t="shared" si="0"/>
        <v>-117</v>
      </c>
      <c r="F18" s="362">
        <f t="shared" si="1"/>
        <v>-6.7512983266012697E-2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1.3520000000000001</v>
      </c>
      <c r="D19" s="372">
        <v>1.3605</v>
      </c>
      <c r="E19" s="373">
        <f t="shared" si="0"/>
        <v>8.499999999999952E-3</v>
      </c>
      <c r="F19" s="362">
        <f t="shared" si="1"/>
        <v>6.2869822485206745E-3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2343.0160000000001</v>
      </c>
      <c r="D20" s="376">
        <f>LN_IA4*LN_IA5</f>
        <v>2198.5680000000002</v>
      </c>
      <c r="E20" s="376">
        <f t="shared" si="0"/>
        <v>-144.44799999999987</v>
      </c>
      <c r="F20" s="362">
        <f t="shared" si="1"/>
        <v>-6.1650453944830021E-2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6190.2987431583906</v>
      </c>
      <c r="D21" s="378">
        <f>IF(LN_IA6=0,0,LN_IA2/LN_IA6)</f>
        <v>6706.7882367068014</v>
      </c>
      <c r="E21" s="378">
        <f t="shared" si="0"/>
        <v>516.48949354841079</v>
      </c>
      <c r="F21" s="362">
        <f t="shared" si="1"/>
        <v>8.3435309825594856E-2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10783</v>
      </c>
      <c r="D22" s="369">
        <v>9180</v>
      </c>
      <c r="E22" s="369">
        <f t="shared" si="0"/>
        <v>-1603</v>
      </c>
      <c r="F22" s="362">
        <f t="shared" si="1"/>
        <v>-0.14865992766391542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1345.077343967356</v>
      </c>
      <c r="D23" s="378">
        <f>IF(LN_IA8=0,0,LN_IA2/LN_IA8)</f>
        <v>1606.2450980392157</v>
      </c>
      <c r="E23" s="378">
        <f t="shared" si="0"/>
        <v>261.16775407185969</v>
      </c>
      <c r="F23" s="362">
        <f t="shared" si="1"/>
        <v>0.19416560337083338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6.2221581073283323</v>
      </c>
      <c r="D24" s="379">
        <f>IF(LN_IA4=0,0,LN_IA8/LN_IA4)</f>
        <v>5.6806930693069306</v>
      </c>
      <c r="E24" s="379">
        <f t="shared" si="0"/>
        <v>-0.54146503802140167</v>
      </c>
      <c r="F24" s="362">
        <f t="shared" si="1"/>
        <v>-8.7022063515820189E-2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26348240</v>
      </c>
      <c r="D27" s="361">
        <v>29174803</v>
      </c>
      <c r="E27" s="361">
        <f t="shared" ref="E27:E32" si="2">D27-C27</f>
        <v>2826563</v>
      </c>
      <c r="F27" s="362">
        <f t="shared" ref="F27:F32" si="3">IF(C27=0,0,E27/C27)</f>
        <v>0.10727710845202564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7013075</v>
      </c>
      <c r="D28" s="361">
        <v>7285506</v>
      </c>
      <c r="E28" s="361">
        <f t="shared" si="2"/>
        <v>272431</v>
      </c>
      <c r="F28" s="362">
        <f t="shared" si="3"/>
        <v>3.8846155217219264E-2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0.26616863213634001</v>
      </c>
      <c r="D29" s="366">
        <f>IF(LN_IA11=0,0,LN_IA12/LN_IA11)</f>
        <v>0.2497191154983977</v>
      </c>
      <c r="E29" s="367">
        <f t="shared" si="2"/>
        <v>-1.6449516637942307E-2</v>
      </c>
      <c r="F29" s="362">
        <f t="shared" si="3"/>
        <v>-6.1801108965824129E-2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0.61539058015822545</v>
      </c>
      <c r="D30" s="366">
        <f>IF(LN_IA1=0,0,LN_IA11/LN_IA1)</f>
        <v>0.73768645704210989</v>
      </c>
      <c r="E30" s="367">
        <f t="shared" si="2"/>
        <v>0.12229587688388444</v>
      </c>
      <c r="F30" s="362">
        <f t="shared" si="3"/>
        <v>0.19872887370560738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1066.4718754142048</v>
      </c>
      <c r="D31" s="376">
        <f>LN_IA14*LN_IA4</f>
        <v>1192.1013145800496</v>
      </c>
      <c r="E31" s="376">
        <f t="shared" si="2"/>
        <v>125.62943916584481</v>
      </c>
      <c r="F31" s="362">
        <f t="shared" si="3"/>
        <v>0.1177991113146344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6575.9586930280802</v>
      </c>
      <c r="D32" s="378">
        <f>IF(LN_IA15=0,0,LN_IA12/LN_IA15)</f>
        <v>6111.4822296513612</v>
      </c>
      <c r="E32" s="378">
        <f t="shared" si="2"/>
        <v>-464.47646337671904</v>
      </c>
      <c r="F32" s="362">
        <f t="shared" si="3"/>
        <v>-7.063250927490819E-2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69163715</v>
      </c>
      <c r="D35" s="361">
        <f>LN_IA1+LN_IA11</f>
        <v>68723859</v>
      </c>
      <c r="E35" s="361">
        <f>D35-C35</f>
        <v>-439856</v>
      </c>
      <c r="F35" s="362">
        <f>IF(C35=0,0,E35/C35)</f>
        <v>-6.3596352509404678E-3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21517044</v>
      </c>
      <c r="D36" s="361">
        <f>LN_IA2+LN_IA12</f>
        <v>22030836</v>
      </c>
      <c r="E36" s="361">
        <f>D36-C36</f>
        <v>513792</v>
      </c>
      <c r="F36" s="362">
        <f>IF(C36=0,0,E36/C36)</f>
        <v>2.387837288430511E-2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47646671</v>
      </c>
      <c r="D37" s="361">
        <f>LN_IA17-LN_IA18</f>
        <v>46693023</v>
      </c>
      <c r="E37" s="361">
        <f>D37-C37</f>
        <v>-953648</v>
      </c>
      <c r="F37" s="362">
        <f>IF(C37=0,0,E37/C37)</f>
        <v>-2.0014997480096774E-2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17036384</v>
      </c>
      <c r="D42" s="361">
        <v>14748364</v>
      </c>
      <c r="E42" s="361">
        <f t="shared" ref="E42:E53" si="4">D42-C42</f>
        <v>-2288020</v>
      </c>
      <c r="F42" s="362">
        <f t="shared" ref="F42:F53" si="5">IF(C42=0,0,E42/C42)</f>
        <v>-0.13430197394000981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9287493</v>
      </c>
      <c r="D43" s="361">
        <v>7431564</v>
      </c>
      <c r="E43" s="361">
        <f t="shared" si="4"/>
        <v>-1855929</v>
      </c>
      <c r="F43" s="362">
        <f t="shared" si="5"/>
        <v>-0.19983099852672837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0.54515635477575519</v>
      </c>
      <c r="D44" s="366">
        <f>IF(LN_IB1=0,0,LN_IB2/LN_IB1)</f>
        <v>0.50389073662678785</v>
      </c>
      <c r="E44" s="367">
        <f t="shared" si="4"/>
        <v>-4.1265618148967342E-2</v>
      </c>
      <c r="F44" s="362">
        <f t="shared" si="5"/>
        <v>-7.5695014443959943E-2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1143</v>
      </c>
      <c r="D45" s="369">
        <v>979</v>
      </c>
      <c r="E45" s="369">
        <f t="shared" si="4"/>
        <v>-164</v>
      </c>
      <c r="F45" s="362">
        <f t="shared" si="5"/>
        <v>-0.14348206474190725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1.1677</v>
      </c>
      <c r="D46" s="372">
        <v>1.0203</v>
      </c>
      <c r="E46" s="373">
        <f t="shared" si="4"/>
        <v>-0.14739999999999998</v>
      </c>
      <c r="F46" s="362">
        <f t="shared" si="5"/>
        <v>-0.12623105249636035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1334.6811</v>
      </c>
      <c r="D47" s="376">
        <f>LN_IB4*LN_IB5</f>
        <v>998.87369999999999</v>
      </c>
      <c r="E47" s="376">
        <f t="shared" si="4"/>
        <v>-335.80740000000003</v>
      </c>
      <c r="F47" s="362">
        <f t="shared" si="5"/>
        <v>-0.25160122519154576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6958.5858374708387</v>
      </c>
      <c r="D48" s="378">
        <f>IF(LN_IB6=0,0,LN_IB2/LN_IB6)</f>
        <v>7439.9436084862382</v>
      </c>
      <c r="E48" s="378">
        <f t="shared" si="4"/>
        <v>481.35777101539952</v>
      </c>
      <c r="F48" s="362">
        <f t="shared" si="5"/>
        <v>6.9174654485594927E-2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-768.28709431244806</v>
      </c>
      <c r="D49" s="378">
        <f>LN_IA7-LN_IB7</f>
        <v>-733.15537177943679</v>
      </c>
      <c r="E49" s="378">
        <f t="shared" si="4"/>
        <v>35.131722533011271</v>
      </c>
      <c r="F49" s="362">
        <f t="shared" si="5"/>
        <v>-4.5727336555680648E-2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-1025418.264152742</v>
      </c>
      <c r="D50" s="391">
        <f>LN_IB8*LN_IB6</f>
        <v>-732329.61888420163</v>
      </c>
      <c r="E50" s="391">
        <f t="shared" si="4"/>
        <v>293088.64526854036</v>
      </c>
      <c r="F50" s="362">
        <f t="shared" si="5"/>
        <v>-0.28582350784507105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4527</v>
      </c>
      <c r="D51" s="369">
        <v>3704</v>
      </c>
      <c r="E51" s="369">
        <f t="shared" si="4"/>
        <v>-823</v>
      </c>
      <c r="F51" s="362">
        <f t="shared" si="5"/>
        <v>-0.18179810028716589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2051.5778661365143</v>
      </c>
      <c r="D52" s="378">
        <f>IF(LN_IB10=0,0,LN_IB2/LN_IB10)</f>
        <v>2006.3617710583153</v>
      </c>
      <c r="E52" s="378">
        <f t="shared" si="4"/>
        <v>-45.216095078199032</v>
      </c>
      <c r="F52" s="362">
        <f t="shared" si="5"/>
        <v>-2.2039668015793608E-2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3.9606299212598426</v>
      </c>
      <c r="D53" s="379">
        <f>IF(LN_IB4=0,0,LN_IB10/LN_IB4)</f>
        <v>3.7834525025536263</v>
      </c>
      <c r="E53" s="379">
        <f t="shared" si="4"/>
        <v>-0.17717741870621628</v>
      </c>
      <c r="F53" s="362">
        <f t="shared" si="5"/>
        <v>-4.4734656412901523E-2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46982949</v>
      </c>
      <c r="D56" s="361">
        <v>43705243</v>
      </c>
      <c r="E56" s="361">
        <f t="shared" ref="E56:E63" si="6">D56-C56</f>
        <v>-3277706</v>
      </c>
      <c r="F56" s="362">
        <f t="shared" ref="F56:F63" si="7">IF(C56=0,0,E56/C56)</f>
        <v>-6.9763734924344581E-2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25624016</v>
      </c>
      <c r="D57" s="361">
        <v>23803326</v>
      </c>
      <c r="E57" s="361">
        <f t="shared" si="6"/>
        <v>-1820690</v>
      </c>
      <c r="F57" s="362">
        <f t="shared" si="7"/>
        <v>-7.1054045548519795E-2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0.54538969020441863</v>
      </c>
      <c r="D58" s="366">
        <f>IF(LN_IB13=0,0,LN_IB14/LN_IB13)</f>
        <v>0.54463319194907578</v>
      </c>
      <c r="E58" s="367">
        <f t="shared" si="6"/>
        <v>-7.5649825534285231E-4</v>
      </c>
      <c r="F58" s="362">
        <f t="shared" si="7"/>
        <v>-1.38707839354152E-3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2.757800540302449</v>
      </c>
      <c r="D59" s="366">
        <f>IF(LN_IB1=0,0,LN_IB13/LN_IB1)</f>
        <v>2.9633960078555153</v>
      </c>
      <c r="E59" s="367">
        <f t="shared" si="6"/>
        <v>0.20559546755306624</v>
      </c>
      <c r="F59" s="362">
        <f t="shared" si="7"/>
        <v>7.4550521166595496E-2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3152.1660175656993</v>
      </c>
      <c r="D60" s="376">
        <f>LN_IB16*LN_IB4</f>
        <v>2901.1646916905493</v>
      </c>
      <c r="E60" s="376">
        <f t="shared" si="6"/>
        <v>-251.00132587515009</v>
      </c>
      <c r="F60" s="362">
        <f t="shared" si="7"/>
        <v>-7.9628206279880237E-2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8129.0185406504934</v>
      </c>
      <c r="D61" s="378">
        <f>IF(LN_IB17=0,0,LN_IB14/LN_IB17)</f>
        <v>8204.7482751244534</v>
      </c>
      <c r="E61" s="378">
        <f t="shared" si="6"/>
        <v>75.729734473959979</v>
      </c>
      <c r="F61" s="362">
        <f t="shared" si="7"/>
        <v>9.3159751199066651E-3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-1553.0598476224131</v>
      </c>
      <c r="D62" s="378">
        <f>LN_IA16-LN_IB18</f>
        <v>-2093.2660454730922</v>
      </c>
      <c r="E62" s="378">
        <f t="shared" si="6"/>
        <v>-540.20619785067902</v>
      </c>
      <c r="F62" s="362">
        <f t="shared" si="7"/>
        <v>0.34783347124560804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-4895502.4749211343</v>
      </c>
      <c r="D63" s="361">
        <f>LN_IB19*LN_IB17</f>
        <v>-6072909.5414412385</v>
      </c>
      <c r="E63" s="361">
        <f t="shared" si="6"/>
        <v>-1177407.0665201042</v>
      </c>
      <c r="F63" s="362">
        <f t="shared" si="7"/>
        <v>0.24050790956633558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64019333</v>
      </c>
      <c r="D66" s="361">
        <f>LN_IB1+LN_IB13</f>
        <v>58453607</v>
      </c>
      <c r="E66" s="361">
        <f>D66-C66</f>
        <v>-5565726</v>
      </c>
      <c r="F66" s="362">
        <f>IF(C66=0,0,E66/C66)</f>
        <v>-8.6938206619553496E-2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34911509</v>
      </c>
      <c r="D67" s="361">
        <f>LN_IB2+LN_IB14</f>
        <v>31234890</v>
      </c>
      <c r="E67" s="361">
        <f>D67-C67</f>
        <v>-3676619</v>
      </c>
      <c r="F67" s="362">
        <f>IF(C67=0,0,E67/C67)</f>
        <v>-0.10531252029237693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29107824</v>
      </c>
      <c r="D68" s="361">
        <f>LN_IB21-LN_IB22</f>
        <v>27218717</v>
      </c>
      <c r="E68" s="361">
        <f>D68-C68</f>
        <v>-1889107</v>
      </c>
      <c r="F68" s="362">
        <f>IF(C68=0,0,E68/C68)</f>
        <v>-6.4900316835775837E-2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-5920920.7390738763</v>
      </c>
      <c r="D70" s="353">
        <f>LN_IB9+LN_IB20</f>
        <v>-6805239.1603254396</v>
      </c>
      <c r="E70" s="361">
        <f>D70-C70</f>
        <v>-884318.42125156336</v>
      </c>
      <c r="F70" s="362">
        <f>IF(C70=0,0,E70/C70)</f>
        <v>0.14935488249584042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64018828</v>
      </c>
      <c r="D73" s="400">
        <v>58453607</v>
      </c>
      <c r="E73" s="400">
        <f>D73-C73</f>
        <v>-5565221</v>
      </c>
      <c r="F73" s="401">
        <f>IF(C73=0,0,E73/C73)</f>
        <v>-8.6931004110228319E-2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35208809</v>
      </c>
      <c r="D74" s="400">
        <v>31234890</v>
      </c>
      <c r="E74" s="400">
        <f>D74-C74</f>
        <v>-3973919</v>
      </c>
      <c r="F74" s="401">
        <f>IF(C74=0,0,E74/C74)</f>
        <v>-0.11286718048315693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28810019</v>
      </c>
      <c r="D76" s="353">
        <f>LN_IB32-LN_IB33</f>
        <v>27218717</v>
      </c>
      <c r="E76" s="400">
        <f>D76-C76</f>
        <v>-1591302</v>
      </c>
      <c r="F76" s="401">
        <f>IF(C76=0,0,E76/C76)</f>
        <v>-5.5234326641714467E-2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0.4500241553937851</v>
      </c>
      <c r="D77" s="366">
        <f>IF(LN_IB1=0,0,LN_IB34/LN_IB32)</f>
        <v>0.46564649124219143</v>
      </c>
      <c r="E77" s="405">
        <f>D77-C77</f>
        <v>1.5622335848406332E-2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734342</v>
      </c>
      <c r="D83" s="361">
        <v>653864</v>
      </c>
      <c r="E83" s="361">
        <f t="shared" ref="E83:E95" si="8">D83-C83</f>
        <v>-80478</v>
      </c>
      <c r="F83" s="362">
        <f t="shared" ref="F83:F95" si="9">IF(C83=0,0,E83/C83)</f>
        <v>-0.10959198847403526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62740</v>
      </c>
      <c r="D84" s="361">
        <v>55783</v>
      </c>
      <c r="E84" s="361">
        <f t="shared" si="8"/>
        <v>-6957</v>
      </c>
      <c r="F84" s="362">
        <f t="shared" si="9"/>
        <v>-0.11088619700350653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8.5437030702315814E-2</v>
      </c>
      <c r="D85" s="366">
        <f>IF(LN_IC1=0,0,LN_IC2/LN_IC1)</f>
        <v>8.531284793167998E-2</v>
      </c>
      <c r="E85" s="367">
        <f t="shared" si="8"/>
        <v>-1.2418277063583338E-4</v>
      </c>
      <c r="F85" s="362">
        <f t="shared" si="9"/>
        <v>-1.453500544377736E-3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46</v>
      </c>
      <c r="D86" s="369">
        <v>52</v>
      </c>
      <c r="E86" s="369">
        <f t="shared" si="8"/>
        <v>6</v>
      </c>
      <c r="F86" s="362">
        <f t="shared" si="9"/>
        <v>0.13043478260869565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0.92269999999999996</v>
      </c>
      <c r="D87" s="372">
        <v>0.92349999999999999</v>
      </c>
      <c r="E87" s="373">
        <f t="shared" si="8"/>
        <v>8.0000000000002292E-4</v>
      </c>
      <c r="F87" s="362">
        <f t="shared" si="9"/>
        <v>8.6702070011924017E-4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42.444199999999995</v>
      </c>
      <c r="D88" s="376">
        <f>LN_IC4*LN_IC5</f>
        <v>48.021999999999998</v>
      </c>
      <c r="E88" s="376">
        <f t="shared" si="8"/>
        <v>5.5778000000000034</v>
      </c>
      <c r="F88" s="362">
        <f t="shared" si="9"/>
        <v>0.13141489296535225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1478.1760523228145</v>
      </c>
      <c r="D89" s="378">
        <f>IF(LN_IC6=0,0,LN_IC2/LN_IC6)</f>
        <v>1161.6134271792096</v>
      </c>
      <c r="E89" s="378">
        <f t="shared" si="8"/>
        <v>-316.56262514360492</v>
      </c>
      <c r="F89" s="362">
        <f t="shared" si="9"/>
        <v>-0.21415759282945801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5480.4097851480237</v>
      </c>
      <c r="D90" s="378">
        <f>LN_IB7-LN_IC7</f>
        <v>6278.3301813070284</v>
      </c>
      <c r="E90" s="378">
        <f t="shared" si="8"/>
        <v>797.92039615900467</v>
      </c>
      <c r="F90" s="362">
        <f t="shared" si="9"/>
        <v>0.14559502435773664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4712.1226908355766</v>
      </c>
      <c r="D91" s="378">
        <f>LN_IA7-LN_IC7</f>
        <v>5545.1748095275916</v>
      </c>
      <c r="E91" s="378">
        <f t="shared" si="8"/>
        <v>833.05211869201503</v>
      </c>
      <c r="F91" s="362">
        <f t="shared" si="9"/>
        <v>0.17678914012833019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200002.27791436337</v>
      </c>
      <c r="D92" s="353">
        <f>LN_IC9*LN_IC6</f>
        <v>266290.38470313401</v>
      </c>
      <c r="E92" s="353">
        <f t="shared" si="8"/>
        <v>66288.106788770645</v>
      </c>
      <c r="F92" s="362">
        <f t="shared" si="9"/>
        <v>0.3314367590210836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177</v>
      </c>
      <c r="D93" s="369">
        <v>169</v>
      </c>
      <c r="E93" s="369">
        <f t="shared" si="8"/>
        <v>-8</v>
      </c>
      <c r="F93" s="362">
        <f t="shared" si="9"/>
        <v>-4.519774011299435E-2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354.46327683615817</v>
      </c>
      <c r="D94" s="411">
        <f>IF(LN_IC11=0,0,LN_IC2/LN_IC11)</f>
        <v>330.07692307692309</v>
      </c>
      <c r="E94" s="411">
        <f t="shared" si="8"/>
        <v>-24.386353759235078</v>
      </c>
      <c r="F94" s="362">
        <f t="shared" si="9"/>
        <v>-6.8797969642725679E-2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3.847826086956522</v>
      </c>
      <c r="D95" s="379">
        <f>IF(LN_IC4=0,0,LN_IC11/LN_IC4)</f>
        <v>3.25</v>
      </c>
      <c r="E95" s="379">
        <f t="shared" si="8"/>
        <v>-0.59782608695652195</v>
      </c>
      <c r="F95" s="362">
        <f t="shared" si="9"/>
        <v>-0.15536723163841812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2311753</v>
      </c>
      <c r="D98" s="361">
        <v>1938061</v>
      </c>
      <c r="E98" s="361">
        <f t="shared" ref="E98:E106" si="10">D98-C98</f>
        <v>-373692</v>
      </c>
      <c r="F98" s="362">
        <f t="shared" ref="F98:F106" si="11">IF(C98=0,0,E98/C98)</f>
        <v>-0.16164875745808485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158606</v>
      </c>
      <c r="D99" s="361">
        <v>147470</v>
      </c>
      <c r="E99" s="361">
        <f t="shared" si="10"/>
        <v>-11136</v>
      </c>
      <c r="F99" s="362">
        <f t="shared" si="11"/>
        <v>-7.0211719607076659E-2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6.8608540791338865E-2</v>
      </c>
      <c r="D100" s="366">
        <f>IF(LN_IC14=0,0,LN_IC15/LN_IC14)</f>
        <v>7.609151621130604E-2</v>
      </c>
      <c r="E100" s="367">
        <f t="shared" si="10"/>
        <v>7.482975419967175E-3</v>
      </c>
      <c r="F100" s="362">
        <f t="shared" si="11"/>
        <v>0.10906769527026328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3.1480604405031989</v>
      </c>
      <c r="D101" s="366">
        <f>IF(LN_IC1=0,0,LN_IC14/LN_IC1)</f>
        <v>2.9640123940146577</v>
      </c>
      <c r="E101" s="367">
        <f t="shared" si="10"/>
        <v>-0.18404804648854123</v>
      </c>
      <c r="F101" s="362">
        <f t="shared" si="11"/>
        <v>-5.8463949459344633E-2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144.81078026314714</v>
      </c>
      <c r="D102" s="376">
        <f>LN_IC17*LN_IC4</f>
        <v>154.12864448876221</v>
      </c>
      <c r="E102" s="376">
        <f t="shared" si="10"/>
        <v>9.3178642256150681</v>
      </c>
      <c r="F102" s="362">
        <f t="shared" si="11"/>
        <v>6.4345100611175765E-2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1095.2637622128993</v>
      </c>
      <c r="D103" s="378">
        <f>IF(LN_IC18=0,0,LN_IC15/LN_IC18)</f>
        <v>956.79813761518096</v>
      </c>
      <c r="E103" s="378">
        <f t="shared" si="10"/>
        <v>-138.46562459771837</v>
      </c>
      <c r="F103" s="362">
        <f t="shared" si="11"/>
        <v>-0.12642217279056037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7033.7547784375938</v>
      </c>
      <c r="D104" s="378">
        <f>LN_IB18-LN_IC19</f>
        <v>7247.9501375092723</v>
      </c>
      <c r="E104" s="378">
        <f t="shared" si="10"/>
        <v>214.19535907167847</v>
      </c>
      <c r="F104" s="362">
        <f t="shared" si="11"/>
        <v>3.0452491708739614E-2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5480.6949308151807</v>
      </c>
      <c r="D105" s="378">
        <f>LN_IA16-LN_IC19</f>
        <v>5154.6840920361801</v>
      </c>
      <c r="E105" s="378">
        <f t="shared" si="10"/>
        <v>-326.01083877900055</v>
      </c>
      <c r="F105" s="362">
        <f t="shared" si="11"/>
        <v>-5.9483485743022514E-2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793663.70931562153</v>
      </c>
      <c r="D106" s="361">
        <f>LN_IC21*LN_IC18</f>
        <v>794484.47187332239</v>
      </c>
      <c r="E106" s="361">
        <f t="shared" si="10"/>
        <v>820.76255770085845</v>
      </c>
      <c r="F106" s="362">
        <f t="shared" si="11"/>
        <v>1.0341439933150079E-3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3046095</v>
      </c>
      <c r="D109" s="361">
        <f>LN_IC1+LN_IC14</f>
        <v>2591925</v>
      </c>
      <c r="E109" s="361">
        <f>D109-C109</f>
        <v>-454170</v>
      </c>
      <c r="F109" s="362">
        <f>IF(C109=0,0,E109/C109)</f>
        <v>-0.14909909244458888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221346</v>
      </c>
      <c r="D110" s="361">
        <f>LN_IC2+LN_IC15</f>
        <v>203253</v>
      </c>
      <c r="E110" s="361">
        <f>D110-C110</f>
        <v>-18093</v>
      </c>
      <c r="F110" s="362">
        <f>IF(C110=0,0,E110/C110)</f>
        <v>-8.1740803990133101E-2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2824749</v>
      </c>
      <c r="D111" s="361">
        <f>LN_IC23-LN_IC24</f>
        <v>2388672</v>
      </c>
      <c r="E111" s="361">
        <f>D111-C111</f>
        <v>-436077</v>
      </c>
      <c r="F111" s="362">
        <f>IF(C111=0,0,E111/C111)</f>
        <v>-0.15437725617391138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993665.98722998495</v>
      </c>
      <c r="D113" s="361">
        <f>LN_IC10+LN_IC22</f>
        <v>1060774.8565764565</v>
      </c>
      <c r="E113" s="361">
        <f>D113-C113</f>
        <v>67108.869346471503</v>
      </c>
      <c r="F113" s="362">
        <f>IF(C113=0,0,E113/C113)</f>
        <v>6.7536647333123506E-2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6757493</v>
      </c>
      <c r="D118" s="361">
        <v>8565373</v>
      </c>
      <c r="E118" s="361">
        <f t="shared" ref="E118:E130" si="12">D118-C118</f>
        <v>1807880</v>
      </c>
      <c r="F118" s="362">
        <f t="shared" ref="F118:F130" si="13">IF(C118=0,0,E118/C118)</f>
        <v>0.2675370880887335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2056980</v>
      </c>
      <c r="D119" s="361">
        <v>2558626</v>
      </c>
      <c r="E119" s="361">
        <f t="shared" si="12"/>
        <v>501646</v>
      </c>
      <c r="F119" s="362">
        <f t="shared" si="13"/>
        <v>0.243875001215374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0.30439987137241575</v>
      </c>
      <c r="D120" s="366">
        <f>IF(LN_ID1=0,0,LN_1D2/LN_ID1)</f>
        <v>0.29871740553505377</v>
      </c>
      <c r="E120" s="367">
        <f t="shared" si="12"/>
        <v>-5.682465837361983E-3</v>
      </c>
      <c r="F120" s="362">
        <f t="shared" si="13"/>
        <v>-1.8667766880918989E-2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509</v>
      </c>
      <c r="D121" s="369">
        <v>643</v>
      </c>
      <c r="E121" s="369">
        <f t="shared" si="12"/>
        <v>134</v>
      </c>
      <c r="F121" s="362">
        <f t="shared" si="13"/>
        <v>0.26326129666011788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0.85540000000000005</v>
      </c>
      <c r="D122" s="372">
        <v>0.84913000000000005</v>
      </c>
      <c r="E122" s="373">
        <f t="shared" si="12"/>
        <v>-6.2699999999999978E-3</v>
      </c>
      <c r="F122" s="362">
        <f t="shared" si="13"/>
        <v>-7.3299041384147735E-3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435.39860000000004</v>
      </c>
      <c r="D123" s="376">
        <f>LN_ID4*LN_ID5</f>
        <v>545.99059</v>
      </c>
      <c r="E123" s="376">
        <f t="shared" si="12"/>
        <v>110.59198999999995</v>
      </c>
      <c r="F123" s="362">
        <f t="shared" si="13"/>
        <v>0.25400171245382952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4724.3606203602858</v>
      </c>
      <c r="D124" s="378">
        <f>IF(LN_ID6=0,0,LN_1D2/LN_ID6)</f>
        <v>4686.2089692791224</v>
      </c>
      <c r="E124" s="378">
        <f t="shared" si="12"/>
        <v>-38.151651081163436</v>
      </c>
      <c r="F124" s="362">
        <f t="shared" si="13"/>
        <v>-8.0755162755238499E-3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2234.2252171105529</v>
      </c>
      <c r="D125" s="378">
        <f>LN_IB7-LN_ID7</f>
        <v>2753.7346392071158</v>
      </c>
      <c r="E125" s="378">
        <f t="shared" si="12"/>
        <v>519.50942209656296</v>
      </c>
      <c r="F125" s="362">
        <f t="shared" si="13"/>
        <v>0.2325233007478211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1465.9381227981048</v>
      </c>
      <c r="D126" s="378">
        <f>LN_IA7-LN_ID7</f>
        <v>2020.579267427679</v>
      </c>
      <c r="E126" s="378">
        <f t="shared" si="12"/>
        <v>554.64114462957423</v>
      </c>
      <c r="F126" s="362">
        <f t="shared" si="13"/>
        <v>0.37835235744528201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638267.40635292302</v>
      </c>
      <c r="D127" s="391">
        <f>LN_ID9*LN_ID6</f>
        <v>1103217.2663646063</v>
      </c>
      <c r="E127" s="391">
        <f t="shared" si="12"/>
        <v>464949.86001168331</v>
      </c>
      <c r="F127" s="362">
        <f t="shared" si="13"/>
        <v>0.72845621660115656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2146</v>
      </c>
      <c r="D128" s="369">
        <v>2813</v>
      </c>
      <c r="E128" s="369">
        <f t="shared" si="12"/>
        <v>667</v>
      </c>
      <c r="F128" s="362">
        <f t="shared" si="13"/>
        <v>0.3108108108108108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958.51817334575958</v>
      </c>
      <c r="D129" s="378">
        <f>IF(LN_ID11=0,0,LN_1D2/LN_ID11)</f>
        <v>909.57198720227518</v>
      </c>
      <c r="E129" s="378">
        <f t="shared" si="12"/>
        <v>-48.946186143484397</v>
      </c>
      <c r="F129" s="362">
        <f t="shared" si="13"/>
        <v>-5.106443206249818E-2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4.216110019646365</v>
      </c>
      <c r="D130" s="379">
        <f>IF(LN_ID4=0,0,LN_ID11/LN_ID4)</f>
        <v>4.3748055987558319</v>
      </c>
      <c r="E130" s="379">
        <f t="shared" si="12"/>
        <v>0.15869557910946686</v>
      </c>
      <c r="F130" s="362">
        <f t="shared" si="13"/>
        <v>3.7640284141061804E-2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8967980</v>
      </c>
      <c r="D133" s="361">
        <v>12050752</v>
      </c>
      <c r="E133" s="361">
        <f t="shared" ref="E133:E141" si="14">D133-C133</f>
        <v>3082772</v>
      </c>
      <c r="F133" s="362">
        <f t="shared" ref="F133:F141" si="15">IF(C133=0,0,E133/C133)</f>
        <v>0.34375321978862577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2213768</v>
      </c>
      <c r="D134" s="361">
        <v>2958028</v>
      </c>
      <c r="E134" s="361">
        <f t="shared" si="14"/>
        <v>744260</v>
      </c>
      <c r="F134" s="362">
        <f t="shared" si="15"/>
        <v>0.33619602415429262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0.24685246844885916</v>
      </c>
      <c r="D135" s="366">
        <f>IF(LN_ID14=0,0,LN_ID15/LN_ID14)</f>
        <v>0.2454641834800019</v>
      </c>
      <c r="E135" s="367">
        <f t="shared" si="14"/>
        <v>-1.3882849688572618E-3</v>
      </c>
      <c r="F135" s="362">
        <f t="shared" si="15"/>
        <v>-5.6239460661697827E-3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1.3271164320850943</v>
      </c>
      <c r="D136" s="366">
        <f>IF(LN_ID1=0,0,LN_ID14/LN_ID1)</f>
        <v>1.4069150286858494</v>
      </c>
      <c r="E136" s="367">
        <f t="shared" si="14"/>
        <v>7.9798596600755056E-2</v>
      </c>
      <c r="F136" s="362">
        <f t="shared" si="15"/>
        <v>6.0129310941753444E-2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675.502263931313</v>
      </c>
      <c r="D137" s="376">
        <f>LN_ID17*LN_ID4</f>
        <v>904.64636344500116</v>
      </c>
      <c r="E137" s="376">
        <f t="shared" si="14"/>
        <v>229.14409951368816</v>
      </c>
      <c r="F137" s="362">
        <f t="shared" si="15"/>
        <v>0.33922032796767682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3277.2177359054749</v>
      </c>
      <c r="D138" s="378">
        <f>IF(LN_ID18=0,0,LN_ID15/LN_ID18)</f>
        <v>3269.8169356868652</v>
      </c>
      <c r="E138" s="378">
        <f t="shared" si="14"/>
        <v>-7.4008002186096746</v>
      </c>
      <c r="F138" s="362">
        <f t="shared" si="15"/>
        <v>-2.2582570994676004E-3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4851.8008047450185</v>
      </c>
      <c r="D139" s="378">
        <f>LN_IB18-LN_ID19</f>
        <v>4934.9313394375877</v>
      </c>
      <c r="E139" s="378">
        <f t="shared" si="14"/>
        <v>83.130534692569199</v>
      </c>
      <c r="F139" s="362">
        <f t="shared" si="15"/>
        <v>1.713395459501723E-2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3298.7409571226053</v>
      </c>
      <c r="D140" s="378">
        <f>LN_IA16-LN_ID19</f>
        <v>2841.665293964496</v>
      </c>
      <c r="E140" s="378">
        <f t="shared" si="14"/>
        <v>-457.07566315810936</v>
      </c>
      <c r="F140" s="362">
        <f t="shared" si="15"/>
        <v>-0.13856064149905334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2228306.9846592662</v>
      </c>
      <c r="D141" s="353">
        <f>LN_ID21*LN_ID18</f>
        <v>2570702.1743128514</v>
      </c>
      <c r="E141" s="353">
        <f t="shared" si="14"/>
        <v>342395.1896535852</v>
      </c>
      <c r="F141" s="362">
        <f t="shared" si="15"/>
        <v>0.15365710021590287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15725473</v>
      </c>
      <c r="D144" s="361">
        <f>LN_ID1+LN_ID14</f>
        <v>20616125</v>
      </c>
      <c r="E144" s="361">
        <f>D144-C144</f>
        <v>4890652</v>
      </c>
      <c r="F144" s="362">
        <f>IF(C144=0,0,E144/C144)</f>
        <v>0.31100190118287696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4270748</v>
      </c>
      <c r="D145" s="361">
        <f>LN_1D2+LN_ID15</f>
        <v>5516654</v>
      </c>
      <c r="E145" s="361">
        <f>D145-C145</f>
        <v>1245906</v>
      </c>
      <c r="F145" s="362">
        <f>IF(C145=0,0,E145/C145)</f>
        <v>0.29173016061823365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11454725</v>
      </c>
      <c r="D146" s="361">
        <f>LN_ID23-LN_ID24</f>
        <v>15099471</v>
      </c>
      <c r="E146" s="361">
        <f>D146-C146</f>
        <v>3644746</v>
      </c>
      <c r="F146" s="362">
        <f>IF(C146=0,0,E146/C146)</f>
        <v>0.31818712365421259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2866574.391012189</v>
      </c>
      <c r="D148" s="361">
        <f>LN_ID10+LN_ID22</f>
        <v>3673919.4406774575</v>
      </c>
      <c r="E148" s="361">
        <f>D148-C148</f>
        <v>807345.04966526851</v>
      </c>
      <c r="F148" s="415">
        <f>IF(C148=0,0,E148/C148)</f>
        <v>0.28164105986455651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712436</v>
      </c>
      <c r="D153" s="361">
        <v>0</v>
      </c>
      <c r="E153" s="361">
        <f t="shared" ref="E153:E165" si="16">D153-C153</f>
        <v>-712436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147934</v>
      </c>
      <c r="D154" s="361">
        <v>0</v>
      </c>
      <c r="E154" s="361">
        <f t="shared" si="16"/>
        <v>-147934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0.20764531831631192</v>
      </c>
      <c r="D155" s="366">
        <f>IF(LN_IE1=0,0,LN_IE2/LN_IE1)</f>
        <v>0</v>
      </c>
      <c r="E155" s="367">
        <f t="shared" si="16"/>
        <v>-0.20764531831631192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32</v>
      </c>
      <c r="D156" s="419">
        <v>0</v>
      </c>
      <c r="E156" s="419">
        <f t="shared" si="16"/>
        <v>-32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1.0468999999999999</v>
      </c>
      <c r="D157" s="372">
        <v>0</v>
      </c>
      <c r="E157" s="373">
        <f t="shared" si="16"/>
        <v>-1.0468999999999999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33.500799999999998</v>
      </c>
      <c r="D158" s="376">
        <f>LN_IE4*LN_IE5</f>
        <v>0</v>
      </c>
      <c r="E158" s="376">
        <f t="shared" si="16"/>
        <v>-33.500799999999998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4415.8348457350276</v>
      </c>
      <c r="D159" s="378">
        <f>IF(LN_IE6=0,0,LN_IE2/LN_IE6)</f>
        <v>0</v>
      </c>
      <c r="E159" s="378">
        <f t="shared" si="16"/>
        <v>-4415.8348457350276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2542.7509917358111</v>
      </c>
      <c r="D160" s="378">
        <f>LN_IB7-LN_IE7</f>
        <v>7439.9436084862382</v>
      </c>
      <c r="E160" s="378">
        <f t="shared" si="16"/>
        <v>4897.1926167504271</v>
      </c>
      <c r="F160" s="362">
        <f t="shared" si="17"/>
        <v>1.9259426631497858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1774.4638974233631</v>
      </c>
      <c r="D161" s="378">
        <f>LN_IA7-LN_IE7</f>
        <v>6706.7882367068014</v>
      </c>
      <c r="E161" s="378">
        <f t="shared" si="16"/>
        <v>4932.3243392834383</v>
      </c>
      <c r="F161" s="362">
        <f t="shared" si="17"/>
        <v>2.7796138013545915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59445.960134800596</v>
      </c>
      <c r="D162" s="391">
        <f>LN_IE9*LN_IE6</f>
        <v>0</v>
      </c>
      <c r="E162" s="391">
        <f t="shared" si="16"/>
        <v>-59445.960134800596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202</v>
      </c>
      <c r="D163" s="369">
        <v>0</v>
      </c>
      <c r="E163" s="419">
        <f t="shared" si="16"/>
        <v>-202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732.34653465346537</v>
      </c>
      <c r="D164" s="378">
        <f>IF(LN_IE11=0,0,LN_IE2/LN_IE11)</f>
        <v>0</v>
      </c>
      <c r="E164" s="378">
        <f t="shared" si="16"/>
        <v>-732.34653465346537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6.3125</v>
      </c>
      <c r="D165" s="379">
        <f>IF(LN_IE4=0,0,LN_IE11/LN_IE4)</f>
        <v>0</v>
      </c>
      <c r="E165" s="379">
        <f t="shared" si="16"/>
        <v>-6.3125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996601</v>
      </c>
      <c r="D168" s="424">
        <v>0</v>
      </c>
      <c r="E168" s="424">
        <f t="shared" ref="E168:E176" si="18">D168-C168</f>
        <v>-996601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176544</v>
      </c>
      <c r="D169" s="424">
        <v>0</v>
      </c>
      <c r="E169" s="424">
        <f t="shared" si="18"/>
        <v>-176544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0.1771461196607268</v>
      </c>
      <c r="D170" s="366">
        <f>IF(LN_IE14=0,0,LN_IE15/LN_IE14)</f>
        <v>0</v>
      </c>
      <c r="E170" s="367">
        <f t="shared" si="18"/>
        <v>-0.1771461196607268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1.3988638979501316</v>
      </c>
      <c r="D171" s="366">
        <f>IF(LN_IE1=0,0,LN_IE14/LN_IE1)</f>
        <v>0</v>
      </c>
      <c r="E171" s="367">
        <f t="shared" si="18"/>
        <v>-1.3988638979501316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44.76364473440421</v>
      </c>
      <c r="D172" s="376">
        <f>LN_IE17*LN_IE4</f>
        <v>0</v>
      </c>
      <c r="E172" s="376">
        <f t="shared" si="18"/>
        <v>-44.76364473440421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3943.9147783315493</v>
      </c>
      <c r="D173" s="378">
        <f>IF(LN_IE18=0,0,LN_IE15/LN_IE18)</f>
        <v>0</v>
      </c>
      <c r="E173" s="378">
        <f t="shared" si="18"/>
        <v>-3943.9147783315493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4185.1037623189441</v>
      </c>
      <c r="D174" s="378">
        <f>LN_IB18-LN_IE19</f>
        <v>8204.7482751244534</v>
      </c>
      <c r="E174" s="378">
        <f t="shared" si="18"/>
        <v>4019.6445128055093</v>
      </c>
      <c r="F174" s="362">
        <f t="shared" si="19"/>
        <v>0.96046471989460191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2632.0439146965309</v>
      </c>
      <c r="D175" s="378">
        <f>LN_IA16-LN_IE19</f>
        <v>6111.4822296513612</v>
      </c>
      <c r="E175" s="378">
        <f t="shared" si="18"/>
        <v>3479.4383149548303</v>
      </c>
      <c r="F175" s="362">
        <f t="shared" si="19"/>
        <v>1.3219529870024993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117819.878722826</v>
      </c>
      <c r="D176" s="353">
        <f>LN_IE21*LN_IE18</f>
        <v>0</v>
      </c>
      <c r="E176" s="353">
        <f t="shared" si="18"/>
        <v>-117819.878722826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1709037</v>
      </c>
      <c r="D179" s="361">
        <f>LN_IE1+LN_IE14</f>
        <v>0</v>
      </c>
      <c r="E179" s="361">
        <f>D179-C179</f>
        <v>-1709037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324478</v>
      </c>
      <c r="D180" s="361">
        <f>LN_IE15+LN_IE2</f>
        <v>0</v>
      </c>
      <c r="E180" s="361">
        <f>D180-C180</f>
        <v>-324478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1384559</v>
      </c>
      <c r="D181" s="361">
        <f>LN_IE23-LN_IE24</f>
        <v>0</v>
      </c>
      <c r="E181" s="361">
        <f>D181-C181</f>
        <v>-1384559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177265.8388576266</v>
      </c>
      <c r="D183" s="361">
        <f>LN_IE10+LN_IE22</f>
        <v>0</v>
      </c>
      <c r="E183" s="353">
        <f>D183-C183</f>
        <v>-177265.8388576266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7469929</v>
      </c>
      <c r="D188" s="361">
        <f>LN_ID1+LN_IE1</f>
        <v>8565373</v>
      </c>
      <c r="E188" s="361">
        <f t="shared" ref="E188:E200" si="20">D188-C188</f>
        <v>1095444</v>
      </c>
      <c r="F188" s="362">
        <f t="shared" ref="F188:F200" si="21">IF(C188=0,0,E188/C188)</f>
        <v>0.14664717696781321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2204914</v>
      </c>
      <c r="D189" s="361">
        <f>LN_1D2+LN_IE2</f>
        <v>2558626</v>
      </c>
      <c r="E189" s="361">
        <f t="shared" si="20"/>
        <v>353712</v>
      </c>
      <c r="F189" s="362">
        <f t="shared" si="21"/>
        <v>0.16041986218056578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0.29517201569117996</v>
      </c>
      <c r="D190" s="366">
        <f>IF(LN_IF1=0,0,LN_IF2/LN_IF1)</f>
        <v>0.29871740553505377</v>
      </c>
      <c r="E190" s="367">
        <f t="shared" si="20"/>
        <v>3.5453898438738141E-3</v>
      </c>
      <c r="F190" s="362">
        <f t="shared" si="21"/>
        <v>1.2011266839005273E-2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541</v>
      </c>
      <c r="D191" s="369">
        <f>LN_ID4+LN_IE4</f>
        <v>643</v>
      </c>
      <c r="E191" s="369">
        <f t="shared" si="20"/>
        <v>102</v>
      </c>
      <c r="F191" s="362">
        <f t="shared" si="21"/>
        <v>0.18853974121996303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0.86672717190388171</v>
      </c>
      <c r="D192" s="372">
        <f>IF((LN_ID4+LN_IE4)=0,0,(LN_ID6+LN_IE6)/(LN_ID4+LN_IE4))</f>
        <v>0.84913000000000005</v>
      </c>
      <c r="E192" s="373">
        <f t="shared" si="20"/>
        <v>-1.7597171903881659E-2</v>
      </c>
      <c r="F192" s="362">
        <f t="shared" si="21"/>
        <v>-2.0303011690780533E-2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468.89940000000001</v>
      </c>
      <c r="D193" s="376">
        <f>LN_IF4*LN_IF5</f>
        <v>545.99059</v>
      </c>
      <c r="E193" s="376">
        <f t="shared" si="20"/>
        <v>77.091189999999983</v>
      </c>
      <c r="F193" s="362">
        <f t="shared" si="21"/>
        <v>0.16440880495901675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4702.3178106007381</v>
      </c>
      <c r="D194" s="378">
        <f>IF(LN_IF6=0,0,LN_IF2/LN_IF6)</f>
        <v>4686.2089692791224</v>
      </c>
      <c r="E194" s="378">
        <f t="shared" si="20"/>
        <v>-16.108841321615728</v>
      </c>
      <c r="F194" s="362">
        <f t="shared" si="21"/>
        <v>-3.4257236474532896E-3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2256.2680268701006</v>
      </c>
      <c r="D195" s="378">
        <f>LN_IB7-LN_IF7</f>
        <v>2753.7346392071158</v>
      </c>
      <c r="E195" s="378">
        <f t="shared" si="20"/>
        <v>497.46661233701525</v>
      </c>
      <c r="F195" s="362">
        <f t="shared" si="21"/>
        <v>0.22048205550610134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1487.9809325576525</v>
      </c>
      <c r="D196" s="378">
        <f>LN_IA7-LN_IF7</f>
        <v>2020.579267427679</v>
      </c>
      <c r="E196" s="378">
        <f t="shared" si="20"/>
        <v>532.59833487002652</v>
      </c>
      <c r="F196" s="362">
        <f t="shared" si="21"/>
        <v>0.35793357509935075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697713.36648772366</v>
      </c>
      <c r="D197" s="391">
        <f>LN_IF9*LN_IF6</f>
        <v>1103217.2663646063</v>
      </c>
      <c r="E197" s="391">
        <f t="shared" si="20"/>
        <v>405503.89987688267</v>
      </c>
      <c r="F197" s="362">
        <f t="shared" si="21"/>
        <v>0.58118981139516057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2348</v>
      </c>
      <c r="D198" s="369">
        <f>LN_ID11+LN_IE11</f>
        <v>2813</v>
      </c>
      <c r="E198" s="369">
        <f t="shared" si="20"/>
        <v>465</v>
      </c>
      <c r="F198" s="362">
        <f t="shared" si="21"/>
        <v>0.19804088586030663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939.06047700170359</v>
      </c>
      <c r="D199" s="432">
        <f>IF(LN_IF11=0,0,LN_IF2/LN_IF11)</f>
        <v>909.57198720227518</v>
      </c>
      <c r="E199" s="432">
        <f t="shared" si="20"/>
        <v>-29.488489799428407</v>
      </c>
      <c r="F199" s="362">
        <f t="shared" si="21"/>
        <v>-3.1402120014230893E-2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4.3401109057301293</v>
      </c>
      <c r="D200" s="379">
        <f>IF(LN_IF4=0,0,LN_IF11/LN_IF4)</f>
        <v>4.3748055987558319</v>
      </c>
      <c r="E200" s="379">
        <f t="shared" si="20"/>
        <v>3.4694693025702605E-2</v>
      </c>
      <c r="F200" s="362">
        <f t="shared" si="21"/>
        <v>7.9939646196359078E-3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9964581</v>
      </c>
      <c r="D203" s="361">
        <f>LN_ID14+LN_IE14</f>
        <v>12050752</v>
      </c>
      <c r="E203" s="361">
        <f t="shared" ref="E203:E211" si="22">D203-C203</f>
        <v>2086171</v>
      </c>
      <c r="F203" s="362">
        <f t="shared" ref="F203:F211" si="23">IF(C203=0,0,E203/C203)</f>
        <v>0.20935862732211219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2390312</v>
      </c>
      <c r="D204" s="361">
        <f>LN_ID15+LN_IE15</f>
        <v>2958028</v>
      </c>
      <c r="E204" s="361">
        <f t="shared" si="22"/>
        <v>567716</v>
      </c>
      <c r="F204" s="362">
        <f t="shared" si="23"/>
        <v>0.23750707020673451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0.23988083392568138</v>
      </c>
      <c r="D205" s="366">
        <f>IF(LN_IF14=0,0,LN_IF15/LN_IF14)</f>
        <v>0.2454641834800019</v>
      </c>
      <c r="E205" s="367">
        <f t="shared" si="22"/>
        <v>5.5833495543205214E-3</v>
      </c>
      <c r="F205" s="362">
        <f t="shared" si="23"/>
        <v>2.327551335781301E-2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1.3339592652085448</v>
      </c>
      <c r="D206" s="366">
        <f>IF(LN_IF1=0,0,LN_IF14/LN_IF1)</f>
        <v>1.4069150286858494</v>
      </c>
      <c r="E206" s="367">
        <f t="shared" si="22"/>
        <v>7.2955763477304592E-2</v>
      </c>
      <c r="F206" s="362">
        <f t="shared" si="23"/>
        <v>5.4691147908402613E-2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720.26590866571723</v>
      </c>
      <c r="D207" s="376">
        <f>LN_ID18+LN_IE18</f>
        <v>904.64636344500116</v>
      </c>
      <c r="E207" s="376">
        <f t="shared" si="22"/>
        <v>184.38045477928392</v>
      </c>
      <c r="F207" s="362">
        <f t="shared" si="23"/>
        <v>0.25598942357392174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3318.6521411627273</v>
      </c>
      <c r="D208" s="378">
        <f>IF(LN_IF18=0,0,LN_IF15/LN_IF18)</f>
        <v>3269.8169356868652</v>
      </c>
      <c r="E208" s="378">
        <f t="shared" si="22"/>
        <v>-48.83520547586204</v>
      </c>
      <c r="F208" s="362">
        <f t="shared" si="23"/>
        <v>-1.4715373410227947E-2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4810.3663994877661</v>
      </c>
      <c r="D209" s="378">
        <f>LN_IB18-LN_IF19</f>
        <v>4934.9313394375877</v>
      </c>
      <c r="E209" s="378">
        <f t="shared" si="22"/>
        <v>124.56493994982156</v>
      </c>
      <c r="F209" s="362">
        <f t="shared" si="23"/>
        <v>2.589510436524875E-2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3257.306551865353</v>
      </c>
      <c r="D210" s="378">
        <f>LN_IA16-LN_IF19</f>
        <v>2841.665293964496</v>
      </c>
      <c r="E210" s="378">
        <f t="shared" si="22"/>
        <v>-415.641257900857</v>
      </c>
      <c r="F210" s="362">
        <f t="shared" si="23"/>
        <v>-0.12760274517694162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2346126.8633820922</v>
      </c>
      <c r="D211" s="353">
        <f>LN_IF21*LN_IF18</f>
        <v>2570702.1743128514</v>
      </c>
      <c r="E211" s="353">
        <f t="shared" si="22"/>
        <v>224575.31093075918</v>
      </c>
      <c r="F211" s="362">
        <f t="shared" si="23"/>
        <v>9.5721725212684988E-2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17434510</v>
      </c>
      <c r="D214" s="361">
        <f>LN_IF1+LN_IF14</f>
        <v>20616125</v>
      </c>
      <c r="E214" s="361">
        <f>D214-C214</f>
        <v>3181615</v>
      </c>
      <c r="F214" s="362">
        <f>IF(C214=0,0,E214/C214)</f>
        <v>0.18248949927471433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4595226</v>
      </c>
      <c r="D215" s="361">
        <f>LN_IF2+LN_IF15</f>
        <v>5516654</v>
      </c>
      <c r="E215" s="361">
        <f>D215-C215</f>
        <v>921428</v>
      </c>
      <c r="F215" s="362">
        <f>IF(C215=0,0,E215/C215)</f>
        <v>0.20051853815242165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12839284</v>
      </c>
      <c r="D216" s="361">
        <f>LN_IF23-LN_IF24</f>
        <v>15099471</v>
      </c>
      <c r="E216" s="361">
        <f>D216-C216</f>
        <v>2260187</v>
      </c>
      <c r="F216" s="362">
        <f>IF(C216=0,0,E216/C216)</f>
        <v>0.17603684130672706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253020</v>
      </c>
      <c r="D221" s="361">
        <v>400272</v>
      </c>
      <c r="E221" s="361">
        <f t="shared" ref="E221:E230" si="24">D221-C221</f>
        <v>147252</v>
      </c>
      <c r="F221" s="362">
        <f t="shared" ref="F221:F230" si="25">IF(C221=0,0,E221/C221)</f>
        <v>0.58197770927199433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96517</v>
      </c>
      <c r="D222" s="361">
        <v>152747</v>
      </c>
      <c r="E222" s="361">
        <f t="shared" si="24"/>
        <v>56230</v>
      </c>
      <c r="F222" s="362">
        <f t="shared" si="25"/>
        <v>0.5825916677890941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0.38145996363923801</v>
      </c>
      <c r="D223" s="366">
        <f>IF(LN_IG1=0,0,LN_IG2/LN_IG1)</f>
        <v>0.38160800655554222</v>
      </c>
      <c r="E223" s="367">
        <f t="shared" si="24"/>
        <v>1.4804291630421407E-4</v>
      </c>
      <c r="F223" s="362">
        <f t="shared" si="25"/>
        <v>3.8809555501406219E-4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20</v>
      </c>
      <c r="D224" s="369">
        <v>30</v>
      </c>
      <c r="E224" s="369">
        <f t="shared" si="24"/>
        <v>10</v>
      </c>
      <c r="F224" s="362">
        <f t="shared" si="25"/>
        <v>0.5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0.79500000000000004</v>
      </c>
      <c r="D225" s="372">
        <v>0.91879999999999995</v>
      </c>
      <c r="E225" s="373">
        <f t="shared" si="24"/>
        <v>0.12379999999999991</v>
      </c>
      <c r="F225" s="362">
        <f t="shared" si="25"/>
        <v>0.15572327044025144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15.9</v>
      </c>
      <c r="D226" s="376">
        <f>LN_IG3*LN_IG4</f>
        <v>27.564</v>
      </c>
      <c r="E226" s="376">
        <f t="shared" si="24"/>
        <v>11.664</v>
      </c>
      <c r="F226" s="362">
        <f t="shared" si="25"/>
        <v>0.73358490566037737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6070.2515723270435</v>
      </c>
      <c r="D227" s="378">
        <f>IF(LN_IG5=0,0,LN_IG2/LN_IG5)</f>
        <v>5541.5396894500072</v>
      </c>
      <c r="E227" s="378">
        <f t="shared" si="24"/>
        <v>-528.71188287703626</v>
      </c>
      <c r="F227" s="362">
        <f t="shared" si="25"/>
        <v>-8.7098842045907746E-2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79</v>
      </c>
      <c r="D228" s="369">
        <v>93</v>
      </c>
      <c r="E228" s="369">
        <f t="shared" si="24"/>
        <v>14</v>
      </c>
      <c r="F228" s="362">
        <f t="shared" si="25"/>
        <v>0.17721518987341772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1221.7341772151899</v>
      </c>
      <c r="D229" s="378">
        <f>IF(LN_IG6=0,0,LN_IG2/LN_IG6)</f>
        <v>1642.4408602150538</v>
      </c>
      <c r="E229" s="378">
        <f t="shared" si="24"/>
        <v>420.70668299986392</v>
      </c>
      <c r="F229" s="362">
        <f t="shared" si="25"/>
        <v>0.34435206188535955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3.95</v>
      </c>
      <c r="D230" s="379">
        <f>IF(LN_IG3=0,0,LN_IG6/LN_IG3)</f>
        <v>3.1</v>
      </c>
      <c r="E230" s="379">
        <f t="shared" si="24"/>
        <v>-0.85000000000000009</v>
      </c>
      <c r="F230" s="362">
        <f t="shared" si="25"/>
        <v>-0.21518987341772153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509289</v>
      </c>
      <c r="D233" s="361">
        <v>588682</v>
      </c>
      <c r="E233" s="361">
        <f>D233-C233</f>
        <v>79393</v>
      </c>
      <c r="F233" s="362">
        <f>IF(C233=0,0,E233/C233)</f>
        <v>0.15588987784931541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215804</v>
      </c>
      <c r="D234" s="361">
        <v>236977</v>
      </c>
      <c r="E234" s="361">
        <f>D234-C234</f>
        <v>21173</v>
      </c>
      <c r="F234" s="362">
        <f>IF(C234=0,0,E234/C234)</f>
        <v>9.8112175863283344E-2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762309</v>
      </c>
      <c r="D237" s="361">
        <f>LN_IG1+LN_IG9</f>
        <v>988954</v>
      </c>
      <c r="E237" s="361">
        <f>D237-C237</f>
        <v>226645</v>
      </c>
      <c r="F237" s="362">
        <f>IF(C237=0,0,E237/C237)</f>
        <v>0.29731381893694026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312321</v>
      </c>
      <c r="D238" s="361">
        <f>LN_IG2+LN_IG10</f>
        <v>389724</v>
      </c>
      <c r="E238" s="361">
        <f>D238-C238</f>
        <v>77403</v>
      </c>
      <c r="F238" s="362">
        <f>IF(C238=0,0,E238/C238)</f>
        <v>0.24783155791637451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449988</v>
      </c>
      <c r="D239" s="361">
        <f>LN_IG13-LN_IG14</f>
        <v>599230</v>
      </c>
      <c r="E239" s="361">
        <f>D239-C239</f>
        <v>149242</v>
      </c>
      <c r="F239" s="362">
        <f>IF(C239=0,0,E239/C239)</f>
        <v>0.33165773309510477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571177</v>
      </c>
      <c r="D243" s="361">
        <v>1209809</v>
      </c>
      <c r="E243" s="353">
        <f>D243-C243</f>
        <v>638632</v>
      </c>
      <c r="F243" s="415">
        <f>IF(C243=0,0,E243/C243)</f>
        <v>1.1180982427513713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67684735</v>
      </c>
      <c r="D244" s="361">
        <v>61306385</v>
      </c>
      <c r="E244" s="353">
        <f>D244-C244</f>
        <v>-6378350</v>
      </c>
      <c r="F244" s="415">
        <f>IF(C244=0,0,E244/C244)</f>
        <v>-9.4236167135765547E-2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280655</v>
      </c>
      <c r="D248" s="353">
        <v>465816</v>
      </c>
      <c r="E248" s="353">
        <f>D248-C248</f>
        <v>185161</v>
      </c>
      <c r="F248" s="362">
        <f>IF(C248=0,0,E248/C248)</f>
        <v>0.65974595143503589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2544094</v>
      </c>
      <c r="D249" s="353">
        <v>2141072</v>
      </c>
      <c r="E249" s="353">
        <f>D249-C249</f>
        <v>-403022</v>
      </c>
      <c r="F249" s="362">
        <f>IF(C249=0,0,E249/C249)</f>
        <v>-0.15841474410929784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2824749</v>
      </c>
      <c r="D250" s="353">
        <f>LN_IH4+LN_IH5</f>
        <v>2606888</v>
      </c>
      <c r="E250" s="353">
        <f>D250-C250</f>
        <v>-217861</v>
      </c>
      <c r="F250" s="362">
        <f>IF(C250=0,0,E250/C250)</f>
        <v>-7.7125790645469733E-2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1097379.1158228724</v>
      </c>
      <c r="D251" s="353">
        <f>LN_IH6*LN_III10</f>
        <v>991105.39349765796</v>
      </c>
      <c r="E251" s="353">
        <f>D251-C251</f>
        <v>-106273.72232521442</v>
      </c>
      <c r="F251" s="362">
        <f>IF(C251=0,0,E251/C251)</f>
        <v>-9.684321561516579E-2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17434510</v>
      </c>
      <c r="D254" s="353">
        <f>LN_IF23</f>
        <v>20616125</v>
      </c>
      <c r="E254" s="353">
        <f>D254-C254</f>
        <v>3181615</v>
      </c>
      <c r="F254" s="362">
        <f>IF(C254=0,0,E254/C254)</f>
        <v>0.18248949927471433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4595226</v>
      </c>
      <c r="D255" s="353">
        <f>LN_IF24</f>
        <v>5516654</v>
      </c>
      <c r="E255" s="353">
        <f>D255-C255</f>
        <v>921428</v>
      </c>
      <c r="F255" s="362">
        <f>IF(C255=0,0,E255/C255)</f>
        <v>0.20051853815242165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6773085.7391594881</v>
      </c>
      <c r="D256" s="353">
        <f>LN_IH8*LN_III10</f>
        <v>7837986.3962402316</v>
      </c>
      <c r="E256" s="353">
        <f>D256-C256</f>
        <v>1064900.6570807435</v>
      </c>
      <c r="F256" s="362">
        <f>IF(C256=0,0,E256/C256)</f>
        <v>0.15722533245428741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2177859.7391594881</v>
      </c>
      <c r="D257" s="353">
        <f>LN_IH10-LN_IH9</f>
        <v>2321332.3962402316</v>
      </c>
      <c r="E257" s="353">
        <f>D257-C257</f>
        <v>143472.65708074346</v>
      </c>
      <c r="F257" s="362">
        <f>IF(C257=0,0,E257/C257)</f>
        <v>6.5877822387273924E-2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67574808</v>
      </c>
      <c r="D261" s="361">
        <f>LN_IA1+LN_IB1+LN_IF1+LN_IG1</f>
        <v>63263065</v>
      </c>
      <c r="E261" s="361">
        <f t="shared" ref="E261:E274" si="26">D261-C261</f>
        <v>-4311743</v>
      </c>
      <c r="F261" s="415">
        <f t="shared" ref="F261:F274" si="27">IF(C261=0,0,E261/C261)</f>
        <v>-6.3806958948370227E-2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26092893</v>
      </c>
      <c r="D262" s="361">
        <f>+LN_IA2+LN_IB2+LN_IF2+LN_IG2</f>
        <v>24888267</v>
      </c>
      <c r="E262" s="361">
        <f t="shared" si="26"/>
        <v>-1204626</v>
      </c>
      <c r="F262" s="415">
        <f t="shared" si="27"/>
        <v>-4.6166824046685817E-2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0.38613343895849472</v>
      </c>
      <c r="D263" s="366">
        <f>IF(LN_IIA1=0,0,LN_IIA2/LN_IIA1)</f>
        <v>0.39340912426547781</v>
      </c>
      <c r="E263" s="367">
        <f t="shared" si="26"/>
        <v>7.2756853069830818E-3</v>
      </c>
      <c r="F263" s="371">
        <f t="shared" si="27"/>
        <v>1.8842411904567379E-2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3437</v>
      </c>
      <c r="D264" s="369">
        <f>LN_IA4+LN_IB4+LN_IF4+LN_IG3</f>
        <v>3268</v>
      </c>
      <c r="E264" s="369">
        <f t="shared" si="26"/>
        <v>-169</v>
      </c>
      <c r="F264" s="415">
        <f t="shared" si="27"/>
        <v>-4.9170788478324116E-2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1.2110842304335177</v>
      </c>
      <c r="D265" s="439">
        <f>IF(LN_IIA4=0,0,LN_IIA6/LN_IIA4)</f>
        <v>1.1539156334149328</v>
      </c>
      <c r="E265" s="439">
        <f t="shared" si="26"/>
        <v>-5.7168597018584899E-2</v>
      </c>
      <c r="F265" s="415">
        <f t="shared" si="27"/>
        <v>-4.7204476436887403E-2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4162.4965000000002</v>
      </c>
      <c r="D266" s="376">
        <f>LN_IA6+LN_IB6+LN_IF6+LN_IG5</f>
        <v>3770.99629</v>
      </c>
      <c r="E266" s="376">
        <f t="shared" si="26"/>
        <v>-391.50021000000015</v>
      </c>
      <c r="F266" s="415">
        <f t="shared" si="27"/>
        <v>-9.4054183589103349E-2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83805059</v>
      </c>
      <c r="D267" s="361">
        <f>LN_IA11+LN_IB13+LN_IF14+LN_IG9</f>
        <v>85519480</v>
      </c>
      <c r="E267" s="361">
        <f t="shared" si="26"/>
        <v>1714421</v>
      </c>
      <c r="F267" s="415">
        <f t="shared" si="27"/>
        <v>2.0457249484186868E-2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1.2401819772836054</v>
      </c>
      <c r="D268" s="366">
        <f>IF(LN_IIA1=0,0,LN_IIA7/LN_IIA1)</f>
        <v>1.3518074092679513</v>
      </c>
      <c r="E268" s="367">
        <f t="shared" si="26"/>
        <v>0.11162543198434594</v>
      </c>
      <c r="F268" s="371">
        <f t="shared" si="27"/>
        <v>9.0007300564745568E-2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35243207</v>
      </c>
      <c r="D269" s="361">
        <f>LN_IA12+LN_IB14+LN_IF15+LN_IG10</f>
        <v>34283837</v>
      </c>
      <c r="E269" s="361">
        <f t="shared" si="26"/>
        <v>-959370</v>
      </c>
      <c r="F269" s="415">
        <f t="shared" si="27"/>
        <v>-2.722141603061265E-2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0.42053794151018975</v>
      </c>
      <c r="D270" s="366">
        <f>IF(LN_IIA7=0,0,LN_IIA9/LN_IIA7)</f>
        <v>0.40088921260980537</v>
      </c>
      <c r="E270" s="367">
        <f t="shared" si="26"/>
        <v>-1.9648728900384382E-2</v>
      </c>
      <c r="F270" s="371">
        <f t="shared" si="27"/>
        <v>-4.6722844625681145E-2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151379867</v>
      </c>
      <c r="D271" s="353">
        <f>LN_IIA1+LN_IIA7</f>
        <v>148782545</v>
      </c>
      <c r="E271" s="353">
        <f t="shared" si="26"/>
        <v>-2597322</v>
      </c>
      <c r="F271" s="415">
        <f t="shared" si="27"/>
        <v>-1.7157644880213825E-2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61336100</v>
      </c>
      <c r="D272" s="353">
        <f>LN_IIA2+LN_IIA9</f>
        <v>59172104</v>
      </c>
      <c r="E272" s="353">
        <f t="shared" si="26"/>
        <v>-2163996</v>
      </c>
      <c r="F272" s="415">
        <f t="shared" si="27"/>
        <v>-3.5280952000534757E-2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0.40518003625937921</v>
      </c>
      <c r="D273" s="366">
        <f>IF(LN_IIA11=0,0,LN_IIA12/LN_IIA11)</f>
        <v>0.39770864250238497</v>
      </c>
      <c r="E273" s="367">
        <f t="shared" si="26"/>
        <v>-7.4713937569942379E-3</v>
      </c>
      <c r="F273" s="371">
        <f t="shared" si="27"/>
        <v>-1.8439688751622912E-2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17737</v>
      </c>
      <c r="D274" s="421">
        <f>LN_IA8+LN_IB10+LN_IF11+LN_IG6</f>
        <v>15790</v>
      </c>
      <c r="E274" s="442">
        <f t="shared" si="26"/>
        <v>-1947</v>
      </c>
      <c r="F274" s="371">
        <f t="shared" si="27"/>
        <v>-0.10977053616733382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50538424</v>
      </c>
      <c r="D277" s="361">
        <f>LN_IA1+LN_IF1+LN_IG1</f>
        <v>48514701</v>
      </c>
      <c r="E277" s="361">
        <f t="shared" ref="E277:E291" si="28">D277-C277</f>
        <v>-2023723</v>
      </c>
      <c r="F277" s="415">
        <f t="shared" ref="F277:F291" si="29">IF(C277=0,0,E277/C277)</f>
        <v>-4.0043255009297479E-2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16805400</v>
      </c>
      <c r="D278" s="361">
        <f>LN_IA2+LN_IF2+LN_IG2</f>
        <v>17456703</v>
      </c>
      <c r="E278" s="361">
        <f t="shared" si="28"/>
        <v>651303</v>
      </c>
      <c r="F278" s="415">
        <f t="shared" si="29"/>
        <v>3.8755578564032993E-2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0.33252718763054423</v>
      </c>
      <c r="D279" s="366">
        <f>IF(D277=0,0,LN_IIB2/D277)</f>
        <v>0.35982295345899379</v>
      </c>
      <c r="E279" s="367">
        <f t="shared" si="28"/>
        <v>2.7295765828449559E-2</v>
      </c>
      <c r="F279" s="371">
        <f t="shared" si="29"/>
        <v>8.2085816870940007E-2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2294</v>
      </c>
      <c r="D280" s="369">
        <f>LN_IA4+LN_IF4+LN_IG3</f>
        <v>2289</v>
      </c>
      <c r="E280" s="369">
        <f t="shared" si="28"/>
        <v>-5</v>
      </c>
      <c r="F280" s="415">
        <f t="shared" si="29"/>
        <v>-2.179598953792502E-3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1.2327006974716652</v>
      </c>
      <c r="D281" s="439">
        <f>IF(LN_IIB4=0,0,LN_IIB6/LN_IIB4)</f>
        <v>1.2110627304499781</v>
      </c>
      <c r="E281" s="439">
        <f t="shared" si="28"/>
        <v>-2.1637967021687077E-2</v>
      </c>
      <c r="F281" s="415">
        <f t="shared" si="29"/>
        <v>-1.7553301515986566E-2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2827.8154</v>
      </c>
      <c r="D282" s="376">
        <f>LN_IA6+LN_IF6+LN_IG5</f>
        <v>2772.1225899999999</v>
      </c>
      <c r="E282" s="376">
        <f t="shared" si="28"/>
        <v>-55.692810000000009</v>
      </c>
      <c r="F282" s="415">
        <f t="shared" si="29"/>
        <v>-1.9694641312159207E-2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36822110</v>
      </c>
      <c r="D283" s="361">
        <f>LN_IA11+LN_IF14+LN_IG9</f>
        <v>41814237</v>
      </c>
      <c r="E283" s="361">
        <f t="shared" si="28"/>
        <v>4992127</v>
      </c>
      <c r="F283" s="415">
        <f t="shared" si="29"/>
        <v>0.13557416997559346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0.72859632504567218</v>
      </c>
      <c r="D284" s="366">
        <f>IF(D277=0,0,LN_IIB7/D277)</f>
        <v>0.86188796670106238</v>
      </c>
      <c r="E284" s="367">
        <f t="shared" si="28"/>
        <v>0.1332916416553902</v>
      </c>
      <c r="F284" s="371">
        <f t="shared" si="29"/>
        <v>0.18294306061320689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9619191</v>
      </c>
      <c r="D285" s="361">
        <f>LN_IA12+LN_IF15+LN_IG10</f>
        <v>10480511</v>
      </c>
      <c r="E285" s="361">
        <f t="shared" si="28"/>
        <v>861320</v>
      </c>
      <c r="F285" s="415">
        <f t="shared" si="29"/>
        <v>8.9541833611579191E-2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0.26123410635620825</v>
      </c>
      <c r="D286" s="366">
        <f>IF(LN_IIB7=0,0,LN_IIB9/LN_IIB7)</f>
        <v>0.25064455917251344</v>
      </c>
      <c r="E286" s="367">
        <f t="shared" si="28"/>
        <v>-1.0589547183694814E-2</v>
      </c>
      <c r="F286" s="371">
        <f t="shared" si="29"/>
        <v>-4.0536618022056187E-2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87360534</v>
      </c>
      <c r="D287" s="353">
        <f>D277+LN_IIB7</f>
        <v>90328938</v>
      </c>
      <c r="E287" s="353">
        <f t="shared" si="28"/>
        <v>2968404</v>
      </c>
      <c r="F287" s="415">
        <f t="shared" si="29"/>
        <v>3.3978775816548921E-2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26424591</v>
      </c>
      <c r="D288" s="353">
        <f>LN_IIB2+LN_IIB9</f>
        <v>27937214</v>
      </c>
      <c r="E288" s="353">
        <f t="shared" si="28"/>
        <v>1512623</v>
      </c>
      <c r="F288" s="415">
        <f t="shared" si="29"/>
        <v>5.7243005199210086E-2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0.30247744364749418</v>
      </c>
      <c r="D289" s="366">
        <f>IF(LN_IIB11=0,0,LN_IIB12/LN_IIB11)</f>
        <v>0.30928310039469298</v>
      </c>
      <c r="E289" s="367">
        <f t="shared" si="28"/>
        <v>6.8056567471987961E-3</v>
      </c>
      <c r="F289" s="371">
        <f t="shared" si="29"/>
        <v>2.2499716557807456E-2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13210</v>
      </c>
      <c r="D290" s="421">
        <f>LN_IA8+LN_IF11+LN_IG6</f>
        <v>12086</v>
      </c>
      <c r="E290" s="442">
        <f t="shared" si="28"/>
        <v>-1124</v>
      </c>
      <c r="F290" s="371">
        <f t="shared" si="29"/>
        <v>-8.5087055261165778E-2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60935943</v>
      </c>
      <c r="D291" s="429">
        <f>LN_IIB11-LN_IIB12</f>
        <v>62391724</v>
      </c>
      <c r="E291" s="353">
        <f t="shared" si="28"/>
        <v>1455781</v>
      </c>
      <c r="F291" s="415">
        <f t="shared" si="29"/>
        <v>2.3890349903996726E-2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6.2221581073283323</v>
      </c>
      <c r="D294" s="379">
        <f>IF(LN_IA4=0,0,LN_IA8/LN_IA4)</f>
        <v>5.6806930693069306</v>
      </c>
      <c r="E294" s="379">
        <f t="shared" ref="E294:E300" si="30">D294-C294</f>
        <v>-0.54146503802140167</v>
      </c>
      <c r="F294" s="415">
        <f t="shared" ref="F294:F300" si="31">IF(C294=0,0,E294/C294)</f>
        <v>-8.7022063515820189E-2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3.9606299212598426</v>
      </c>
      <c r="D295" s="379">
        <f>IF(LN_IB4=0,0,(LN_IB10)/(LN_IB4))</f>
        <v>3.7834525025536263</v>
      </c>
      <c r="E295" s="379">
        <f t="shared" si="30"/>
        <v>-0.17717741870621628</v>
      </c>
      <c r="F295" s="415">
        <f t="shared" si="31"/>
        <v>-4.4734656412901523E-2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3.847826086956522</v>
      </c>
      <c r="D296" s="379">
        <f>IF(LN_IC4=0,0,LN_IC11/LN_IC4)</f>
        <v>3.25</v>
      </c>
      <c r="E296" s="379">
        <f t="shared" si="30"/>
        <v>-0.59782608695652195</v>
      </c>
      <c r="F296" s="415">
        <f t="shared" si="31"/>
        <v>-0.15536723163841812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4.216110019646365</v>
      </c>
      <c r="D297" s="379">
        <f>IF(LN_ID4=0,0,LN_ID11/LN_ID4)</f>
        <v>4.3748055987558319</v>
      </c>
      <c r="E297" s="379">
        <f t="shared" si="30"/>
        <v>0.15869557910946686</v>
      </c>
      <c r="F297" s="415">
        <f t="shared" si="31"/>
        <v>3.7640284141061804E-2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6.3125</v>
      </c>
      <c r="D298" s="379">
        <f>IF(LN_IE4=0,0,LN_IE11/LN_IE4)</f>
        <v>0</v>
      </c>
      <c r="E298" s="379">
        <f t="shared" si="30"/>
        <v>-6.3125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3.95</v>
      </c>
      <c r="D299" s="379">
        <f>IF(LN_IG3=0,0,LN_IG6/LN_IG3)</f>
        <v>3.1</v>
      </c>
      <c r="E299" s="379">
        <f t="shared" si="30"/>
        <v>-0.85000000000000009</v>
      </c>
      <c r="F299" s="415">
        <f t="shared" si="31"/>
        <v>-0.21518987341772153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5.1606051789351177</v>
      </c>
      <c r="D300" s="379">
        <f>IF(LN_IIA4=0,0,LN_IIA14/LN_IIA4)</f>
        <v>4.8317013463892291</v>
      </c>
      <c r="E300" s="379">
        <f t="shared" si="30"/>
        <v>-0.32890383254588862</v>
      </c>
      <c r="F300" s="415">
        <f t="shared" si="31"/>
        <v>-6.3733577970356836E-2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151379867</v>
      </c>
      <c r="D304" s="353">
        <f>LN_IIA11</f>
        <v>148782545</v>
      </c>
      <c r="E304" s="353">
        <f t="shared" ref="E304:E316" si="32">D304-C304</f>
        <v>-2597322</v>
      </c>
      <c r="F304" s="362">
        <f>IF(C304=0,0,E304/C304)</f>
        <v>-1.7157644880213825E-2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60935943</v>
      </c>
      <c r="D305" s="353">
        <f>LN_IIB14</f>
        <v>62391724</v>
      </c>
      <c r="E305" s="353">
        <f t="shared" si="32"/>
        <v>1455781</v>
      </c>
      <c r="F305" s="362">
        <f>IF(C305=0,0,E305/C305)</f>
        <v>2.3890349903996726E-2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2824749</v>
      </c>
      <c r="D306" s="353">
        <f>LN_IH6</f>
        <v>2606888</v>
      </c>
      <c r="E306" s="353">
        <f t="shared" si="32"/>
        <v>-217861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28810019</v>
      </c>
      <c r="D307" s="353">
        <f>LN_IB32-LN_IB33</f>
        <v>27218717</v>
      </c>
      <c r="E307" s="353">
        <f t="shared" si="32"/>
        <v>-1591302</v>
      </c>
      <c r="F307" s="362">
        <f t="shared" ref="F307:F316" si="33">IF(C307=0,0,E307/C307)</f>
        <v>-5.5234326641714467E-2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92570711</v>
      </c>
      <c r="D309" s="353">
        <f>LN_III2+LN_III3+LN_III4+LN_III5</f>
        <v>92217329</v>
      </c>
      <c r="E309" s="353">
        <f t="shared" si="32"/>
        <v>-353382</v>
      </c>
      <c r="F309" s="362">
        <f t="shared" si="33"/>
        <v>-3.8174277391042183E-3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58809156</v>
      </c>
      <c r="D310" s="353">
        <f>LN_III1-LN_III6</f>
        <v>56565216</v>
      </c>
      <c r="E310" s="353">
        <f t="shared" si="32"/>
        <v>-2243940</v>
      </c>
      <c r="F310" s="362">
        <f t="shared" si="33"/>
        <v>-3.8156303416427194E-2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58809156</v>
      </c>
      <c r="D312" s="353">
        <f>LN_III7+LN_III8</f>
        <v>56565216</v>
      </c>
      <c r="E312" s="353">
        <f t="shared" si="32"/>
        <v>-2243940</v>
      </c>
      <c r="F312" s="362">
        <f t="shared" si="33"/>
        <v>-3.8156303416427194E-2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0.38848730128690101</v>
      </c>
      <c r="D313" s="448">
        <f>IF(LN_III1=0,0,LN_III9/LN_III1)</f>
        <v>0.38018717854302064</v>
      </c>
      <c r="E313" s="448">
        <f t="shared" si="32"/>
        <v>-8.3001227438803671E-3</v>
      </c>
      <c r="F313" s="362">
        <f t="shared" si="33"/>
        <v>-2.1365235662492502E-2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1097379.1158228724</v>
      </c>
      <c r="D314" s="353">
        <f>D313*LN_III5</f>
        <v>991105.39349765796</v>
      </c>
      <c r="E314" s="353">
        <f t="shared" si="32"/>
        <v>-106273.72232521442</v>
      </c>
      <c r="F314" s="362">
        <f t="shared" si="33"/>
        <v>-9.684321561516579E-2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2177859.7391594881</v>
      </c>
      <c r="D315" s="353">
        <f>D313*LN_IH8-LN_IH9</f>
        <v>2321332.3962402316</v>
      </c>
      <c r="E315" s="353">
        <f t="shared" si="32"/>
        <v>143472.65708074346</v>
      </c>
      <c r="F315" s="362">
        <f t="shared" si="33"/>
        <v>6.5877822387273924E-2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3275238.8549823603</v>
      </c>
      <c r="D318" s="353">
        <f>D314+D315+D316</f>
        <v>3312437.7897378895</v>
      </c>
      <c r="E318" s="353">
        <f>D318-C318</f>
        <v>37198.934755529277</v>
      </c>
      <c r="F318" s="362">
        <f>IF(C318=0,0,E318/C318)</f>
        <v>1.1357625016856861E-2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2228306.9846592662</v>
      </c>
      <c r="D322" s="353">
        <f>LN_ID22</f>
        <v>2570702.1743128514</v>
      </c>
      <c r="E322" s="353">
        <f>LN_IV2-C322</f>
        <v>342395.1896535852</v>
      </c>
      <c r="F322" s="362">
        <f>IF(C322=0,0,E322/C322)</f>
        <v>0.15365710021590287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177265.8388576266</v>
      </c>
      <c r="D323" s="353">
        <f>LN_IE10+LN_IE22</f>
        <v>0</v>
      </c>
      <c r="E323" s="353">
        <f>LN_IV3-C323</f>
        <v>-177265.8388576266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993665.98722998495</v>
      </c>
      <c r="D324" s="353">
        <f>LN_IC10+LN_IC22</f>
        <v>1060774.8565764565</v>
      </c>
      <c r="E324" s="353">
        <f>LN_IV1-C324</f>
        <v>67108.869346471503</v>
      </c>
      <c r="F324" s="362">
        <f>IF(C324=0,0,E324/C324)</f>
        <v>6.7536647333123506E-2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3399238.8107468775</v>
      </c>
      <c r="D325" s="429">
        <f>LN_IV1+LN_IV2+LN_IV3</f>
        <v>3631477.0308893081</v>
      </c>
      <c r="E325" s="353">
        <f>LN_IV4-C325</f>
        <v>232238.22014243063</v>
      </c>
      <c r="F325" s="362">
        <f>IF(C325=0,0,E325/C325)</f>
        <v>6.8320654438339817E-2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0</v>
      </c>
      <c r="D330" s="429">
        <v>619650</v>
      </c>
      <c r="E330" s="431">
        <f t="shared" si="34"/>
        <v>619650</v>
      </c>
      <c r="F330" s="463">
        <f t="shared" si="35"/>
        <v>0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61336304</v>
      </c>
      <c r="D331" s="429">
        <v>59791753</v>
      </c>
      <c r="E331" s="431">
        <f t="shared" si="34"/>
        <v>-1544551</v>
      </c>
      <c r="F331" s="462">
        <f t="shared" si="35"/>
        <v>-2.5181677070075823E-2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151379874</v>
      </c>
      <c r="D333" s="429">
        <v>148782545</v>
      </c>
      <c r="E333" s="431">
        <f t="shared" si="34"/>
        <v>-2597329</v>
      </c>
      <c r="F333" s="462">
        <f t="shared" si="35"/>
        <v>-1.715769032810795E-2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2824952</v>
      </c>
      <c r="D335" s="429">
        <v>2606888</v>
      </c>
      <c r="E335" s="429">
        <f t="shared" si="34"/>
        <v>-218064</v>
      </c>
      <c r="F335" s="462">
        <f t="shared" si="35"/>
        <v>-7.7192108042897722E-2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1" fitToHeight="0" orientation="portrait" horizontalDpi="1200" verticalDpi="1200" r:id="rId1"/>
  <headerFooter>
    <oddHeader>&amp;LOFFICE OF HEALTH CARE ACCESS&amp;CTWELVE MONTHS ACTUAL FILING&amp;RJOHNSON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10" t="s">
        <v>0</v>
      </c>
      <c r="B2" s="710"/>
      <c r="C2" s="710"/>
      <c r="D2" s="710"/>
      <c r="E2" s="710"/>
    </row>
    <row r="3" spans="1:5" s="338" customFormat="1" ht="15.75" customHeight="1" x14ac:dyDescent="0.25">
      <c r="A3" s="711" t="s">
        <v>596</v>
      </c>
      <c r="B3" s="711"/>
      <c r="C3" s="711"/>
      <c r="D3" s="711"/>
      <c r="E3" s="711"/>
    </row>
    <row r="4" spans="1:5" s="338" customFormat="1" ht="15.75" customHeight="1" x14ac:dyDescent="0.25">
      <c r="A4" s="711" t="s">
        <v>2</v>
      </c>
      <c r="B4" s="711"/>
      <c r="C4" s="711"/>
      <c r="D4" s="711"/>
      <c r="E4" s="711"/>
    </row>
    <row r="5" spans="1:5" s="338" customFormat="1" ht="15.75" customHeight="1" x14ac:dyDescent="0.25">
      <c r="A5" s="711" t="s">
        <v>744</v>
      </c>
      <c r="B5" s="711"/>
      <c r="C5" s="711"/>
      <c r="D5" s="711"/>
      <c r="E5" s="711"/>
    </row>
    <row r="6" spans="1:5" s="338" customFormat="1" ht="15.75" customHeight="1" x14ac:dyDescent="0.25">
      <c r="A6" s="711" t="s">
        <v>745</v>
      </c>
      <c r="B6" s="711"/>
      <c r="C6" s="711"/>
      <c r="D6" s="711"/>
      <c r="E6" s="711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17036384</v>
      </c>
      <c r="D14" s="513">
        <v>14748364</v>
      </c>
      <c r="E14" s="514">
        <f t="shared" ref="E14:E22" si="0">D14-C14</f>
        <v>-2288020</v>
      </c>
    </row>
    <row r="15" spans="1:5" s="506" customFormat="1" x14ac:dyDescent="0.2">
      <c r="A15" s="512">
        <v>2</v>
      </c>
      <c r="B15" s="511" t="s">
        <v>605</v>
      </c>
      <c r="C15" s="513">
        <v>42815475</v>
      </c>
      <c r="D15" s="515">
        <v>39549056</v>
      </c>
      <c r="E15" s="514">
        <f t="shared" si="0"/>
        <v>-3266419</v>
      </c>
    </row>
    <row r="16" spans="1:5" s="506" customFormat="1" x14ac:dyDescent="0.2">
      <c r="A16" s="512">
        <v>3</v>
      </c>
      <c r="B16" s="511" t="s">
        <v>751</v>
      </c>
      <c r="C16" s="513">
        <v>7469929</v>
      </c>
      <c r="D16" s="515">
        <v>8565373</v>
      </c>
      <c r="E16" s="514">
        <f t="shared" si="0"/>
        <v>1095444</v>
      </c>
    </row>
    <row r="17" spans="1:5" s="506" customFormat="1" x14ac:dyDescent="0.2">
      <c r="A17" s="512">
        <v>4</v>
      </c>
      <c r="B17" s="511" t="s">
        <v>114</v>
      </c>
      <c r="C17" s="513">
        <v>6757493</v>
      </c>
      <c r="D17" s="515">
        <v>8565373</v>
      </c>
      <c r="E17" s="514">
        <f t="shared" si="0"/>
        <v>1807880</v>
      </c>
    </row>
    <row r="18" spans="1:5" s="506" customFormat="1" x14ac:dyDescent="0.2">
      <c r="A18" s="512">
        <v>5</v>
      </c>
      <c r="B18" s="511" t="s">
        <v>718</v>
      </c>
      <c r="C18" s="513">
        <v>712436</v>
      </c>
      <c r="D18" s="515">
        <v>0</v>
      </c>
      <c r="E18" s="514">
        <f t="shared" si="0"/>
        <v>-712436</v>
      </c>
    </row>
    <row r="19" spans="1:5" s="506" customFormat="1" x14ac:dyDescent="0.2">
      <c r="A19" s="512">
        <v>6</v>
      </c>
      <c r="B19" s="511" t="s">
        <v>416</v>
      </c>
      <c r="C19" s="513">
        <v>253020</v>
      </c>
      <c r="D19" s="515">
        <v>400272</v>
      </c>
      <c r="E19" s="514">
        <f t="shared" si="0"/>
        <v>147252</v>
      </c>
    </row>
    <row r="20" spans="1:5" s="506" customFormat="1" x14ac:dyDescent="0.2">
      <c r="A20" s="512">
        <v>7</v>
      </c>
      <c r="B20" s="511" t="s">
        <v>733</v>
      </c>
      <c r="C20" s="513">
        <v>734342</v>
      </c>
      <c r="D20" s="515">
        <v>653864</v>
      </c>
      <c r="E20" s="514">
        <f t="shared" si="0"/>
        <v>-80478</v>
      </c>
    </row>
    <row r="21" spans="1:5" s="506" customFormat="1" x14ac:dyDescent="0.2">
      <c r="A21" s="512"/>
      <c r="B21" s="516" t="s">
        <v>752</v>
      </c>
      <c r="C21" s="517">
        <f>SUM(C15+C16+C19)</f>
        <v>50538424</v>
      </c>
      <c r="D21" s="517">
        <f>SUM(D15+D16+D19)</f>
        <v>48514701</v>
      </c>
      <c r="E21" s="517">
        <f t="shared" si="0"/>
        <v>-2023723</v>
      </c>
    </row>
    <row r="22" spans="1:5" s="506" customFormat="1" x14ac:dyDescent="0.2">
      <c r="A22" s="512"/>
      <c r="B22" s="516" t="s">
        <v>692</v>
      </c>
      <c r="C22" s="517">
        <f>SUM(C14+C21)</f>
        <v>67574808</v>
      </c>
      <c r="D22" s="517">
        <f>SUM(D14+D21)</f>
        <v>63263065</v>
      </c>
      <c r="E22" s="517">
        <f t="shared" si="0"/>
        <v>-4311743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46982949</v>
      </c>
      <c r="D25" s="513">
        <v>43705243</v>
      </c>
      <c r="E25" s="514">
        <f t="shared" ref="E25:E33" si="1">D25-C25</f>
        <v>-3277706</v>
      </c>
    </row>
    <row r="26" spans="1:5" s="506" customFormat="1" x14ac:dyDescent="0.2">
      <c r="A26" s="512">
        <v>2</v>
      </c>
      <c r="B26" s="511" t="s">
        <v>605</v>
      </c>
      <c r="C26" s="513">
        <v>26348240</v>
      </c>
      <c r="D26" s="515">
        <v>29174803</v>
      </c>
      <c r="E26" s="514">
        <f t="shared" si="1"/>
        <v>2826563</v>
      </c>
    </row>
    <row r="27" spans="1:5" s="506" customFormat="1" x14ac:dyDescent="0.2">
      <c r="A27" s="512">
        <v>3</v>
      </c>
      <c r="B27" s="511" t="s">
        <v>751</v>
      </c>
      <c r="C27" s="513">
        <v>9964581</v>
      </c>
      <c r="D27" s="515">
        <v>12050752</v>
      </c>
      <c r="E27" s="514">
        <f t="shared" si="1"/>
        <v>2086171</v>
      </c>
    </row>
    <row r="28" spans="1:5" s="506" customFormat="1" x14ac:dyDescent="0.2">
      <c r="A28" s="512">
        <v>4</v>
      </c>
      <c r="B28" s="511" t="s">
        <v>114</v>
      </c>
      <c r="C28" s="513">
        <v>8967980</v>
      </c>
      <c r="D28" s="515">
        <v>12050752</v>
      </c>
      <c r="E28" s="514">
        <f t="shared" si="1"/>
        <v>3082772</v>
      </c>
    </row>
    <row r="29" spans="1:5" s="506" customFormat="1" x14ac:dyDescent="0.2">
      <c r="A29" s="512">
        <v>5</v>
      </c>
      <c r="B29" s="511" t="s">
        <v>718</v>
      </c>
      <c r="C29" s="513">
        <v>996601</v>
      </c>
      <c r="D29" s="515">
        <v>0</v>
      </c>
      <c r="E29" s="514">
        <f t="shared" si="1"/>
        <v>-996601</v>
      </c>
    </row>
    <row r="30" spans="1:5" s="506" customFormat="1" x14ac:dyDescent="0.2">
      <c r="A30" s="512">
        <v>6</v>
      </c>
      <c r="B30" s="511" t="s">
        <v>416</v>
      </c>
      <c r="C30" s="513">
        <v>509289</v>
      </c>
      <c r="D30" s="515">
        <v>588682</v>
      </c>
      <c r="E30" s="514">
        <f t="shared" si="1"/>
        <v>79393</v>
      </c>
    </row>
    <row r="31" spans="1:5" s="506" customFormat="1" x14ac:dyDescent="0.2">
      <c r="A31" s="512">
        <v>7</v>
      </c>
      <c r="B31" s="511" t="s">
        <v>733</v>
      </c>
      <c r="C31" s="514">
        <v>2311753</v>
      </c>
      <c r="D31" s="518">
        <v>1938061</v>
      </c>
      <c r="E31" s="514">
        <f t="shared" si="1"/>
        <v>-373692</v>
      </c>
    </row>
    <row r="32" spans="1:5" s="506" customFormat="1" x14ac:dyDescent="0.2">
      <c r="A32" s="512"/>
      <c r="B32" s="516" t="s">
        <v>754</v>
      </c>
      <c r="C32" s="517">
        <f>SUM(C26+C27+C30)</f>
        <v>36822110</v>
      </c>
      <c r="D32" s="517">
        <f>SUM(D26+D27+D30)</f>
        <v>41814237</v>
      </c>
      <c r="E32" s="517">
        <f t="shared" si="1"/>
        <v>4992127</v>
      </c>
    </row>
    <row r="33" spans="1:5" s="506" customFormat="1" x14ac:dyDescent="0.2">
      <c r="A33" s="512"/>
      <c r="B33" s="516" t="s">
        <v>698</v>
      </c>
      <c r="C33" s="517">
        <f>SUM(C25+C32)</f>
        <v>83805059</v>
      </c>
      <c r="D33" s="517">
        <f>SUM(D25+D32)</f>
        <v>85519480</v>
      </c>
      <c r="E33" s="517">
        <f t="shared" si="1"/>
        <v>1714421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64019333</v>
      </c>
      <c r="D36" s="514">
        <f t="shared" si="2"/>
        <v>58453607</v>
      </c>
      <c r="E36" s="514">
        <f t="shared" ref="E36:E44" si="3">D36-C36</f>
        <v>-5565726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69163715</v>
      </c>
      <c r="D37" s="514">
        <f t="shared" si="2"/>
        <v>68723859</v>
      </c>
      <c r="E37" s="514">
        <f t="shared" si="3"/>
        <v>-439856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17434510</v>
      </c>
      <c r="D38" s="514">
        <f t="shared" si="2"/>
        <v>20616125</v>
      </c>
      <c r="E38" s="514">
        <f t="shared" si="3"/>
        <v>3181615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15725473</v>
      </c>
      <c r="D39" s="514">
        <f t="shared" si="2"/>
        <v>20616125</v>
      </c>
      <c r="E39" s="514">
        <f t="shared" si="3"/>
        <v>4890652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1709037</v>
      </c>
      <c r="D40" s="514">
        <f t="shared" si="2"/>
        <v>0</v>
      </c>
      <c r="E40" s="514">
        <f t="shared" si="3"/>
        <v>-1709037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762309</v>
      </c>
      <c r="D41" s="514">
        <f t="shared" si="2"/>
        <v>988954</v>
      </c>
      <c r="E41" s="514">
        <f t="shared" si="3"/>
        <v>226645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3046095</v>
      </c>
      <c r="D42" s="514">
        <f t="shared" si="2"/>
        <v>2591925</v>
      </c>
      <c r="E42" s="514">
        <f t="shared" si="3"/>
        <v>-454170</v>
      </c>
    </row>
    <row r="43" spans="1:5" s="506" customFormat="1" x14ac:dyDescent="0.2">
      <c r="A43" s="512"/>
      <c r="B43" s="516" t="s">
        <v>762</v>
      </c>
      <c r="C43" s="517">
        <f>SUM(C37+C38+C41)</f>
        <v>87360534</v>
      </c>
      <c r="D43" s="517">
        <f>SUM(D37+D38+D41)</f>
        <v>90328938</v>
      </c>
      <c r="E43" s="517">
        <f t="shared" si="3"/>
        <v>2968404</v>
      </c>
    </row>
    <row r="44" spans="1:5" s="506" customFormat="1" x14ac:dyDescent="0.2">
      <c r="A44" s="512"/>
      <c r="B44" s="516" t="s">
        <v>700</v>
      </c>
      <c r="C44" s="517">
        <f>SUM(C36+C43)</f>
        <v>151379867</v>
      </c>
      <c r="D44" s="517">
        <f>SUM(D36+D43)</f>
        <v>148782545</v>
      </c>
      <c r="E44" s="517">
        <f t="shared" si="3"/>
        <v>-2597322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9287493</v>
      </c>
      <c r="D47" s="513">
        <v>7431564</v>
      </c>
      <c r="E47" s="514">
        <f t="shared" ref="E47:E55" si="4">D47-C47</f>
        <v>-1855929</v>
      </c>
    </row>
    <row r="48" spans="1:5" s="506" customFormat="1" x14ac:dyDescent="0.2">
      <c r="A48" s="512">
        <v>2</v>
      </c>
      <c r="B48" s="511" t="s">
        <v>605</v>
      </c>
      <c r="C48" s="513">
        <v>14503969</v>
      </c>
      <c r="D48" s="515">
        <v>14745330</v>
      </c>
      <c r="E48" s="514">
        <f t="shared" si="4"/>
        <v>241361</v>
      </c>
    </row>
    <row r="49" spans="1:5" s="506" customFormat="1" x14ac:dyDescent="0.2">
      <c r="A49" s="512">
        <v>3</v>
      </c>
      <c r="B49" s="511" t="s">
        <v>751</v>
      </c>
      <c r="C49" s="513">
        <v>2204914</v>
      </c>
      <c r="D49" s="515">
        <v>2558626</v>
      </c>
      <c r="E49" s="514">
        <f t="shared" si="4"/>
        <v>353712</v>
      </c>
    </row>
    <row r="50" spans="1:5" s="506" customFormat="1" x14ac:dyDescent="0.2">
      <c r="A50" s="512">
        <v>4</v>
      </c>
      <c r="B50" s="511" t="s">
        <v>114</v>
      </c>
      <c r="C50" s="513">
        <v>2056980</v>
      </c>
      <c r="D50" s="515">
        <v>2558626</v>
      </c>
      <c r="E50" s="514">
        <f t="shared" si="4"/>
        <v>501646</v>
      </c>
    </row>
    <row r="51" spans="1:5" s="506" customFormat="1" x14ac:dyDescent="0.2">
      <c r="A51" s="512">
        <v>5</v>
      </c>
      <c r="B51" s="511" t="s">
        <v>718</v>
      </c>
      <c r="C51" s="513">
        <v>147934</v>
      </c>
      <c r="D51" s="515">
        <v>0</v>
      </c>
      <c r="E51" s="514">
        <f t="shared" si="4"/>
        <v>-147934</v>
      </c>
    </row>
    <row r="52" spans="1:5" s="506" customFormat="1" x14ac:dyDescent="0.2">
      <c r="A52" s="512">
        <v>6</v>
      </c>
      <c r="B52" s="511" t="s">
        <v>416</v>
      </c>
      <c r="C52" s="513">
        <v>96517</v>
      </c>
      <c r="D52" s="515">
        <v>152747</v>
      </c>
      <c r="E52" s="514">
        <f t="shared" si="4"/>
        <v>56230</v>
      </c>
    </row>
    <row r="53" spans="1:5" s="506" customFormat="1" x14ac:dyDescent="0.2">
      <c r="A53" s="512">
        <v>7</v>
      </c>
      <c r="B53" s="511" t="s">
        <v>733</v>
      </c>
      <c r="C53" s="513">
        <v>62740</v>
      </c>
      <c r="D53" s="515">
        <v>55783</v>
      </c>
      <c r="E53" s="514">
        <f t="shared" si="4"/>
        <v>-6957</v>
      </c>
    </row>
    <row r="54" spans="1:5" s="506" customFormat="1" x14ac:dyDescent="0.2">
      <c r="A54" s="512"/>
      <c r="B54" s="516" t="s">
        <v>764</v>
      </c>
      <c r="C54" s="517">
        <f>SUM(C48+C49+C52)</f>
        <v>16805400</v>
      </c>
      <c r="D54" s="517">
        <f>SUM(D48+D49+D52)</f>
        <v>17456703</v>
      </c>
      <c r="E54" s="517">
        <f t="shared" si="4"/>
        <v>651303</v>
      </c>
    </row>
    <row r="55" spans="1:5" s="506" customFormat="1" x14ac:dyDescent="0.2">
      <c r="A55" s="512"/>
      <c r="B55" s="516" t="s">
        <v>693</v>
      </c>
      <c r="C55" s="517">
        <f>SUM(C47+C54)</f>
        <v>26092893</v>
      </c>
      <c r="D55" s="517">
        <f>SUM(D47+D54)</f>
        <v>24888267</v>
      </c>
      <c r="E55" s="517">
        <f t="shared" si="4"/>
        <v>-1204626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25624016</v>
      </c>
      <c r="D58" s="513">
        <v>23803326</v>
      </c>
      <c r="E58" s="514">
        <f t="shared" ref="E58:E66" si="5">D58-C58</f>
        <v>-1820690</v>
      </c>
    </row>
    <row r="59" spans="1:5" s="506" customFormat="1" x14ac:dyDescent="0.2">
      <c r="A59" s="512">
        <v>2</v>
      </c>
      <c r="B59" s="511" t="s">
        <v>605</v>
      </c>
      <c r="C59" s="513">
        <v>7013075</v>
      </c>
      <c r="D59" s="515">
        <v>7285506</v>
      </c>
      <c r="E59" s="514">
        <f t="shared" si="5"/>
        <v>272431</v>
      </c>
    </row>
    <row r="60" spans="1:5" s="506" customFormat="1" x14ac:dyDescent="0.2">
      <c r="A60" s="512">
        <v>3</v>
      </c>
      <c r="B60" s="511" t="s">
        <v>751</v>
      </c>
      <c r="C60" s="513">
        <f>C61+C62</f>
        <v>2390312</v>
      </c>
      <c r="D60" s="515">
        <f>D61+D62</f>
        <v>2958028</v>
      </c>
      <c r="E60" s="514">
        <f t="shared" si="5"/>
        <v>567716</v>
      </c>
    </row>
    <row r="61" spans="1:5" s="506" customFormat="1" x14ac:dyDescent="0.2">
      <c r="A61" s="512">
        <v>4</v>
      </c>
      <c r="B61" s="511" t="s">
        <v>114</v>
      </c>
      <c r="C61" s="513">
        <v>2213768</v>
      </c>
      <c r="D61" s="515">
        <v>2958028</v>
      </c>
      <c r="E61" s="514">
        <f t="shared" si="5"/>
        <v>744260</v>
      </c>
    </row>
    <row r="62" spans="1:5" s="506" customFormat="1" x14ac:dyDescent="0.2">
      <c r="A62" s="512">
        <v>5</v>
      </c>
      <c r="B62" s="511" t="s">
        <v>718</v>
      </c>
      <c r="C62" s="513">
        <v>176544</v>
      </c>
      <c r="D62" s="515">
        <v>0</v>
      </c>
      <c r="E62" s="514">
        <f t="shared" si="5"/>
        <v>-176544</v>
      </c>
    </row>
    <row r="63" spans="1:5" s="506" customFormat="1" x14ac:dyDescent="0.2">
      <c r="A63" s="512">
        <v>6</v>
      </c>
      <c r="B63" s="511" t="s">
        <v>416</v>
      </c>
      <c r="C63" s="513">
        <v>215804</v>
      </c>
      <c r="D63" s="515">
        <v>236977</v>
      </c>
      <c r="E63" s="514">
        <f t="shared" si="5"/>
        <v>21173</v>
      </c>
    </row>
    <row r="64" spans="1:5" s="506" customFormat="1" x14ac:dyDescent="0.2">
      <c r="A64" s="512">
        <v>7</v>
      </c>
      <c r="B64" s="511" t="s">
        <v>733</v>
      </c>
      <c r="C64" s="513">
        <v>158606</v>
      </c>
      <c r="D64" s="515">
        <v>147470</v>
      </c>
      <c r="E64" s="514">
        <f t="shared" si="5"/>
        <v>-11136</v>
      </c>
    </row>
    <row r="65" spans="1:5" s="506" customFormat="1" x14ac:dyDescent="0.2">
      <c r="A65" s="512"/>
      <c r="B65" s="516" t="s">
        <v>766</v>
      </c>
      <c r="C65" s="517">
        <f>SUM(C59+C60+C63)</f>
        <v>9619191</v>
      </c>
      <c r="D65" s="517">
        <f>SUM(D59+D60+D63)</f>
        <v>10480511</v>
      </c>
      <c r="E65" s="517">
        <f t="shared" si="5"/>
        <v>861320</v>
      </c>
    </row>
    <row r="66" spans="1:5" s="506" customFormat="1" x14ac:dyDescent="0.2">
      <c r="A66" s="512"/>
      <c r="B66" s="516" t="s">
        <v>699</v>
      </c>
      <c r="C66" s="517">
        <f>SUM(C58+C65)</f>
        <v>35243207</v>
      </c>
      <c r="D66" s="517">
        <f>SUM(D58+D65)</f>
        <v>34283837</v>
      </c>
      <c r="E66" s="517">
        <f t="shared" si="5"/>
        <v>-959370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34911509</v>
      </c>
      <c r="D69" s="514">
        <f t="shared" si="6"/>
        <v>31234890</v>
      </c>
      <c r="E69" s="514">
        <f t="shared" ref="E69:E77" si="7">D69-C69</f>
        <v>-3676619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21517044</v>
      </c>
      <c r="D70" s="514">
        <f t="shared" si="6"/>
        <v>22030836</v>
      </c>
      <c r="E70" s="514">
        <f t="shared" si="7"/>
        <v>513792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4595226</v>
      </c>
      <c r="D71" s="514">
        <f t="shared" si="6"/>
        <v>5516654</v>
      </c>
      <c r="E71" s="514">
        <f t="shared" si="7"/>
        <v>921428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4270748</v>
      </c>
      <c r="D72" s="514">
        <f t="shared" si="6"/>
        <v>5516654</v>
      </c>
      <c r="E72" s="514">
        <f t="shared" si="7"/>
        <v>1245906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324478</v>
      </c>
      <c r="D73" s="514">
        <f t="shared" si="6"/>
        <v>0</v>
      </c>
      <c r="E73" s="514">
        <f t="shared" si="7"/>
        <v>-324478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312321</v>
      </c>
      <c r="D74" s="514">
        <f t="shared" si="6"/>
        <v>389724</v>
      </c>
      <c r="E74" s="514">
        <f t="shared" si="7"/>
        <v>77403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221346</v>
      </c>
      <c r="D75" s="514">
        <f t="shared" si="6"/>
        <v>203253</v>
      </c>
      <c r="E75" s="514">
        <f t="shared" si="7"/>
        <v>-18093</v>
      </c>
    </row>
    <row r="76" spans="1:5" s="506" customFormat="1" x14ac:dyDescent="0.2">
      <c r="A76" s="512"/>
      <c r="B76" s="516" t="s">
        <v>767</v>
      </c>
      <c r="C76" s="517">
        <f>SUM(C70+C71+C74)</f>
        <v>26424591</v>
      </c>
      <c r="D76" s="517">
        <f>SUM(D70+D71+D74)</f>
        <v>27937214</v>
      </c>
      <c r="E76" s="517">
        <f t="shared" si="7"/>
        <v>1512623</v>
      </c>
    </row>
    <row r="77" spans="1:5" s="506" customFormat="1" x14ac:dyDescent="0.2">
      <c r="A77" s="512"/>
      <c r="B77" s="516" t="s">
        <v>701</v>
      </c>
      <c r="C77" s="517">
        <f>SUM(C69+C76)</f>
        <v>61336100</v>
      </c>
      <c r="D77" s="517">
        <f>SUM(D69+D76)</f>
        <v>59172104</v>
      </c>
      <c r="E77" s="517">
        <f t="shared" si="7"/>
        <v>-2163996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0.11254061942067897</v>
      </c>
      <c r="D83" s="523">
        <f t="shared" si="8"/>
        <v>9.9126977563127452E-2</v>
      </c>
      <c r="E83" s="523">
        <f t="shared" ref="E83:E91" si="9">D83-C83</f>
        <v>-1.341364185755152E-2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0.2828346717995201</v>
      </c>
      <c r="D84" s="523">
        <f t="shared" si="8"/>
        <v>0.26581784845796258</v>
      </c>
      <c r="E84" s="523">
        <f t="shared" si="9"/>
        <v>-1.7016823341557519E-2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4.9345590982716347E-2</v>
      </c>
      <c r="D85" s="523">
        <f t="shared" si="8"/>
        <v>5.7569743816386527E-2</v>
      </c>
      <c r="E85" s="523">
        <f t="shared" si="9"/>
        <v>8.22415283367018E-3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4.4639311250022434E-2</v>
      </c>
      <c r="D86" s="523">
        <f t="shared" si="8"/>
        <v>5.7569743816386527E-2</v>
      </c>
      <c r="E86" s="523">
        <f t="shared" si="9"/>
        <v>1.2930432566364093E-2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4.7062797326939123E-3</v>
      </c>
      <c r="D87" s="523">
        <f t="shared" si="8"/>
        <v>0</v>
      </c>
      <c r="E87" s="523">
        <f t="shared" si="9"/>
        <v>-4.7062797326939123E-3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1.6714243777212461E-3</v>
      </c>
      <c r="D88" s="523">
        <f t="shared" si="8"/>
        <v>2.6903155877593034E-3</v>
      </c>
      <c r="E88" s="523">
        <f t="shared" si="9"/>
        <v>1.0188912100380573E-3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4.8509885399753983E-3</v>
      </c>
      <c r="D89" s="523">
        <f t="shared" si="8"/>
        <v>4.3947628399554533E-3</v>
      </c>
      <c r="E89" s="523">
        <f t="shared" si="9"/>
        <v>-4.5622570001994499E-4</v>
      </c>
    </row>
    <row r="90" spans="1:5" s="506" customFormat="1" x14ac:dyDescent="0.2">
      <c r="A90" s="512"/>
      <c r="B90" s="516" t="s">
        <v>770</v>
      </c>
      <c r="C90" s="524">
        <f>SUM(C84+C85+C88)</f>
        <v>0.33385168715995767</v>
      </c>
      <c r="D90" s="524">
        <f>SUM(D84+D85+D88)</f>
        <v>0.32607790786210838</v>
      </c>
      <c r="E90" s="525">
        <f t="shared" si="9"/>
        <v>-7.7737792978492815E-3</v>
      </c>
    </row>
    <row r="91" spans="1:5" s="506" customFormat="1" x14ac:dyDescent="0.2">
      <c r="A91" s="512"/>
      <c r="B91" s="516" t="s">
        <v>771</v>
      </c>
      <c r="C91" s="524">
        <f>SUM(C83+C90)</f>
        <v>0.44639230658063667</v>
      </c>
      <c r="D91" s="524">
        <f>SUM(D83+D90)</f>
        <v>0.42520488542523582</v>
      </c>
      <c r="E91" s="525">
        <f t="shared" si="9"/>
        <v>-2.1187421155400843E-2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0.3103645810443208</v>
      </c>
      <c r="D95" s="523">
        <f t="shared" si="10"/>
        <v>0.29375248958135514</v>
      </c>
      <c r="E95" s="523">
        <f t="shared" ref="E95:E103" si="11">D95-C95</f>
        <v>-1.6612091462965661E-2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0.17405379276756797</v>
      </c>
      <c r="D96" s="523">
        <f t="shared" si="10"/>
        <v>0.1960902268475109</v>
      </c>
      <c r="E96" s="523">
        <f t="shared" si="11"/>
        <v>2.2036434079942935E-2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6.5825008288585687E-2</v>
      </c>
      <c r="D97" s="523">
        <f t="shared" si="10"/>
        <v>8.0995737772868448E-2</v>
      </c>
      <c r="E97" s="523">
        <f t="shared" si="11"/>
        <v>1.5170729484282761E-2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5.9241563476865787E-2</v>
      </c>
      <c r="D98" s="523">
        <f t="shared" si="10"/>
        <v>8.0995737772868448E-2</v>
      </c>
      <c r="E98" s="523">
        <f t="shared" si="11"/>
        <v>2.1754174296002661E-2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6.58344481171991E-3</v>
      </c>
      <c r="D99" s="523">
        <f t="shared" si="10"/>
        <v>0</v>
      </c>
      <c r="E99" s="523">
        <f t="shared" si="11"/>
        <v>-6.58344481171991E-3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3.3643113188889249E-3</v>
      </c>
      <c r="D100" s="523">
        <f t="shared" si="10"/>
        <v>3.9566603730296452E-3</v>
      </c>
      <c r="E100" s="523">
        <f t="shared" si="11"/>
        <v>5.9234905414072038E-4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1.5271205120030922E-2</v>
      </c>
      <c r="D101" s="523">
        <f t="shared" si="10"/>
        <v>1.3026131526383017E-2</v>
      </c>
      <c r="E101" s="523">
        <f t="shared" si="11"/>
        <v>-2.2450735936479053E-3</v>
      </c>
    </row>
    <row r="102" spans="1:5" s="506" customFormat="1" x14ac:dyDescent="0.2">
      <c r="A102" s="512"/>
      <c r="B102" s="516" t="s">
        <v>773</v>
      </c>
      <c r="C102" s="524">
        <f>SUM(C96+C97+C100)</f>
        <v>0.24324311237504259</v>
      </c>
      <c r="D102" s="524">
        <f>SUM(D96+D97+D100)</f>
        <v>0.28104262499340904</v>
      </c>
      <c r="E102" s="525">
        <f t="shared" si="11"/>
        <v>3.7799512618366449E-2</v>
      </c>
    </row>
    <row r="103" spans="1:5" s="506" customFormat="1" x14ac:dyDescent="0.2">
      <c r="A103" s="512"/>
      <c r="B103" s="516" t="s">
        <v>774</v>
      </c>
      <c r="C103" s="524">
        <f>SUM(C95+C102)</f>
        <v>0.55360769341936344</v>
      </c>
      <c r="D103" s="524">
        <f>SUM(D95+D102)</f>
        <v>0.57479511457476418</v>
      </c>
      <c r="E103" s="525">
        <f t="shared" si="11"/>
        <v>2.1187421155400732E-2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0.15141968595981811</v>
      </c>
      <c r="D109" s="523">
        <f t="shared" si="12"/>
        <v>0.12559235683084718</v>
      </c>
      <c r="E109" s="523">
        <f t="shared" ref="E109:E117" si="13">D109-C109</f>
        <v>-2.5827329128970927E-2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0.23646708871284611</v>
      </c>
      <c r="D110" s="523">
        <f t="shared" si="12"/>
        <v>0.24919394449790055</v>
      </c>
      <c r="E110" s="523">
        <f t="shared" si="13"/>
        <v>1.2726855785054447E-2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3.594806321236596E-2</v>
      </c>
      <c r="D111" s="523">
        <f t="shared" si="12"/>
        <v>4.3240409365872812E-2</v>
      </c>
      <c r="E111" s="523">
        <f t="shared" si="13"/>
        <v>7.2923461535068512E-3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3.3536204616856954E-2</v>
      </c>
      <c r="D112" s="523">
        <f t="shared" si="12"/>
        <v>4.3240409365872812E-2</v>
      </c>
      <c r="E112" s="523">
        <f t="shared" si="13"/>
        <v>9.7042047490158573E-3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2.4118585955090069E-3</v>
      </c>
      <c r="D113" s="523">
        <f t="shared" si="12"/>
        <v>0</v>
      </c>
      <c r="E113" s="523">
        <f t="shared" si="13"/>
        <v>-2.4118585955090069E-3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1.5735757571805184E-3</v>
      </c>
      <c r="D114" s="523">
        <f t="shared" si="12"/>
        <v>2.581402209392453E-3</v>
      </c>
      <c r="E114" s="523">
        <f t="shared" si="13"/>
        <v>1.0078264522119346E-3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1.022888641436283E-3</v>
      </c>
      <c r="D115" s="523">
        <f t="shared" si="12"/>
        <v>9.4272463253968462E-4</v>
      </c>
      <c r="E115" s="523">
        <f t="shared" si="13"/>
        <v>-8.0164008896598383E-5</v>
      </c>
    </row>
    <row r="116" spans="1:5" s="506" customFormat="1" x14ac:dyDescent="0.2">
      <c r="A116" s="512"/>
      <c r="B116" s="516" t="s">
        <v>770</v>
      </c>
      <c r="C116" s="524">
        <f>SUM(C110+C111+C114)</f>
        <v>0.27398872768239257</v>
      </c>
      <c r="D116" s="524">
        <f>SUM(D110+D111+D114)</f>
        <v>0.29501575607316582</v>
      </c>
      <c r="E116" s="525">
        <f t="shared" si="13"/>
        <v>2.102702839077325E-2</v>
      </c>
    </row>
    <row r="117" spans="1:5" s="506" customFormat="1" x14ac:dyDescent="0.2">
      <c r="A117" s="512"/>
      <c r="B117" s="516" t="s">
        <v>771</v>
      </c>
      <c r="C117" s="524">
        <f>SUM(C109+C116)</f>
        <v>0.42540841364221071</v>
      </c>
      <c r="D117" s="524">
        <f>SUM(D109+D116)</f>
        <v>0.42060811290401301</v>
      </c>
      <c r="E117" s="525">
        <f t="shared" si="13"/>
        <v>-4.8003007381977048E-3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0.41776402477496938</v>
      </c>
      <c r="D121" s="523">
        <f t="shared" si="14"/>
        <v>0.4022727669105699</v>
      </c>
      <c r="E121" s="523">
        <f t="shared" ref="E121:E129" si="15">D121-C121</f>
        <v>-1.5491257864399477E-2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0.11433845647180045</v>
      </c>
      <c r="D122" s="523">
        <f t="shared" si="14"/>
        <v>0.12312399775407681</v>
      </c>
      <c r="E122" s="523">
        <f t="shared" si="15"/>
        <v>8.7855412822763629E-3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3.8970720342506288E-2</v>
      </c>
      <c r="D123" s="523">
        <f t="shared" si="14"/>
        <v>4.9990245403475936E-2</v>
      </c>
      <c r="E123" s="523">
        <f t="shared" si="15"/>
        <v>1.1019525060969648E-2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3.6092415396479401E-2</v>
      </c>
      <c r="D124" s="523">
        <f t="shared" si="14"/>
        <v>4.9990245403475936E-2</v>
      </c>
      <c r="E124" s="523">
        <f t="shared" si="15"/>
        <v>1.3897830006996535E-2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2.8783049460268913E-3</v>
      </c>
      <c r="D125" s="523">
        <f t="shared" si="14"/>
        <v>0</v>
      </c>
      <c r="E125" s="523">
        <f t="shared" si="15"/>
        <v>-2.8783049460268913E-3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3.5183847685131596E-3</v>
      </c>
      <c r="D126" s="523">
        <f t="shared" si="14"/>
        <v>4.0048770278643467E-3</v>
      </c>
      <c r="E126" s="523">
        <f t="shared" si="15"/>
        <v>4.8649225935118705E-4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2.5858507469500016E-3</v>
      </c>
      <c r="D127" s="523">
        <f t="shared" si="14"/>
        <v>2.4922216725638147E-3</v>
      </c>
      <c r="E127" s="523">
        <f t="shared" si="15"/>
        <v>-9.3629074386186902E-5</v>
      </c>
    </row>
    <row r="128" spans="1:5" s="506" customFormat="1" x14ac:dyDescent="0.2">
      <c r="A128" s="512"/>
      <c r="B128" s="516" t="s">
        <v>773</v>
      </c>
      <c r="C128" s="524">
        <f>SUM(C122+C123+C126)</f>
        <v>0.15682756158281988</v>
      </c>
      <c r="D128" s="524">
        <f>SUM(D122+D123+D126)</f>
        <v>0.17711912018541709</v>
      </c>
      <c r="E128" s="525">
        <f t="shared" si="15"/>
        <v>2.0291558602597209E-2</v>
      </c>
    </row>
    <row r="129" spans="1:5" s="506" customFormat="1" x14ac:dyDescent="0.2">
      <c r="A129" s="512"/>
      <c r="B129" s="516" t="s">
        <v>774</v>
      </c>
      <c r="C129" s="524">
        <f>SUM(C121+C128)</f>
        <v>0.57459158635778929</v>
      </c>
      <c r="D129" s="524">
        <f>SUM(D121+D128)</f>
        <v>0.57939188709598699</v>
      </c>
      <c r="E129" s="525">
        <f t="shared" si="15"/>
        <v>4.8003007381977048E-3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1143</v>
      </c>
      <c r="D137" s="530">
        <v>979</v>
      </c>
      <c r="E137" s="531">
        <f t="shared" ref="E137:E145" si="16">D137-C137</f>
        <v>-164</v>
      </c>
    </row>
    <row r="138" spans="1:5" s="506" customFormat="1" x14ac:dyDescent="0.2">
      <c r="A138" s="512">
        <v>2</v>
      </c>
      <c r="B138" s="511" t="s">
        <v>605</v>
      </c>
      <c r="C138" s="530">
        <v>1733</v>
      </c>
      <c r="D138" s="530">
        <v>1616</v>
      </c>
      <c r="E138" s="531">
        <f t="shared" si="16"/>
        <v>-117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541</v>
      </c>
      <c r="D139" s="530">
        <f>D140+D141</f>
        <v>643</v>
      </c>
      <c r="E139" s="531">
        <f t="shared" si="16"/>
        <v>102</v>
      </c>
    </row>
    <row r="140" spans="1:5" s="506" customFormat="1" x14ac:dyDescent="0.2">
      <c r="A140" s="512">
        <v>4</v>
      </c>
      <c r="B140" s="511" t="s">
        <v>114</v>
      </c>
      <c r="C140" s="530">
        <v>509</v>
      </c>
      <c r="D140" s="530">
        <v>643</v>
      </c>
      <c r="E140" s="531">
        <f t="shared" si="16"/>
        <v>134</v>
      </c>
    </row>
    <row r="141" spans="1:5" s="506" customFormat="1" x14ac:dyDescent="0.2">
      <c r="A141" s="512">
        <v>5</v>
      </c>
      <c r="B141" s="511" t="s">
        <v>718</v>
      </c>
      <c r="C141" s="530">
        <v>32</v>
      </c>
      <c r="D141" s="530">
        <v>0</v>
      </c>
      <c r="E141" s="531">
        <f t="shared" si="16"/>
        <v>-32</v>
      </c>
    </row>
    <row r="142" spans="1:5" s="506" customFormat="1" x14ac:dyDescent="0.2">
      <c r="A142" s="512">
        <v>6</v>
      </c>
      <c r="B142" s="511" t="s">
        <v>416</v>
      </c>
      <c r="C142" s="530">
        <v>20</v>
      </c>
      <c r="D142" s="530">
        <v>30</v>
      </c>
      <c r="E142" s="531">
        <f t="shared" si="16"/>
        <v>10</v>
      </c>
    </row>
    <row r="143" spans="1:5" s="506" customFormat="1" x14ac:dyDescent="0.2">
      <c r="A143" s="512">
        <v>7</v>
      </c>
      <c r="B143" s="511" t="s">
        <v>733</v>
      </c>
      <c r="C143" s="530">
        <v>46</v>
      </c>
      <c r="D143" s="530">
        <v>52</v>
      </c>
      <c r="E143" s="531">
        <f t="shared" si="16"/>
        <v>6</v>
      </c>
    </row>
    <row r="144" spans="1:5" s="506" customFormat="1" x14ac:dyDescent="0.2">
      <c r="A144" s="512"/>
      <c r="B144" s="516" t="s">
        <v>781</v>
      </c>
      <c r="C144" s="532">
        <f>SUM(C138+C139+C142)</f>
        <v>2294</v>
      </c>
      <c r="D144" s="532">
        <f>SUM(D138+D139+D142)</f>
        <v>2289</v>
      </c>
      <c r="E144" s="533">
        <f t="shared" si="16"/>
        <v>-5</v>
      </c>
    </row>
    <row r="145" spans="1:5" s="506" customFormat="1" x14ac:dyDescent="0.2">
      <c r="A145" s="512"/>
      <c r="B145" s="516" t="s">
        <v>695</v>
      </c>
      <c r="C145" s="532">
        <f>SUM(C137+C144)</f>
        <v>3437</v>
      </c>
      <c r="D145" s="532">
        <f>SUM(D137+D144)</f>
        <v>3268</v>
      </c>
      <c r="E145" s="533">
        <f t="shared" si="16"/>
        <v>-169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4527</v>
      </c>
      <c r="D149" s="534">
        <v>3704</v>
      </c>
      <c r="E149" s="531">
        <f t="shared" ref="E149:E157" si="17">D149-C149</f>
        <v>-823</v>
      </c>
    </row>
    <row r="150" spans="1:5" s="506" customFormat="1" x14ac:dyDescent="0.2">
      <c r="A150" s="512">
        <v>2</v>
      </c>
      <c r="B150" s="511" t="s">
        <v>605</v>
      </c>
      <c r="C150" s="534">
        <v>10783</v>
      </c>
      <c r="D150" s="534">
        <v>9180</v>
      </c>
      <c r="E150" s="531">
        <f t="shared" si="17"/>
        <v>-1603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2348</v>
      </c>
      <c r="D151" s="534">
        <f>D152+D153</f>
        <v>2813</v>
      </c>
      <c r="E151" s="531">
        <f t="shared" si="17"/>
        <v>465</v>
      </c>
    </row>
    <row r="152" spans="1:5" s="506" customFormat="1" x14ac:dyDescent="0.2">
      <c r="A152" s="512">
        <v>4</v>
      </c>
      <c r="B152" s="511" t="s">
        <v>114</v>
      </c>
      <c r="C152" s="534">
        <v>2146</v>
      </c>
      <c r="D152" s="534">
        <v>2813</v>
      </c>
      <c r="E152" s="531">
        <f t="shared" si="17"/>
        <v>667</v>
      </c>
    </row>
    <row r="153" spans="1:5" s="506" customFormat="1" x14ac:dyDescent="0.2">
      <c r="A153" s="512">
        <v>5</v>
      </c>
      <c r="B153" s="511" t="s">
        <v>718</v>
      </c>
      <c r="C153" s="535">
        <v>202</v>
      </c>
      <c r="D153" s="534">
        <v>0</v>
      </c>
      <c r="E153" s="531">
        <f t="shared" si="17"/>
        <v>-202</v>
      </c>
    </row>
    <row r="154" spans="1:5" s="506" customFormat="1" x14ac:dyDescent="0.2">
      <c r="A154" s="512">
        <v>6</v>
      </c>
      <c r="B154" s="511" t="s">
        <v>416</v>
      </c>
      <c r="C154" s="534">
        <v>79</v>
      </c>
      <c r="D154" s="534">
        <v>93</v>
      </c>
      <c r="E154" s="531">
        <f t="shared" si="17"/>
        <v>14</v>
      </c>
    </row>
    <row r="155" spans="1:5" s="506" customFormat="1" x14ac:dyDescent="0.2">
      <c r="A155" s="512">
        <v>7</v>
      </c>
      <c r="B155" s="511" t="s">
        <v>733</v>
      </c>
      <c r="C155" s="534">
        <v>177</v>
      </c>
      <c r="D155" s="534">
        <v>169</v>
      </c>
      <c r="E155" s="531">
        <f t="shared" si="17"/>
        <v>-8</v>
      </c>
    </row>
    <row r="156" spans="1:5" s="506" customFormat="1" x14ac:dyDescent="0.2">
      <c r="A156" s="512"/>
      <c r="B156" s="516" t="s">
        <v>782</v>
      </c>
      <c r="C156" s="532">
        <f>SUM(C150+C151+C154)</f>
        <v>13210</v>
      </c>
      <c r="D156" s="532">
        <f>SUM(D150+D151+D154)</f>
        <v>12086</v>
      </c>
      <c r="E156" s="533">
        <f t="shared" si="17"/>
        <v>-1124</v>
      </c>
    </row>
    <row r="157" spans="1:5" s="506" customFormat="1" x14ac:dyDescent="0.2">
      <c r="A157" s="512"/>
      <c r="B157" s="516" t="s">
        <v>783</v>
      </c>
      <c r="C157" s="532">
        <f>SUM(C149+C156)</f>
        <v>17737</v>
      </c>
      <c r="D157" s="532">
        <f>SUM(D149+D156)</f>
        <v>15790</v>
      </c>
      <c r="E157" s="533">
        <f t="shared" si="17"/>
        <v>-1947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3.9606299212598426</v>
      </c>
      <c r="D161" s="536">
        <f t="shared" si="18"/>
        <v>3.7834525025536263</v>
      </c>
      <c r="E161" s="537">
        <f t="shared" ref="E161:E169" si="19">D161-C161</f>
        <v>-0.17717741870621628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6.2221581073283323</v>
      </c>
      <c r="D162" s="536">
        <f t="shared" si="18"/>
        <v>5.6806930693069306</v>
      </c>
      <c r="E162" s="537">
        <f t="shared" si="19"/>
        <v>-0.54146503802140167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4.3401109057301293</v>
      </c>
      <c r="D163" s="536">
        <f t="shared" si="18"/>
        <v>4.3748055987558319</v>
      </c>
      <c r="E163" s="537">
        <f t="shared" si="19"/>
        <v>3.4694693025702605E-2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4.216110019646365</v>
      </c>
      <c r="D164" s="536">
        <f t="shared" si="18"/>
        <v>4.3748055987558319</v>
      </c>
      <c r="E164" s="537">
        <f t="shared" si="19"/>
        <v>0.15869557910946686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6.3125</v>
      </c>
      <c r="D165" s="536">
        <f t="shared" si="18"/>
        <v>0</v>
      </c>
      <c r="E165" s="537">
        <f t="shared" si="19"/>
        <v>-6.3125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3.95</v>
      </c>
      <c r="D166" s="536">
        <f t="shared" si="18"/>
        <v>3.1</v>
      </c>
      <c r="E166" s="537">
        <f t="shared" si="19"/>
        <v>-0.85000000000000009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3.847826086956522</v>
      </c>
      <c r="D167" s="536">
        <f t="shared" si="18"/>
        <v>3.25</v>
      </c>
      <c r="E167" s="537">
        <f t="shared" si="19"/>
        <v>-0.59782608695652195</v>
      </c>
    </row>
    <row r="168" spans="1:5" s="506" customFormat="1" x14ac:dyDescent="0.2">
      <c r="A168" s="512"/>
      <c r="B168" s="516" t="s">
        <v>785</v>
      </c>
      <c r="C168" s="538">
        <f t="shared" si="18"/>
        <v>5.7585004359197907</v>
      </c>
      <c r="D168" s="538">
        <f t="shared" si="18"/>
        <v>5.2800349497597203</v>
      </c>
      <c r="E168" s="539">
        <f t="shared" si="19"/>
        <v>-0.47846548616007034</v>
      </c>
    </row>
    <row r="169" spans="1:5" s="506" customFormat="1" x14ac:dyDescent="0.2">
      <c r="A169" s="512"/>
      <c r="B169" s="516" t="s">
        <v>719</v>
      </c>
      <c r="C169" s="538">
        <f t="shared" si="18"/>
        <v>5.1606051789351177</v>
      </c>
      <c r="D169" s="538">
        <f t="shared" si="18"/>
        <v>4.8317013463892291</v>
      </c>
      <c r="E169" s="539">
        <f t="shared" si="19"/>
        <v>-0.32890383254588862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1.1677</v>
      </c>
      <c r="D173" s="541">
        <f t="shared" si="20"/>
        <v>1.0203</v>
      </c>
      <c r="E173" s="542">
        <f t="shared" ref="E173:E181" si="21">D173-C173</f>
        <v>-0.14739999999999998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1.3520000000000001</v>
      </c>
      <c r="D174" s="541">
        <f t="shared" si="20"/>
        <v>1.3605</v>
      </c>
      <c r="E174" s="542">
        <f t="shared" si="21"/>
        <v>8.499999999999952E-3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0.86672717190388171</v>
      </c>
      <c r="D175" s="541">
        <f t="shared" si="20"/>
        <v>0.84913000000000005</v>
      </c>
      <c r="E175" s="542">
        <f t="shared" si="21"/>
        <v>-1.7597171903881659E-2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0.85540000000000005</v>
      </c>
      <c r="D176" s="541">
        <f t="shared" si="20"/>
        <v>0.84913000000000005</v>
      </c>
      <c r="E176" s="542">
        <f t="shared" si="21"/>
        <v>-6.2699999999999978E-3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1.0468999999999999</v>
      </c>
      <c r="D177" s="541">
        <f t="shared" si="20"/>
        <v>0</v>
      </c>
      <c r="E177" s="542">
        <f t="shared" si="21"/>
        <v>-1.0468999999999999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0.79500000000000004</v>
      </c>
      <c r="D178" s="541">
        <f t="shared" si="20"/>
        <v>0.91879999999999995</v>
      </c>
      <c r="E178" s="542">
        <f t="shared" si="21"/>
        <v>0.12379999999999991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0.92269999999999985</v>
      </c>
      <c r="D179" s="541">
        <f t="shared" si="20"/>
        <v>0.92349999999999999</v>
      </c>
      <c r="E179" s="542">
        <f t="shared" si="21"/>
        <v>8.0000000000013394E-4</v>
      </c>
    </row>
    <row r="180" spans="1:5" s="506" customFormat="1" x14ac:dyDescent="0.2">
      <c r="A180" s="512"/>
      <c r="B180" s="516" t="s">
        <v>787</v>
      </c>
      <c r="C180" s="543">
        <f t="shared" si="20"/>
        <v>1.2327006974716652</v>
      </c>
      <c r="D180" s="543">
        <f t="shared" si="20"/>
        <v>1.2110627304499781</v>
      </c>
      <c r="E180" s="544">
        <f t="shared" si="21"/>
        <v>-2.1637967021687077E-2</v>
      </c>
    </row>
    <row r="181" spans="1:5" s="506" customFormat="1" x14ac:dyDescent="0.2">
      <c r="A181" s="512"/>
      <c r="B181" s="516" t="s">
        <v>696</v>
      </c>
      <c r="C181" s="543">
        <f t="shared" si="20"/>
        <v>1.2110842304335177</v>
      </c>
      <c r="D181" s="543">
        <f t="shared" si="20"/>
        <v>1.1539156334149328</v>
      </c>
      <c r="E181" s="544">
        <f t="shared" si="21"/>
        <v>-5.7168597018584899E-2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x14ac:dyDescent="0.2">
      <c r="A185" s="512">
        <v>1</v>
      </c>
      <c r="B185" s="511" t="s">
        <v>789</v>
      </c>
      <c r="C185" s="513">
        <v>64018828</v>
      </c>
      <c r="D185" s="513">
        <v>58453607</v>
      </c>
      <c r="E185" s="514">
        <f>D185-C185</f>
        <v>-5565221</v>
      </c>
    </row>
    <row r="186" spans="1:5" s="506" customFormat="1" ht="25.5" x14ac:dyDescent="0.2">
      <c r="A186" s="512">
        <v>2</v>
      </c>
      <c r="B186" s="511" t="s">
        <v>790</v>
      </c>
      <c r="C186" s="513">
        <v>35208809</v>
      </c>
      <c r="D186" s="513">
        <v>31234890</v>
      </c>
      <c r="E186" s="514">
        <f>D186-C186</f>
        <v>-3973919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28810019</v>
      </c>
      <c r="D188" s="546">
        <f>+D185-D186</f>
        <v>27218717</v>
      </c>
      <c r="E188" s="514">
        <f t="shared" ref="E188:E197" si="22">D188-C188</f>
        <v>-1591302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0.4500241553937851</v>
      </c>
      <c r="D189" s="547">
        <f>IF(D185=0,0,+D188/D185)</f>
        <v>0.46564649124219143</v>
      </c>
      <c r="E189" s="523">
        <f t="shared" si="22"/>
        <v>1.5622335848406332E-2</v>
      </c>
    </row>
    <row r="190" spans="1:5" s="506" customFormat="1" x14ac:dyDescent="0.2">
      <c r="A190" s="512">
        <v>5</v>
      </c>
      <c r="B190" s="511" t="s">
        <v>737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723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791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792</v>
      </c>
      <c r="C193" s="513">
        <v>280655</v>
      </c>
      <c r="D193" s="513">
        <v>465816</v>
      </c>
      <c r="E193" s="546">
        <f t="shared" si="22"/>
        <v>185161</v>
      </c>
    </row>
    <row r="194" spans="1:5" s="506" customFormat="1" x14ac:dyDescent="0.2">
      <c r="A194" s="512">
        <v>9</v>
      </c>
      <c r="B194" s="511" t="s">
        <v>793</v>
      </c>
      <c r="C194" s="513">
        <v>2544094</v>
      </c>
      <c r="D194" s="513">
        <v>2141072</v>
      </c>
      <c r="E194" s="546">
        <f t="shared" si="22"/>
        <v>-403022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2824749</v>
      </c>
      <c r="D195" s="513">
        <f>+D193+D194</f>
        <v>2606888</v>
      </c>
      <c r="E195" s="549">
        <f t="shared" si="22"/>
        <v>-217861</v>
      </c>
    </row>
    <row r="196" spans="1:5" s="506" customFormat="1" x14ac:dyDescent="0.2">
      <c r="A196" s="512">
        <v>11</v>
      </c>
      <c r="B196" s="511" t="s">
        <v>795</v>
      </c>
      <c r="C196" s="513">
        <v>64018828</v>
      </c>
      <c r="D196" s="513">
        <v>58453607</v>
      </c>
      <c r="E196" s="546">
        <f t="shared" si="22"/>
        <v>-5565221</v>
      </c>
    </row>
    <row r="197" spans="1:5" s="506" customFormat="1" x14ac:dyDescent="0.2">
      <c r="A197" s="512">
        <v>12</v>
      </c>
      <c r="B197" s="511" t="s">
        <v>680</v>
      </c>
      <c r="C197" s="513">
        <v>67684735</v>
      </c>
      <c r="D197" s="513">
        <v>61306385</v>
      </c>
      <c r="E197" s="546">
        <f t="shared" si="22"/>
        <v>-6378350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1334.6811</v>
      </c>
      <c r="D203" s="553">
        <v>998.87369999999999</v>
      </c>
      <c r="E203" s="554">
        <f t="shared" ref="E203:E211" si="23">D203-C203</f>
        <v>-335.80740000000003</v>
      </c>
    </row>
    <row r="204" spans="1:5" s="506" customFormat="1" x14ac:dyDescent="0.2">
      <c r="A204" s="512">
        <v>2</v>
      </c>
      <c r="B204" s="511" t="s">
        <v>605</v>
      </c>
      <c r="C204" s="553">
        <v>2343.0160000000001</v>
      </c>
      <c r="D204" s="553">
        <v>2198.5680000000002</v>
      </c>
      <c r="E204" s="554">
        <f t="shared" si="23"/>
        <v>-144.44799999999987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468.89940000000001</v>
      </c>
      <c r="D205" s="553">
        <f>D206+D207</f>
        <v>545.99059</v>
      </c>
      <c r="E205" s="554">
        <f t="shared" si="23"/>
        <v>77.091189999999983</v>
      </c>
    </row>
    <row r="206" spans="1:5" s="506" customFormat="1" x14ac:dyDescent="0.2">
      <c r="A206" s="512">
        <v>4</v>
      </c>
      <c r="B206" s="511" t="s">
        <v>114</v>
      </c>
      <c r="C206" s="553">
        <v>435.39860000000004</v>
      </c>
      <c r="D206" s="553">
        <v>545.99059</v>
      </c>
      <c r="E206" s="554">
        <f t="shared" si="23"/>
        <v>110.59198999999995</v>
      </c>
    </row>
    <row r="207" spans="1:5" s="506" customFormat="1" x14ac:dyDescent="0.2">
      <c r="A207" s="512">
        <v>5</v>
      </c>
      <c r="B207" s="511" t="s">
        <v>718</v>
      </c>
      <c r="C207" s="553">
        <v>33.500799999999998</v>
      </c>
      <c r="D207" s="553">
        <v>0</v>
      </c>
      <c r="E207" s="554">
        <f t="shared" si="23"/>
        <v>-33.500799999999998</v>
      </c>
    </row>
    <row r="208" spans="1:5" s="506" customFormat="1" x14ac:dyDescent="0.2">
      <c r="A208" s="512">
        <v>6</v>
      </c>
      <c r="B208" s="511" t="s">
        <v>416</v>
      </c>
      <c r="C208" s="553">
        <v>15.9</v>
      </c>
      <c r="D208" s="553">
        <v>27.564</v>
      </c>
      <c r="E208" s="554">
        <f t="shared" si="23"/>
        <v>11.664</v>
      </c>
    </row>
    <row r="209" spans="1:5" s="506" customFormat="1" x14ac:dyDescent="0.2">
      <c r="A209" s="512">
        <v>7</v>
      </c>
      <c r="B209" s="511" t="s">
        <v>733</v>
      </c>
      <c r="C209" s="553">
        <v>42.444199999999995</v>
      </c>
      <c r="D209" s="553">
        <v>48.021999999999998</v>
      </c>
      <c r="E209" s="554">
        <f t="shared" si="23"/>
        <v>5.5778000000000034</v>
      </c>
    </row>
    <row r="210" spans="1:5" s="506" customFormat="1" x14ac:dyDescent="0.2">
      <c r="A210" s="512"/>
      <c r="B210" s="516" t="s">
        <v>798</v>
      </c>
      <c r="C210" s="555">
        <f>C204+C205+C208</f>
        <v>2827.8154</v>
      </c>
      <c r="D210" s="555">
        <f>D204+D205+D208</f>
        <v>2772.1225899999999</v>
      </c>
      <c r="E210" s="556">
        <f t="shared" si="23"/>
        <v>-55.692810000000009</v>
      </c>
    </row>
    <row r="211" spans="1:5" s="506" customFormat="1" x14ac:dyDescent="0.2">
      <c r="A211" s="512"/>
      <c r="B211" s="516" t="s">
        <v>697</v>
      </c>
      <c r="C211" s="555">
        <f>C210+C203</f>
        <v>4162.4965000000002</v>
      </c>
      <c r="D211" s="555">
        <f>D210+D203</f>
        <v>3770.99629</v>
      </c>
      <c r="E211" s="556">
        <f t="shared" si="23"/>
        <v>-391.50021000000015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3152.1660175656993</v>
      </c>
      <c r="D215" s="557">
        <f>IF(D14*D137=0,0,D25/D14*D137)</f>
        <v>2901.1646916905493</v>
      </c>
      <c r="E215" s="557">
        <f t="shared" ref="E215:E223" si="24">D215-C215</f>
        <v>-251.00132587515009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1066.4718754142048</v>
      </c>
      <c r="D216" s="557">
        <f>IF(D15*D138=0,0,D26/D15*D138)</f>
        <v>1192.1013145800496</v>
      </c>
      <c r="E216" s="557">
        <f t="shared" si="24"/>
        <v>125.62943916584481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720.26590866571723</v>
      </c>
      <c r="D217" s="557">
        <f>D218+D219</f>
        <v>904.64636344500116</v>
      </c>
      <c r="E217" s="557">
        <f t="shared" si="24"/>
        <v>184.38045477928392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675.502263931313</v>
      </c>
      <c r="D218" s="557">
        <f t="shared" si="25"/>
        <v>904.64636344500116</v>
      </c>
      <c r="E218" s="557">
        <f t="shared" si="24"/>
        <v>229.14409951368816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44.76364473440421</v>
      </c>
      <c r="D219" s="557">
        <f t="shared" si="25"/>
        <v>0</v>
      </c>
      <c r="E219" s="557">
        <f t="shared" si="24"/>
        <v>-44.76364473440421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40.256817642874083</v>
      </c>
      <c r="D220" s="557">
        <f t="shared" si="25"/>
        <v>44.121147619618661</v>
      </c>
      <c r="E220" s="557">
        <f t="shared" si="24"/>
        <v>3.8643299767445782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144.81078026314714</v>
      </c>
      <c r="D221" s="557">
        <f t="shared" si="25"/>
        <v>154.12864448876221</v>
      </c>
      <c r="E221" s="557">
        <f t="shared" si="24"/>
        <v>9.3178642256150681</v>
      </c>
    </row>
    <row r="222" spans="1:5" s="506" customFormat="1" x14ac:dyDescent="0.2">
      <c r="A222" s="512"/>
      <c r="B222" s="516" t="s">
        <v>800</v>
      </c>
      <c r="C222" s="558">
        <f>C216+C218+C219+C220</f>
        <v>1826.994601722796</v>
      </c>
      <c r="D222" s="558">
        <f>D216+D218+D219+D220</f>
        <v>2140.8688256446694</v>
      </c>
      <c r="E222" s="558">
        <f t="shared" si="24"/>
        <v>313.87422392187341</v>
      </c>
    </row>
    <row r="223" spans="1:5" s="506" customFormat="1" x14ac:dyDescent="0.2">
      <c r="A223" s="512"/>
      <c r="B223" s="516" t="s">
        <v>801</v>
      </c>
      <c r="C223" s="558">
        <f>C215+C222</f>
        <v>4979.1606192884956</v>
      </c>
      <c r="D223" s="558">
        <f>D215+D222</f>
        <v>5042.0335173352187</v>
      </c>
      <c r="E223" s="558">
        <f t="shared" si="24"/>
        <v>62.872898046723094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6958.5858374708387</v>
      </c>
      <c r="D227" s="560">
        <f t="shared" si="26"/>
        <v>7439.9436084862382</v>
      </c>
      <c r="E227" s="560">
        <f t="shared" ref="E227:E235" si="27">D227-C227</f>
        <v>481.35777101539952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6190.2987431583906</v>
      </c>
      <c r="D228" s="560">
        <f t="shared" si="26"/>
        <v>6706.7882367068014</v>
      </c>
      <c r="E228" s="560">
        <f t="shared" si="27"/>
        <v>516.48949354841079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4702.3178106007381</v>
      </c>
      <c r="D229" s="560">
        <f t="shared" si="26"/>
        <v>4686.2089692791224</v>
      </c>
      <c r="E229" s="560">
        <f t="shared" si="27"/>
        <v>-16.108841321615728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4724.3606203602858</v>
      </c>
      <c r="D230" s="560">
        <f t="shared" si="26"/>
        <v>4686.2089692791224</v>
      </c>
      <c r="E230" s="560">
        <f t="shared" si="27"/>
        <v>-38.151651081163436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4415.8348457350276</v>
      </c>
      <c r="D231" s="560">
        <f t="shared" si="26"/>
        <v>0</v>
      </c>
      <c r="E231" s="560">
        <f t="shared" si="27"/>
        <v>-4415.8348457350276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6070.2515723270435</v>
      </c>
      <c r="D232" s="560">
        <f t="shared" si="26"/>
        <v>5541.5396894500072</v>
      </c>
      <c r="E232" s="560">
        <f t="shared" si="27"/>
        <v>-528.71188287703626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1478.1760523228145</v>
      </c>
      <c r="D233" s="560">
        <f t="shared" si="26"/>
        <v>1161.6134271792096</v>
      </c>
      <c r="E233" s="560">
        <f t="shared" si="27"/>
        <v>-316.56262514360492</v>
      </c>
    </row>
    <row r="234" spans="1:5" x14ac:dyDescent="0.2">
      <c r="A234" s="512"/>
      <c r="B234" s="516" t="s">
        <v>803</v>
      </c>
      <c r="C234" s="561">
        <f t="shared" si="26"/>
        <v>5942.8914631414764</v>
      </c>
      <c r="D234" s="561">
        <f t="shared" si="26"/>
        <v>6297.2334134761331</v>
      </c>
      <c r="E234" s="561">
        <f t="shared" si="27"/>
        <v>354.34195033465676</v>
      </c>
    </row>
    <row r="235" spans="1:5" s="506" customFormat="1" x14ac:dyDescent="0.2">
      <c r="A235" s="512"/>
      <c r="B235" s="516" t="s">
        <v>804</v>
      </c>
      <c r="C235" s="561">
        <f t="shared" si="26"/>
        <v>6268.568153751</v>
      </c>
      <c r="D235" s="561">
        <f t="shared" si="26"/>
        <v>6599.9181876681187</v>
      </c>
      <c r="E235" s="561">
        <f t="shared" si="27"/>
        <v>331.35003391711871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8129.0185406504934</v>
      </c>
      <c r="D239" s="560">
        <f t="shared" si="28"/>
        <v>8204.7482751244534</v>
      </c>
      <c r="E239" s="562">
        <f t="shared" ref="E239:E247" si="29">D239-C239</f>
        <v>75.729734473959979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6575.9586930280802</v>
      </c>
      <c r="D240" s="560">
        <f t="shared" si="28"/>
        <v>6111.4822296513612</v>
      </c>
      <c r="E240" s="562">
        <f t="shared" si="29"/>
        <v>-464.47646337671904</v>
      </c>
    </row>
    <row r="241" spans="1:5" x14ac:dyDescent="0.2">
      <c r="A241" s="512">
        <v>3</v>
      </c>
      <c r="B241" s="511" t="s">
        <v>751</v>
      </c>
      <c r="C241" s="560">
        <f t="shared" si="28"/>
        <v>3318.6521411627273</v>
      </c>
      <c r="D241" s="560">
        <f t="shared" si="28"/>
        <v>3269.8169356868652</v>
      </c>
      <c r="E241" s="562">
        <f t="shared" si="29"/>
        <v>-48.83520547586204</v>
      </c>
    </row>
    <row r="242" spans="1:5" x14ac:dyDescent="0.2">
      <c r="A242" s="512">
        <v>4</v>
      </c>
      <c r="B242" s="511" t="s">
        <v>114</v>
      </c>
      <c r="C242" s="560">
        <f t="shared" si="28"/>
        <v>3277.2177359054749</v>
      </c>
      <c r="D242" s="560">
        <f t="shared" si="28"/>
        <v>3269.8169356868652</v>
      </c>
      <c r="E242" s="562">
        <f t="shared" si="29"/>
        <v>-7.4008002186096746</v>
      </c>
    </row>
    <row r="243" spans="1:5" x14ac:dyDescent="0.2">
      <c r="A243" s="512">
        <v>5</v>
      </c>
      <c r="B243" s="511" t="s">
        <v>718</v>
      </c>
      <c r="C243" s="560">
        <f t="shared" si="28"/>
        <v>3943.9147783315493</v>
      </c>
      <c r="D243" s="560">
        <f t="shared" si="28"/>
        <v>0</v>
      </c>
      <c r="E243" s="562">
        <f t="shared" si="29"/>
        <v>-3943.9147783315493</v>
      </c>
    </row>
    <row r="244" spans="1:5" x14ac:dyDescent="0.2">
      <c r="A244" s="512">
        <v>6</v>
      </c>
      <c r="B244" s="511" t="s">
        <v>416</v>
      </c>
      <c r="C244" s="560">
        <f t="shared" si="28"/>
        <v>5360.6820567497034</v>
      </c>
      <c r="D244" s="560">
        <f t="shared" si="28"/>
        <v>5371.0524948953762</v>
      </c>
      <c r="E244" s="562">
        <f t="shared" si="29"/>
        <v>10.370438145672779</v>
      </c>
    </row>
    <row r="245" spans="1:5" x14ac:dyDescent="0.2">
      <c r="A245" s="512">
        <v>7</v>
      </c>
      <c r="B245" s="511" t="s">
        <v>733</v>
      </c>
      <c r="C245" s="560">
        <f t="shared" si="28"/>
        <v>1095.2637622128993</v>
      </c>
      <c r="D245" s="560">
        <f t="shared" si="28"/>
        <v>956.79813761518096</v>
      </c>
      <c r="E245" s="562">
        <f t="shared" si="29"/>
        <v>-138.46562459771837</v>
      </c>
    </row>
    <row r="246" spans="1:5" ht="25.5" x14ac:dyDescent="0.2">
      <c r="A246" s="512"/>
      <c r="B246" s="516" t="s">
        <v>806</v>
      </c>
      <c r="C246" s="561">
        <f t="shared" si="28"/>
        <v>5265.0352611493317</v>
      </c>
      <c r="D246" s="561">
        <f t="shared" si="28"/>
        <v>4895.4475278718</v>
      </c>
      <c r="E246" s="563">
        <f t="shared" si="29"/>
        <v>-369.5877332775317</v>
      </c>
    </row>
    <row r="247" spans="1:5" x14ac:dyDescent="0.2">
      <c r="A247" s="512"/>
      <c r="B247" s="516" t="s">
        <v>807</v>
      </c>
      <c r="C247" s="561">
        <f t="shared" si="28"/>
        <v>7078.1422200909292</v>
      </c>
      <c r="D247" s="561">
        <f t="shared" si="28"/>
        <v>6799.6051359292551</v>
      </c>
      <c r="E247" s="563">
        <f t="shared" si="29"/>
        <v>-278.5370841616741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2228306.9846592662</v>
      </c>
      <c r="D251" s="546">
        <f>((IF((IF(D15=0,0,D26/D15)*D138)=0,0,D59/(IF(D15=0,0,D26/D15)*D138)))-(IF((IF(D17=0,0,D28/D17)*D140)=0,0,D61/(IF(D17=0,0,D28/D17)*D140))))*(IF(D17=0,0,D28/D17)*D140)</f>
        <v>2570702.1743128514</v>
      </c>
      <c r="E251" s="546">
        <f>D251-C251</f>
        <v>342395.1896535852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177265.8388576266</v>
      </c>
      <c r="D252" s="546">
        <f>IF(D231=0,0,(D228-D231)*D207)+IF(D243=0,0,(D240-D243)*D219)</f>
        <v>0</v>
      </c>
      <c r="E252" s="546">
        <f>D252-C252</f>
        <v>-177265.8388576266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993665.98722998495</v>
      </c>
      <c r="D253" s="546">
        <f>IF(D233=0,0,(D228-D233)*D209+IF(D221=0,0,(D240-D245)*D221))</f>
        <v>1060774.8565764565</v>
      </c>
      <c r="E253" s="546">
        <f>D253-C253</f>
        <v>67108.869346471503</v>
      </c>
    </row>
    <row r="254" spans="1:5" ht="15" customHeight="1" x14ac:dyDescent="0.2">
      <c r="A254" s="512"/>
      <c r="B254" s="516" t="s">
        <v>734</v>
      </c>
      <c r="C254" s="564">
        <f>+C251+C252+C253</f>
        <v>3399238.8107468775</v>
      </c>
      <c r="D254" s="564">
        <f>+D251+D252+D253</f>
        <v>3631477.0308893081</v>
      </c>
      <c r="E254" s="564">
        <f>D254-C254</f>
        <v>232238.22014243063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151379867</v>
      </c>
      <c r="D258" s="549">
        <f>+D44</f>
        <v>148782545</v>
      </c>
      <c r="E258" s="546">
        <f t="shared" ref="E258:E271" si="30">D258-C258</f>
        <v>-2597322</v>
      </c>
    </row>
    <row r="259" spans="1:5" x14ac:dyDescent="0.2">
      <c r="A259" s="512">
        <v>2</v>
      </c>
      <c r="B259" s="511" t="s">
        <v>717</v>
      </c>
      <c r="C259" s="546">
        <f>+(C43-C76)</f>
        <v>60935943</v>
      </c>
      <c r="D259" s="549">
        <f>+(D43-D76)</f>
        <v>62391724</v>
      </c>
      <c r="E259" s="546">
        <f t="shared" si="30"/>
        <v>1455781</v>
      </c>
    </row>
    <row r="260" spans="1:5" x14ac:dyDescent="0.2">
      <c r="A260" s="512">
        <v>3</v>
      </c>
      <c r="B260" s="511" t="s">
        <v>721</v>
      </c>
      <c r="C260" s="546">
        <f>C195</f>
        <v>2824749</v>
      </c>
      <c r="D260" s="546">
        <f>D195</f>
        <v>2606888</v>
      </c>
      <c r="E260" s="546">
        <f t="shared" si="30"/>
        <v>-217861</v>
      </c>
    </row>
    <row r="261" spans="1:5" x14ac:dyDescent="0.2">
      <c r="A261" s="512">
        <v>4</v>
      </c>
      <c r="B261" s="511" t="s">
        <v>722</v>
      </c>
      <c r="C261" s="546">
        <f>C188</f>
        <v>28810019</v>
      </c>
      <c r="D261" s="546">
        <f>D188</f>
        <v>27218717</v>
      </c>
      <c r="E261" s="546">
        <f t="shared" si="30"/>
        <v>-1591302</v>
      </c>
    </row>
    <row r="262" spans="1:5" x14ac:dyDescent="0.2">
      <c r="A262" s="512">
        <v>5</v>
      </c>
      <c r="B262" s="511" t="s">
        <v>723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724</v>
      </c>
      <c r="C263" s="546">
        <f>+C259+C260+C261+C262</f>
        <v>92570711</v>
      </c>
      <c r="D263" s="546">
        <f>+D259+D260+D261+D262</f>
        <v>92217329</v>
      </c>
      <c r="E263" s="546">
        <f t="shared" si="30"/>
        <v>-353382</v>
      </c>
    </row>
    <row r="264" spans="1:5" x14ac:dyDescent="0.2">
      <c r="A264" s="512">
        <v>7</v>
      </c>
      <c r="B264" s="511" t="s">
        <v>624</v>
      </c>
      <c r="C264" s="546">
        <f>+C258-C263</f>
        <v>58809156</v>
      </c>
      <c r="D264" s="546">
        <f>+D258-D263</f>
        <v>56565216</v>
      </c>
      <c r="E264" s="546">
        <f t="shared" si="30"/>
        <v>-2243940</v>
      </c>
    </row>
    <row r="265" spans="1:5" x14ac:dyDescent="0.2">
      <c r="A265" s="512">
        <v>8</v>
      </c>
      <c r="B265" s="511" t="s">
        <v>810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811</v>
      </c>
      <c r="C266" s="546">
        <f>+C264+C265</f>
        <v>58809156</v>
      </c>
      <c r="D266" s="546">
        <f>+D264+D265</f>
        <v>56565216</v>
      </c>
      <c r="E266" s="565">
        <f t="shared" si="30"/>
        <v>-2243940</v>
      </c>
    </row>
    <row r="267" spans="1:5" x14ac:dyDescent="0.2">
      <c r="A267" s="512">
        <v>10</v>
      </c>
      <c r="B267" s="511" t="s">
        <v>812</v>
      </c>
      <c r="C267" s="566">
        <f>IF(C258=0,0,C266/C258)</f>
        <v>0.38848730128690101</v>
      </c>
      <c r="D267" s="566">
        <f>IF(D258=0,0,D266/D258)</f>
        <v>0.38018717854302064</v>
      </c>
      <c r="E267" s="567">
        <f t="shared" si="30"/>
        <v>-8.3001227438803671E-3</v>
      </c>
    </row>
    <row r="268" spans="1:5" x14ac:dyDescent="0.2">
      <c r="A268" s="512">
        <v>11</v>
      </c>
      <c r="B268" s="511" t="s">
        <v>686</v>
      </c>
      <c r="C268" s="546">
        <f>+C260*C267</f>
        <v>1097379.1158228724</v>
      </c>
      <c r="D268" s="568">
        <f>+D260*D267</f>
        <v>991105.39349765796</v>
      </c>
      <c r="E268" s="546">
        <f t="shared" si="30"/>
        <v>-106273.72232521442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2177859.7391594881</v>
      </c>
      <c r="D269" s="568">
        <f>((D17+D18+D28+D29)*D267)-(D50+D51+D61+D62)</f>
        <v>2321332.3962402316</v>
      </c>
      <c r="E269" s="546">
        <f t="shared" si="30"/>
        <v>143472.65708074346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x14ac:dyDescent="0.2">
      <c r="A271" s="512">
        <v>14</v>
      </c>
      <c r="B271" s="511" t="s">
        <v>815</v>
      </c>
      <c r="C271" s="546">
        <f>+C268+C269+C270</f>
        <v>3275238.8549823603</v>
      </c>
      <c r="D271" s="546">
        <f>+D268+D269+D270</f>
        <v>3312437.7897378895</v>
      </c>
      <c r="E271" s="549">
        <f t="shared" si="30"/>
        <v>37198.934755529277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0.54515635477575519</v>
      </c>
      <c r="D276" s="547">
        <f t="shared" si="31"/>
        <v>0.50389073662678785</v>
      </c>
      <c r="E276" s="574">
        <f t="shared" ref="E276:E284" si="32">D276-C276</f>
        <v>-4.1265618148967342E-2</v>
      </c>
    </row>
    <row r="277" spans="1:5" x14ac:dyDescent="0.2">
      <c r="A277" s="512">
        <v>2</v>
      </c>
      <c r="B277" s="511" t="s">
        <v>605</v>
      </c>
      <c r="C277" s="547">
        <f t="shared" si="31"/>
        <v>0.33875529817198102</v>
      </c>
      <c r="D277" s="547">
        <f t="shared" si="31"/>
        <v>0.37283645910537028</v>
      </c>
      <c r="E277" s="574">
        <f t="shared" si="32"/>
        <v>3.4081160933389254E-2</v>
      </c>
    </row>
    <row r="278" spans="1:5" x14ac:dyDescent="0.2">
      <c r="A278" s="512">
        <v>3</v>
      </c>
      <c r="B278" s="511" t="s">
        <v>751</v>
      </c>
      <c r="C278" s="547">
        <f t="shared" si="31"/>
        <v>0.29517201569117996</v>
      </c>
      <c r="D278" s="547">
        <f t="shared" si="31"/>
        <v>0.29871740553505377</v>
      </c>
      <c r="E278" s="574">
        <f t="shared" si="32"/>
        <v>3.5453898438738141E-3</v>
      </c>
    </row>
    <row r="279" spans="1:5" x14ac:dyDescent="0.2">
      <c r="A279" s="512">
        <v>4</v>
      </c>
      <c r="B279" s="511" t="s">
        <v>114</v>
      </c>
      <c r="C279" s="547">
        <f t="shared" si="31"/>
        <v>0.30439987137241575</v>
      </c>
      <c r="D279" s="547">
        <f t="shared" si="31"/>
        <v>0.29871740553505377</v>
      </c>
      <c r="E279" s="574">
        <f t="shared" si="32"/>
        <v>-5.682465837361983E-3</v>
      </c>
    </row>
    <row r="280" spans="1:5" x14ac:dyDescent="0.2">
      <c r="A280" s="512">
        <v>5</v>
      </c>
      <c r="B280" s="511" t="s">
        <v>718</v>
      </c>
      <c r="C280" s="547">
        <f t="shared" si="31"/>
        <v>0.20764531831631192</v>
      </c>
      <c r="D280" s="547">
        <f t="shared" si="31"/>
        <v>0</v>
      </c>
      <c r="E280" s="574">
        <f t="shared" si="32"/>
        <v>-0.20764531831631192</v>
      </c>
    </row>
    <row r="281" spans="1:5" x14ac:dyDescent="0.2">
      <c r="A281" s="512">
        <v>6</v>
      </c>
      <c r="B281" s="511" t="s">
        <v>416</v>
      </c>
      <c r="C281" s="547">
        <f t="shared" si="31"/>
        <v>0.38145996363923801</v>
      </c>
      <c r="D281" s="547">
        <f t="shared" si="31"/>
        <v>0.38160800655554222</v>
      </c>
      <c r="E281" s="574">
        <f t="shared" si="32"/>
        <v>1.4804291630421407E-4</v>
      </c>
    </row>
    <row r="282" spans="1:5" x14ac:dyDescent="0.2">
      <c r="A282" s="512">
        <v>7</v>
      </c>
      <c r="B282" s="511" t="s">
        <v>733</v>
      </c>
      <c r="C282" s="547">
        <f t="shared" si="31"/>
        <v>8.5437030702315814E-2</v>
      </c>
      <c r="D282" s="547">
        <f t="shared" si="31"/>
        <v>8.531284793167998E-2</v>
      </c>
      <c r="E282" s="574">
        <f t="shared" si="32"/>
        <v>-1.2418277063583338E-4</v>
      </c>
    </row>
    <row r="283" spans="1:5" ht="29.25" customHeight="1" x14ac:dyDescent="0.2">
      <c r="A283" s="512"/>
      <c r="B283" s="516" t="s">
        <v>819</v>
      </c>
      <c r="C283" s="575">
        <f t="shared" si="31"/>
        <v>0.33252718763054423</v>
      </c>
      <c r="D283" s="575">
        <f t="shared" si="31"/>
        <v>0.35982295345899379</v>
      </c>
      <c r="E283" s="576">
        <f t="shared" si="32"/>
        <v>2.7295765828449559E-2</v>
      </c>
    </row>
    <row r="284" spans="1:5" x14ac:dyDescent="0.2">
      <c r="A284" s="512"/>
      <c r="B284" s="516" t="s">
        <v>820</v>
      </c>
      <c r="C284" s="575">
        <f t="shared" si="31"/>
        <v>0.38613343895849472</v>
      </c>
      <c r="D284" s="575">
        <f t="shared" si="31"/>
        <v>0.39340912426547781</v>
      </c>
      <c r="E284" s="576">
        <f t="shared" si="32"/>
        <v>7.2756853069830818E-3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0.54538969020441863</v>
      </c>
      <c r="D287" s="547">
        <f t="shared" si="33"/>
        <v>0.54463319194907578</v>
      </c>
      <c r="E287" s="574">
        <f t="shared" ref="E287:E295" si="34">D287-C287</f>
        <v>-7.5649825534285231E-4</v>
      </c>
    </row>
    <row r="288" spans="1:5" x14ac:dyDescent="0.2">
      <c r="A288" s="512">
        <v>2</v>
      </c>
      <c r="B288" s="511" t="s">
        <v>605</v>
      </c>
      <c r="C288" s="547">
        <f t="shared" si="33"/>
        <v>0.26616863213634001</v>
      </c>
      <c r="D288" s="547">
        <f t="shared" si="33"/>
        <v>0.2497191154983977</v>
      </c>
      <c r="E288" s="574">
        <f t="shared" si="34"/>
        <v>-1.6449516637942307E-2</v>
      </c>
    </row>
    <row r="289" spans="1:5" x14ac:dyDescent="0.2">
      <c r="A289" s="512">
        <v>3</v>
      </c>
      <c r="B289" s="511" t="s">
        <v>751</v>
      </c>
      <c r="C289" s="547">
        <f t="shared" si="33"/>
        <v>0.23988083392568138</v>
      </c>
      <c r="D289" s="547">
        <f t="shared" si="33"/>
        <v>0.2454641834800019</v>
      </c>
      <c r="E289" s="574">
        <f t="shared" si="34"/>
        <v>5.5833495543205214E-3</v>
      </c>
    </row>
    <row r="290" spans="1:5" x14ac:dyDescent="0.2">
      <c r="A290" s="512">
        <v>4</v>
      </c>
      <c r="B290" s="511" t="s">
        <v>114</v>
      </c>
      <c r="C290" s="547">
        <f t="shared" si="33"/>
        <v>0.24685246844885916</v>
      </c>
      <c r="D290" s="547">
        <f t="shared" si="33"/>
        <v>0.2454641834800019</v>
      </c>
      <c r="E290" s="574">
        <f t="shared" si="34"/>
        <v>-1.3882849688572618E-3</v>
      </c>
    </row>
    <row r="291" spans="1:5" x14ac:dyDescent="0.2">
      <c r="A291" s="512">
        <v>5</v>
      </c>
      <c r="B291" s="511" t="s">
        <v>718</v>
      </c>
      <c r="C291" s="547">
        <f t="shared" si="33"/>
        <v>0.1771461196607268</v>
      </c>
      <c r="D291" s="547">
        <f t="shared" si="33"/>
        <v>0</v>
      </c>
      <c r="E291" s="574">
        <f t="shared" si="34"/>
        <v>-0.1771461196607268</v>
      </c>
    </row>
    <row r="292" spans="1:5" x14ac:dyDescent="0.2">
      <c r="A292" s="512">
        <v>6</v>
      </c>
      <c r="B292" s="511" t="s">
        <v>416</v>
      </c>
      <c r="C292" s="547">
        <f t="shared" si="33"/>
        <v>0.42373583564538014</v>
      </c>
      <c r="D292" s="547">
        <f t="shared" si="33"/>
        <v>0.40255519958143787</v>
      </c>
      <c r="E292" s="574">
        <f t="shared" si="34"/>
        <v>-2.1180636063942271E-2</v>
      </c>
    </row>
    <row r="293" spans="1:5" x14ac:dyDescent="0.2">
      <c r="A293" s="512">
        <v>7</v>
      </c>
      <c r="B293" s="511" t="s">
        <v>733</v>
      </c>
      <c r="C293" s="547">
        <f t="shared" si="33"/>
        <v>6.8608540791338865E-2</v>
      </c>
      <c r="D293" s="547">
        <f t="shared" si="33"/>
        <v>7.609151621130604E-2</v>
      </c>
      <c r="E293" s="574">
        <f t="shared" si="34"/>
        <v>7.482975419967175E-3</v>
      </c>
    </row>
    <row r="294" spans="1:5" ht="29.25" customHeight="1" x14ac:dyDescent="0.2">
      <c r="A294" s="512"/>
      <c r="B294" s="516" t="s">
        <v>822</v>
      </c>
      <c r="C294" s="575">
        <f t="shared" si="33"/>
        <v>0.26123410635620825</v>
      </c>
      <c r="D294" s="575">
        <f t="shared" si="33"/>
        <v>0.25064455917251344</v>
      </c>
      <c r="E294" s="576">
        <f t="shared" si="34"/>
        <v>-1.0589547183694814E-2</v>
      </c>
    </row>
    <row r="295" spans="1:5" x14ac:dyDescent="0.2">
      <c r="A295" s="512"/>
      <c r="B295" s="516" t="s">
        <v>823</v>
      </c>
      <c r="C295" s="575">
        <f t="shared" si="33"/>
        <v>0.42053794151018975</v>
      </c>
      <c r="D295" s="575">
        <f t="shared" si="33"/>
        <v>0.40088921260980537</v>
      </c>
      <c r="E295" s="576">
        <f t="shared" si="34"/>
        <v>-1.9648728900384382E-2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61336100</v>
      </c>
      <c r="D301" s="514">
        <f>+D48+D47+D50+D51+D52+D59+D58+D61+D62+D63</f>
        <v>59172104</v>
      </c>
      <c r="E301" s="514">
        <f>D301-C301</f>
        <v>-2163996</v>
      </c>
    </row>
    <row r="302" spans="1:5" ht="25.5" x14ac:dyDescent="0.2">
      <c r="A302" s="512">
        <v>2</v>
      </c>
      <c r="B302" s="511" t="s">
        <v>827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828</v>
      </c>
      <c r="C303" s="517">
        <f>+C301+C302</f>
        <v>61336100</v>
      </c>
      <c r="D303" s="517">
        <f>+D301+D302</f>
        <v>59172104</v>
      </c>
      <c r="E303" s="517">
        <f>D303-C303</f>
        <v>-2163996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0</v>
      </c>
      <c r="D305" s="578">
        <v>619650</v>
      </c>
      <c r="E305" s="579">
        <f>D305-C305</f>
        <v>619650</v>
      </c>
    </row>
    <row r="306" spans="1:5" x14ac:dyDescent="0.2">
      <c r="A306" s="512">
        <v>4</v>
      </c>
      <c r="B306" s="516" t="s">
        <v>830</v>
      </c>
      <c r="C306" s="580">
        <f>+C303+C305</f>
        <v>61336100</v>
      </c>
      <c r="D306" s="580">
        <f>+D303+D305</f>
        <v>59791754</v>
      </c>
      <c r="E306" s="580">
        <f>D306-C306</f>
        <v>-1544346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61336304</v>
      </c>
      <c r="D308" s="513">
        <v>59791753</v>
      </c>
      <c r="E308" s="514">
        <f>D308-C308</f>
        <v>-1544551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-204</v>
      </c>
      <c r="D310" s="582">
        <f>D306-D308</f>
        <v>1</v>
      </c>
      <c r="E310" s="580">
        <f>D310-C310</f>
        <v>205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151379867</v>
      </c>
      <c r="D314" s="514">
        <f>+D14+D15+D16+D19+D25+D26+D27+D30</f>
        <v>148782545</v>
      </c>
      <c r="E314" s="514">
        <f>D314-C314</f>
        <v>-2597322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151379867</v>
      </c>
      <c r="D316" s="581">
        <f>D314+D315</f>
        <v>148782545</v>
      </c>
      <c r="E316" s="517">
        <f>D316-C316</f>
        <v>-2597322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151379874</v>
      </c>
      <c r="D318" s="513">
        <v>148782545</v>
      </c>
      <c r="E318" s="514">
        <f>D318-C318</f>
        <v>-2597329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-7</v>
      </c>
      <c r="D320" s="581">
        <f>D316-D318</f>
        <v>0</v>
      </c>
      <c r="E320" s="517">
        <f>D320-C320</f>
        <v>7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2824749</v>
      </c>
      <c r="D324" s="513">
        <f>+D193+D194</f>
        <v>2606888</v>
      </c>
      <c r="E324" s="514">
        <f>D324-C324</f>
        <v>-217861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2824749</v>
      </c>
      <c r="D326" s="581">
        <f>D324+D325</f>
        <v>2606888</v>
      </c>
      <c r="E326" s="517">
        <f>D326-C326</f>
        <v>-217861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2824952</v>
      </c>
      <c r="D328" s="513">
        <v>2606888</v>
      </c>
      <c r="E328" s="514">
        <f>D328-C328</f>
        <v>-218064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-203</v>
      </c>
      <c r="D330" s="581">
        <f>D326-D328</f>
        <v>0</v>
      </c>
      <c r="E330" s="517">
        <f>D330-C330</f>
        <v>203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FILING&amp;RJOHNSON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3" t="s">
        <v>0</v>
      </c>
      <c r="B2" s="703"/>
      <c r="C2" s="703"/>
      <c r="D2" s="585"/>
    </row>
    <row r="3" spans="1:58" s="338" customFormat="1" ht="15.75" customHeight="1" x14ac:dyDescent="0.25">
      <c r="A3" s="696" t="s">
        <v>596</v>
      </c>
      <c r="B3" s="697"/>
      <c r="C3" s="698"/>
      <c r="D3" s="585"/>
    </row>
    <row r="4" spans="1:58" s="338" customFormat="1" ht="15.75" customHeight="1" x14ac:dyDescent="0.25">
      <c r="A4" s="696" t="s">
        <v>2</v>
      </c>
      <c r="B4" s="697"/>
      <c r="C4" s="698"/>
      <c r="D4" s="585"/>
    </row>
    <row r="5" spans="1:58" s="338" customFormat="1" ht="15.75" customHeight="1" x14ac:dyDescent="0.25">
      <c r="A5" s="696" t="s">
        <v>844</v>
      </c>
      <c r="B5" s="697"/>
      <c r="C5" s="698"/>
      <c r="D5" s="585"/>
    </row>
    <row r="6" spans="1:58" s="338" customFormat="1" ht="15.75" customHeight="1" x14ac:dyDescent="0.25">
      <c r="A6" s="696" t="s">
        <v>845</v>
      </c>
      <c r="B6" s="697"/>
      <c r="C6" s="698"/>
      <c r="D6" s="585"/>
    </row>
    <row r="7" spans="1:58" s="338" customFormat="1" ht="15.75" customHeight="1" x14ac:dyDescent="0.25">
      <c r="A7" s="711"/>
      <c r="B7" s="711"/>
      <c r="C7" s="711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14748364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39549056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8565373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8565373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400272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653864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48514701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63263065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43705243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29174803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12050752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12050752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588682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1938061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41814237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85519480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58453607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90328938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148782545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7431564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14745330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2558626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2558626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152747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55783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17456703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24888267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23803326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7285506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2958028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2958028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236977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147470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10480511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34283837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31234890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27937214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59172104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979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1616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643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643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30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52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2289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3268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1.0203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1.3605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0.84913000000000005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0.84913000000000005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0.91879999999999995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0.92349999999999999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1.2110627304499781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1.1539156334149328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58453607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31234890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27218717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0.46564649124219143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465816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2141072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2606888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1209809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61306385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59172104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59172104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619650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59791754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59791753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148782545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148782545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148782545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2606888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2606888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2606888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FILING&amp;RJOHNSON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596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597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857</v>
      </c>
      <c r="B5" s="713"/>
      <c r="C5" s="713"/>
      <c r="D5" s="713"/>
      <c r="E5" s="713"/>
      <c r="F5" s="714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229</v>
      </c>
      <c r="D12" s="49">
        <v>485</v>
      </c>
      <c r="E12" s="49">
        <f>+D12-C12</f>
        <v>256</v>
      </c>
      <c r="F12" s="70">
        <f>IF(C12=0,0,+E12/C12)</f>
        <v>1.1179039301310043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209</v>
      </c>
      <c r="D13" s="49">
        <v>376</v>
      </c>
      <c r="E13" s="49">
        <f>+D13-C13</f>
        <v>167</v>
      </c>
      <c r="F13" s="70">
        <f>IF(C13=0,0,+E13/C13)</f>
        <v>0.79904306220095689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280655</v>
      </c>
      <c r="D15" s="51">
        <v>465816</v>
      </c>
      <c r="E15" s="51">
        <f>+D15-C15</f>
        <v>185161</v>
      </c>
      <c r="F15" s="70">
        <f>IF(C15=0,0,+E15/C15)</f>
        <v>0.65974595143503589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1342.8468899521531</v>
      </c>
      <c r="D16" s="27">
        <f>IF(D13=0,0,+D15/+D13)</f>
        <v>1238.872340425532</v>
      </c>
      <c r="E16" s="27">
        <f>+D16-C16</f>
        <v>-103.9745495266211</v>
      </c>
      <c r="F16" s="28">
        <f>IF(C16=0,0,+E16/C16)</f>
        <v>-7.7428447207652851E-2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0.351823</v>
      </c>
      <c r="D18" s="210">
        <v>0.445438</v>
      </c>
      <c r="E18" s="210">
        <f>+D18-C18</f>
        <v>9.3615000000000004E-2</v>
      </c>
      <c r="F18" s="70">
        <f>IF(C18=0,0,+E18/C18)</f>
        <v>0.26608550322179053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98740.884065000006</v>
      </c>
      <c r="D19" s="27">
        <f>+D15*D18</f>
        <v>207492.14740799999</v>
      </c>
      <c r="E19" s="27">
        <f>+D19-C19</f>
        <v>108751.26334299998</v>
      </c>
      <c r="F19" s="28">
        <f>IF(C19=0,0,+E19/C19)</f>
        <v>1.1013802881429566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472.44442136363637</v>
      </c>
      <c r="D20" s="27">
        <f>IF(D13=0,0,+D19/D13)</f>
        <v>551.84081757446802</v>
      </c>
      <c r="E20" s="27">
        <f>+D20-C20</f>
        <v>79.396396210831654</v>
      </c>
      <c r="F20" s="28">
        <f>IF(C20=0,0,+E20/C20)</f>
        <v>0.16805446867520726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122446</v>
      </c>
      <c r="D22" s="51">
        <v>282865</v>
      </c>
      <c r="E22" s="51">
        <f>+D22-C22</f>
        <v>160419</v>
      </c>
      <c r="F22" s="70">
        <f>IF(C22=0,0,+E22/C22)</f>
        <v>1.3101203795959036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91010</v>
      </c>
      <c r="D23" s="49">
        <v>67597</v>
      </c>
      <c r="E23" s="49">
        <f>+D23-C23</f>
        <v>-23413</v>
      </c>
      <c r="F23" s="70">
        <f>IF(C23=0,0,+E23/C23)</f>
        <v>-0.25725744423689706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67199</v>
      </c>
      <c r="D24" s="49">
        <v>115354</v>
      </c>
      <c r="E24" s="49">
        <f>+D24-C24</f>
        <v>48155</v>
      </c>
      <c r="F24" s="70">
        <f>IF(C24=0,0,+E24/C24)</f>
        <v>0.71660292563877437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280655</v>
      </c>
      <c r="D25" s="27">
        <f>+D22+D23+D24</f>
        <v>465816</v>
      </c>
      <c r="E25" s="27">
        <f>+E22+E23+E24</f>
        <v>185161</v>
      </c>
      <c r="F25" s="28">
        <f>IF(C25=0,0,+E25/C25)</f>
        <v>0.65974595143503589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25</v>
      </c>
      <c r="D27" s="49">
        <v>136</v>
      </c>
      <c r="E27" s="49">
        <f>+D27-C27</f>
        <v>111</v>
      </c>
      <c r="F27" s="70">
        <f>IF(C27=0,0,+E27/C27)</f>
        <v>4.4400000000000004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12</v>
      </c>
      <c r="D28" s="49">
        <v>52</v>
      </c>
      <c r="E28" s="49">
        <f>+D28-C28</f>
        <v>40</v>
      </c>
      <c r="F28" s="70">
        <f>IF(C28=0,0,+E28/C28)</f>
        <v>3.3333333333333335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94</v>
      </c>
      <c r="D29" s="49">
        <v>165</v>
      </c>
      <c r="E29" s="49">
        <f>+D29-C29</f>
        <v>71</v>
      </c>
      <c r="F29" s="70">
        <f>IF(C29=0,0,+E29/C29)</f>
        <v>0.75531914893617025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57</v>
      </c>
      <c r="D30" s="49">
        <v>204</v>
      </c>
      <c r="E30" s="49">
        <f>+D30-C30</f>
        <v>147</v>
      </c>
      <c r="F30" s="70">
        <f>IF(C30=0,0,+E30/C30)</f>
        <v>2.5789473684210527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1135684</v>
      </c>
      <c r="D33" s="51">
        <v>898608</v>
      </c>
      <c r="E33" s="51">
        <f>+D33-C33</f>
        <v>-237076</v>
      </c>
      <c r="F33" s="70">
        <f>IF(C33=0,0,+E33/C33)</f>
        <v>-0.20875173023481883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205054</v>
      </c>
      <c r="D34" s="49">
        <v>876555</v>
      </c>
      <c r="E34" s="49">
        <f>+D34-C34</f>
        <v>671501</v>
      </c>
      <c r="F34" s="70">
        <f>IF(C34=0,0,+E34/C34)</f>
        <v>3.2747520165419841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1203356</v>
      </c>
      <c r="D35" s="49">
        <v>365909</v>
      </c>
      <c r="E35" s="49">
        <f>+D35-C35</f>
        <v>-837447</v>
      </c>
      <c r="F35" s="70">
        <f>IF(C35=0,0,+E35/C35)</f>
        <v>-0.6959262263203907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2544094</v>
      </c>
      <c r="D36" s="27">
        <f>+D33+D34+D35</f>
        <v>2141072</v>
      </c>
      <c r="E36" s="27">
        <f>+E33+E34+E35</f>
        <v>-403022</v>
      </c>
      <c r="F36" s="28">
        <f>IF(C36=0,0,+E36/C36)</f>
        <v>-0.15841474410929784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280655</v>
      </c>
      <c r="D39" s="51">
        <f>+D25</f>
        <v>465816</v>
      </c>
      <c r="E39" s="51">
        <f>+D39-C39</f>
        <v>185161</v>
      </c>
      <c r="F39" s="70">
        <f>IF(C39=0,0,+E39/C39)</f>
        <v>0.65974595143503589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2544094</v>
      </c>
      <c r="D40" s="49">
        <f>+D36</f>
        <v>2141072</v>
      </c>
      <c r="E40" s="49">
        <f>+D40-C40</f>
        <v>-403022</v>
      </c>
      <c r="F40" s="70">
        <f>IF(C40=0,0,+E40/C40)</f>
        <v>-0.15841474410929784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2824749</v>
      </c>
      <c r="D41" s="27">
        <f>+D39+D40</f>
        <v>2606888</v>
      </c>
      <c r="E41" s="27">
        <f>+E39+E40</f>
        <v>-217861</v>
      </c>
      <c r="F41" s="28">
        <f>IF(C41=0,0,+E41/C41)</f>
        <v>-7.7125790645469733E-2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1258130</v>
      </c>
      <c r="D43" s="51">
        <f t="shared" si="0"/>
        <v>1181473</v>
      </c>
      <c r="E43" s="51">
        <f>+D43-C43</f>
        <v>-76657</v>
      </c>
      <c r="F43" s="70">
        <f>IF(C43=0,0,+E43/C43)</f>
        <v>-6.0929315730488903E-2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296064</v>
      </c>
      <c r="D44" s="49">
        <f t="shared" si="0"/>
        <v>944152</v>
      </c>
      <c r="E44" s="49">
        <f>+D44-C44</f>
        <v>648088</v>
      </c>
      <c r="F44" s="70">
        <f>IF(C44=0,0,+E44/C44)</f>
        <v>2.1890131863380891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1270555</v>
      </c>
      <c r="D45" s="49">
        <f t="shared" si="0"/>
        <v>481263</v>
      </c>
      <c r="E45" s="49">
        <f>+D45-C45</f>
        <v>-789292</v>
      </c>
      <c r="F45" s="70">
        <f>IF(C45=0,0,+E45/C45)</f>
        <v>-0.62121828649684585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2824749</v>
      </c>
      <c r="D46" s="27">
        <f>+D43+D44+D45</f>
        <v>2606888</v>
      </c>
      <c r="E46" s="27">
        <f>+E43+E44+E45</f>
        <v>-217861</v>
      </c>
      <c r="F46" s="28">
        <f>IF(C46=0,0,+E46/C46)</f>
        <v>-7.7125790645469733E-2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5" t="s">
        <v>885</v>
      </c>
      <c r="B48" s="716"/>
      <c r="C48" s="716"/>
      <c r="D48" s="716"/>
      <c r="E48" s="716"/>
      <c r="F48" s="717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FILING&amp;RJOHNSON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596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597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886</v>
      </c>
      <c r="B5" s="713"/>
      <c r="C5" s="713"/>
      <c r="D5" s="713"/>
      <c r="E5" s="713"/>
      <c r="F5" s="714"/>
    </row>
    <row r="6" spans="1:14" ht="15.75" customHeight="1" x14ac:dyDescent="0.25">
      <c r="A6" s="712" t="s">
        <v>887</v>
      </c>
      <c r="B6" s="713"/>
      <c r="C6" s="713"/>
      <c r="D6" s="713"/>
      <c r="E6" s="713"/>
      <c r="F6" s="714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64018828</v>
      </c>
      <c r="D15" s="51">
        <v>58453607</v>
      </c>
      <c r="E15" s="51">
        <f>+D15-C15</f>
        <v>-5565221</v>
      </c>
      <c r="F15" s="70">
        <f>+E15/C15</f>
        <v>-8.6931004110228319E-2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28810019</v>
      </c>
      <c r="D17" s="51">
        <v>27218717</v>
      </c>
      <c r="E17" s="51">
        <f>+D17-C17</f>
        <v>-1591302</v>
      </c>
      <c r="F17" s="70">
        <f>+E17/C17</f>
        <v>-5.5234326641714467E-2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35208809</v>
      </c>
      <c r="D19" s="27">
        <f>+D15-D17</f>
        <v>31234890</v>
      </c>
      <c r="E19" s="27">
        <f>+D19-C19</f>
        <v>-3973919</v>
      </c>
      <c r="F19" s="28">
        <f>+E19/C19</f>
        <v>-0.11286718048315693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0.4500241553937851</v>
      </c>
      <c r="D21" s="628">
        <f>+D17/D15</f>
        <v>0.46564649124219143</v>
      </c>
      <c r="E21" s="628">
        <f>+D21-C21</f>
        <v>1.5622335848406332E-2</v>
      </c>
      <c r="F21" s="28">
        <f>+E21/C21</f>
        <v>3.4714438461056173E-2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5" t="s">
        <v>894</v>
      </c>
      <c r="B26" s="716"/>
      <c r="C26" s="716"/>
      <c r="D26" s="716"/>
      <c r="E26" s="716"/>
      <c r="F26" s="717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FILING&amp;R&amp;12JOHNSON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8" t="s">
        <v>0</v>
      </c>
      <c r="B1" s="718"/>
      <c r="C1" s="718"/>
      <c r="D1" s="718"/>
      <c r="E1" s="718"/>
      <c r="F1" s="630"/>
    </row>
    <row r="2" spans="1:6" ht="26.1" customHeight="1" x14ac:dyDescent="0.25">
      <c r="A2" s="718" t="s">
        <v>1</v>
      </c>
      <c r="B2" s="718"/>
      <c r="C2" s="718"/>
      <c r="D2" s="718"/>
      <c r="E2" s="718"/>
      <c r="F2" s="630"/>
    </row>
    <row r="3" spans="1:6" ht="26.1" customHeight="1" x14ac:dyDescent="0.25">
      <c r="A3" s="718" t="s">
        <v>2</v>
      </c>
      <c r="B3" s="718"/>
      <c r="C3" s="718"/>
      <c r="D3" s="718"/>
      <c r="E3" s="718"/>
      <c r="F3" s="630"/>
    </row>
    <row r="4" spans="1:6" ht="26.1" customHeight="1" x14ac:dyDescent="0.25">
      <c r="A4" s="718" t="s">
        <v>895</v>
      </c>
      <c r="B4" s="718"/>
      <c r="C4" s="718"/>
      <c r="D4" s="718"/>
      <c r="E4" s="718"/>
      <c r="F4" s="630"/>
    </row>
    <row r="5" spans="1:6" ht="26.1" customHeight="1" x14ac:dyDescent="0.2">
      <c r="A5" s="719"/>
      <c r="B5" s="719"/>
      <c r="C5" s="719"/>
      <c r="D5" s="719"/>
      <c r="E5" s="719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83077033</v>
      </c>
      <c r="D10" s="641">
        <v>67574808</v>
      </c>
      <c r="E10" s="641">
        <v>63263065</v>
      </c>
    </row>
    <row r="11" spans="1:6" ht="26.1" customHeight="1" x14ac:dyDescent="0.25">
      <c r="A11" s="639">
        <v>2</v>
      </c>
      <c r="B11" s="640" t="s">
        <v>907</v>
      </c>
      <c r="C11" s="641">
        <v>112517502</v>
      </c>
      <c r="D11" s="641">
        <v>83805059</v>
      </c>
      <c r="E11" s="641">
        <v>85519480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195594535</v>
      </c>
      <c r="D12" s="641">
        <f>+D11+D10</f>
        <v>151379867</v>
      </c>
      <c r="E12" s="641">
        <f>+E11+E10</f>
        <v>148782545</v>
      </c>
    </row>
    <row r="13" spans="1:6" ht="26.1" customHeight="1" x14ac:dyDescent="0.25">
      <c r="A13" s="639">
        <v>4</v>
      </c>
      <c r="B13" s="640" t="s">
        <v>482</v>
      </c>
      <c r="C13" s="641">
        <v>62785887</v>
      </c>
      <c r="D13" s="641">
        <v>61336304</v>
      </c>
      <c r="E13" s="641">
        <v>59791753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66396980</v>
      </c>
      <c r="D16" s="641">
        <v>67684735</v>
      </c>
      <c r="E16" s="641">
        <v>61306385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17998</v>
      </c>
      <c r="D19" s="644">
        <v>17737</v>
      </c>
      <c r="E19" s="644">
        <v>15790</v>
      </c>
    </row>
    <row r="20" spans="1:5" ht="26.1" customHeight="1" x14ac:dyDescent="0.25">
      <c r="A20" s="639">
        <v>2</v>
      </c>
      <c r="B20" s="640" t="s">
        <v>371</v>
      </c>
      <c r="C20" s="645">
        <v>3618</v>
      </c>
      <c r="D20" s="645">
        <v>3437</v>
      </c>
      <c r="E20" s="645">
        <v>3268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4.9745715865118854</v>
      </c>
      <c r="D21" s="646">
        <f>IF(D20=0,0,+D19/D20)</f>
        <v>5.1606051789351177</v>
      </c>
      <c r="E21" s="646">
        <f>IF(E20=0,0,+E19/E20)</f>
        <v>4.8317013463892291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42374.051092195361</v>
      </c>
      <c r="D22" s="645">
        <f>IF(D10=0,0,D19*(D12/D10))</f>
        <v>39734.107731079312</v>
      </c>
      <c r="E22" s="645">
        <f>IF(E10=0,0,E19*(E12/E10))</f>
        <v>37135.038992340946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8518.1307285011007</v>
      </c>
      <c r="D23" s="645">
        <f>IF(D10=0,0,D20*(D12/D10))</f>
        <v>7699.5054559237515</v>
      </c>
      <c r="E23" s="645">
        <f>IF(E10=0,0,E20*(E12/E10))</f>
        <v>7685.7066134876641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1.1510783195135432</v>
      </c>
      <c r="D26" s="647">
        <v>1.2110842304335177</v>
      </c>
      <c r="E26" s="647">
        <v>1.1539156334149328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20717.107594604749</v>
      </c>
      <c r="D27" s="645">
        <f>D19*D26</f>
        <v>21481.000995199302</v>
      </c>
      <c r="E27" s="645">
        <f>E19*E26</f>
        <v>18220.327851621787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4164.6013599999997</v>
      </c>
      <c r="D28" s="645">
        <f>D20*D26</f>
        <v>4162.4965000000002</v>
      </c>
      <c r="E28" s="645">
        <f>E20*E26</f>
        <v>3770.99629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48775.851522185258</v>
      </c>
      <c r="D29" s="645">
        <f>D22*D26</f>
        <v>48121.351283456672</v>
      </c>
      <c r="E29" s="645">
        <f>E22*E26</f>
        <v>42850.702040735327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9805.0356043597203</v>
      </c>
      <c r="D30" s="645">
        <f>D23*D26</f>
        <v>9324.7496398060866</v>
      </c>
      <c r="E30" s="645">
        <f>E23*E26</f>
        <v>8868.6570151439555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10867.570563395933</v>
      </c>
      <c r="D33" s="641">
        <f>IF(D19=0,0,D12/D19)</f>
        <v>8534.6939730506856</v>
      </c>
      <c r="E33" s="641">
        <f>IF(E19=0,0,E12/E19)</f>
        <v>9422.5804306523114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54061.507739082364</v>
      </c>
      <c r="D34" s="641">
        <f>IF(D20=0,0,D12/D20)</f>
        <v>44044.185917951705</v>
      </c>
      <c r="E34" s="641">
        <f>IF(E20=0,0,E12/E20)</f>
        <v>45527.094553243573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4615.9036004000445</v>
      </c>
      <c r="D35" s="641">
        <f>IF(D22=0,0,D12/D22)</f>
        <v>3809.8217285899532</v>
      </c>
      <c r="E35" s="641">
        <f>IF(E22=0,0,E12/E22)</f>
        <v>4006.5272324255861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22962.142896627971</v>
      </c>
      <c r="D36" s="641">
        <f>IF(D23=0,0,D12/D23)</f>
        <v>19660.985743380857</v>
      </c>
      <c r="E36" s="641">
        <f>IF(E23=0,0,E12/E23)</f>
        <v>19358.343023255817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4010.0690996862572</v>
      </c>
      <c r="D37" s="641">
        <f>IF(D29=0,0,D12/D29)</f>
        <v>3145.7941841305255</v>
      </c>
      <c r="E37" s="641">
        <f>IF(E29=0,0,E12/E29)</f>
        <v>3472.1145258848333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19948.375803248553</v>
      </c>
      <c r="D38" s="641">
        <f>IF(D30=0,0,D12/D30)</f>
        <v>16234.201758487967</v>
      </c>
      <c r="E38" s="641">
        <f>IF(E30=0,0,E12/E30)</f>
        <v>16776.220429535348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1960.5638559137315</v>
      </c>
      <c r="D39" s="641">
        <f>IF(D22=0,0,D10/D22)</f>
        <v>1700.6751090862974</v>
      </c>
      <c r="E39" s="641">
        <f>IF(E22=0,0,E10/E22)</f>
        <v>1703.5949528166088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9752.9652511706299</v>
      </c>
      <c r="D40" s="641">
        <f>IF(D23=0,0,D10/D23)</f>
        <v>8776.5127756367929</v>
      </c>
      <c r="E40" s="641">
        <f>IF(E23=0,0,E10/E23)</f>
        <v>8231.2620272259028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3488.492443604845</v>
      </c>
      <c r="D43" s="641">
        <f>IF(D19=0,0,D13/D19)</f>
        <v>3458.0991148446751</v>
      </c>
      <c r="E43" s="641">
        <f>IF(E19=0,0,E13/E19)</f>
        <v>3786.6848005066499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17353.755389718077</v>
      </c>
      <c r="D44" s="641">
        <f>IF(D20=0,0,D13/D20)</f>
        <v>17845.884201338376</v>
      </c>
      <c r="E44" s="641">
        <f>IF(E20=0,0,E13/E20)</f>
        <v>18296.130048959607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1481.7060295555309</v>
      </c>
      <c r="D45" s="641">
        <f>IF(D22=0,0,D13/D22)</f>
        <v>1543.6688402599723</v>
      </c>
      <c r="E45" s="641">
        <f>IF(E22=0,0,E13/E22)</f>
        <v>1610.1168767409124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7370.8527141902841</v>
      </c>
      <c r="D46" s="641">
        <f>IF(D23=0,0,D13/D23)</f>
        <v>7966.2654116063813</v>
      </c>
      <c r="E46" s="641">
        <f>IF(E23=0,0,E13/E23)</f>
        <v>7779.6038811930857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1287.2330270121968</v>
      </c>
      <c r="D47" s="641">
        <f>IF(D29=0,0,D13/D29)</f>
        <v>1274.6172408730013</v>
      </c>
      <c r="E47" s="641">
        <f>IF(E29=0,0,E13/E29)</f>
        <v>1395.3506045982615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6403.4328413945614</v>
      </c>
      <c r="D48" s="641">
        <f>IF(D30=0,0,D13/D30)</f>
        <v>6577.7963344092013</v>
      </c>
      <c r="E48" s="641">
        <f>IF(E30=0,0,E13/E30)</f>
        <v>6741.9173949224451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3689.1310145571729</v>
      </c>
      <c r="D51" s="641">
        <f>IF(D19=0,0,D16/D19)</f>
        <v>3816.0193381067825</v>
      </c>
      <c r="E51" s="641">
        <f>IF(E19=0,0,E16/E19)</f>
        <v>3882.6082963901204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18351.846323935875</v>
      </c>
      <c r="D52" s="641">
        <f>IF(D20=0,0,D16/D20)</f>
        <v>19692.969159150423</v>
      </c>
      <c r="E52" s="641">
        <f>IF(E20=0,0,E16/E20)</f>
        <v>18759.603733170134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1566.9254718067134</v>
      </c>
      <c r="D53" s="641">
        <f>IF(D22=0,0,D16/D22)</f>
        <v>1703.4416742938008</v>
      </c>
      <c r="E53" s="641">
        <f>IF(E22=0,0,E16/E22)</f>
        <v>1650.9040158176315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7794.7829302314067</v>
      </c>
      <c r="D54" s="641">
        <f>IF(D23=0,0,D16/D23)</f>
        <v>8790.7899263744985</v>
      </c>
      <c r="E54" s="641">
        <f>IF(E23=0,0,E16/E23)</f>
        <v>7976.6751559854347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1361.2674700266366</v>
      </c>
      <c r="D55" s="641">
        <f>IF(D29=0,0,D16/D29)</f>
        <v>1406.5426924798119</v>
      </c>
      <c r="E55" s="641">
        <f>IF(E29=0,0,E16/E29)</f>
        <v>1430.6973300395423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6771.7224780374263</v>
      </c>
      <c r="D56" s="641">
        <f>IF(D30=0,0,D16/D30)</f>
        <v>7258.6115032046628</v>
      </c>
      <c r="E56" s="641">
        <f>IF(E30=0,0,E16/E30)</f>
        <v>6912.7022158275313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9164680</v>
      </c>
      <c r="D59" s="649">
        <v>10037829</v>
      </c>
      <c r="E59" s="649">
        <v>9606142</v>
      </c>
    </row>
    <row r="60" spans="1:6" ht="26.1" customHeight="1" x14ac:dyDescent="0.25">
      <c r="A60" s="639">
        <v>2</v>
      </c>
      <c r="B60" s="640" t="s">
        <v>943</v>
      </c>
      <c r="C60" s="649">
        <v>2424561</v>
      </c>
      <c r="D60" s="649">
        <v>3137311</v>
      </c>
      <c r="E60" s="649">
        <v>2547038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11589241</v>
      </c>
      <c r="D61" s="652">
        <f>D59+D60</f>
        <v>13175140</v>
      </c>
      <c r="E61" s="652">
        <f>E59+E60</f>
        <v>12153180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2541554</v>
      </c>
      <c r="D64" s="641">
        <v>692376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672381</v>
      </c>
      <c r="D65" s="649">
        <v>216401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3213935</v>
      </c>
      <c r="D66" s="654">
        <f>D64+D65</f>
        <v>908777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15030923</v>
      </c>
      <c r="D69" s="649">
        <v>15934731</v>
      </c>
      <c r="E69" s="649">
        <v>16602963</v>
      </c>
    </row>
    <row r="70" spans="1:6" ht="26.1" customHeight="1" x14ac:dyDescent="0.25">
      <c r="A70" s="639">
        <v>2</v>
      </c>
      <c r="B70" s="640" t="s">
        <v>951</v>
      </c>
      <c r="C70" s="649">
        <v>3931568</v>
      </c>
      <c r="D70" s="649">
        <v>5033765</v>
      </c>
      <c r="E70" s="649">
        <v>4402587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18962491</v>
      </c>
      <c r="D71" s="652">
        <f>D69+D70</f>
        <v>20968496</v>
      </c>
      <c r="E71" s="652">
        <f>E69+E70</f>
        <v>21005550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26737157</v>
      </c>
      <c r="D75" s="641">
        <f t="shared" si="0"/>
        <v>26664936</v>
      </c>
      <c r="E75" s="641">
        <f t="shared" si="0"/>
        <v>26209105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7028510</v>
      </c>
      <c r="D76" s="641">
        <f t="shared" si="0"/>
        <v>8387477</v>
      </c>
      <c r="E76" s="641">
        <f t="shared" si="0"/>
        <v>6949625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33765667</v>
      </c>
      <c r="D77" s="654">
        <f>D75+D76</f>
        <v>35052413</v>
      </c>
      <c r="E77" s="654">
        <f>E75+E76</f>
        <v>33158730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119</v>
      </c>
      <c r="D80" s="646">
        <v>125.4</v>
      </c>
      <c r="E80" s="646">
        <v>119.6</v>
      </c>
    </row>
    <row r="81" spans="1:5" ht="26.1" customHeight="1" x14ac:dyDescent="0.25">
      <c r="A81" s="639">
        <v>2</v>
      </c>
      <c r="B81" s="640" t="s">
        <v>582</v>
      </c>
      <c r="C81" s="646">
        <v>11.3</v>
      </c>
      <c r="D81" s="646">
        <v>5.9</v>
      </c>
      <c r="E81" s="646">
        <v>0</v>
      </c>
    </row>
    <row r="82" spans="1:5" ht="26.1" customHeight="1" x14ac:dyDescent="0.25">
      <c r="A82" s="639">
        <v>3</v>
      </c>
      <c r="B82" s="640" t="s">
        <v>957</v>
      </c>
      <c r="C82" s="646">
        <v>338.9</v>
      </c>
      <c r="D82" s="646">
        <v>344.4</v>
      </c>
      <c r="E82" s="646">
        <v>343.9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469.2</v>
      </c>
      <c r="D83" s="656">
        <f>D80+D81+D82</f>
        <v>475.7</v>
      </c>
      <c r="E83" s="656">
        <f>E80+E81+E82</f>
        <v>463.5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77014.117647058825</v>
      </c>
      <c r="D86" s="649">
        <f>IF(D80=0,0,D59/D80)</f>
        <v>80046.483253588507</v>
      </c>
      <c r="E86" s="649">
        <f>IF(E80=0,0,E59/E80)</f>
        <v>80318.913043478271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20374.462184873948</v>
      </c>
      <c r="D87" s="649">
        <f>IF(D80=0,0,D60/D80)</f>
        <v>25018.429027113238</v>
      </c>
      <c r="E87" s="649">
        <f>IF(E80=0,0,E60/E80)</f>
        <v>21296.304347826088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97388.579831932773</v>
      </c>
      <c r="D88" s="652">
        <f>+D86+D87</f>
        <v>105064.91228070174</v>
      </c>
      <c r="E88" s="652">
        <f>+E86+E87</f>
        <v>101615.21739130435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224916.2831858407</v>
      </c>
      <c r="D91" s="641">
        <f>IF(D81=0,0,D64/D81)</f>
        <v>117351.86440677966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59502.743362831854</v>
      </c>
      <c r="D92" s="641">
        <f>IF(D81=0,0,D65/D81)</f>
        <v>36678.135593220337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284419.02654867258</v>
      </c>
      <c r="D93" s="654">
        <f>+D91+D92</f>
        <v>154030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44352.0891118324</v>
      </c>
      <c r="D96" s="649">
        <f>IF(D82=0,0,D69/D82)</f>
        <v>46268.092334494773</v>
      </c>
      <c r="E96" s="649">
        <f>IF(E82=0,0,E69/E82)</f>
        <v>48278.461762140163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11600.967837120095</v>
      </c>
      <c r="D97" s="649">
        <f>IF(D82=0,0,D70/D82)</f>
        <v>14616.042392566784</v>
      </c>
      <c r="E97" s="649">
        <f>IF(E82=0,0,E70/E82)</f>
        <v>12801.939517301542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55953.056948952493</v>
      </c>
      <c r="D98" s="654">
        <f>+D96+D97</f>
        <v>60884.134727061559</v>
      </c>
      <c r="E98" s="654">
        <f>+E96+E97</f>
        <v>61080.401279441707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56984.563086104012</v>
      </c>
      <c r="D101" s="641">
        <f>IF(D83=0,0,D75/D83)</f>
        <v>56054.101324364099</v>
      </c>
      <c r="E101" s="641">
        <f>IF(E83=0,0,E75/E83)</f>
        <v>56546.073354908309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14979.774083546463</v>
      </c>
      <c r="D102" s="658">
        <f>IF(D83=0,0,D76/D83)</f>
        <v>17631.862518393948</v>
      </c>
      <c r="E102" s="658">
        <f>IF(E83=0,0,E76/E83)</f>
        <v>14993.797195253506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71964.337169650476</v>
      </c>
      <c r="D103" s="654">
        <f>+D101+D102</f>
        <v>73685.96384275805</v>
      </c>
      <c r="E103" s="654">
        <f>+E101+E102</f>
        <v>71539.87055016181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1876.078842093566</v>
      </c>
      <c r="D108" s="641">
        <f>IF(D19=0,0,D77/D19)</f>
        <v>1976.2312115915881</v>
      </c>
      <c r="E108" s="641">
        <f>IF(E19=0,0,E77/E19)</f>
        <v>2099.9829005699812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9332.6885019347701</v>
      </c>
      <c r="D109" s="641">
        <f>IF(D20=0,0,D77/D20)</f>
        <v>10198.549025312774</v>
      </c>
      <c r="E109" s="641">
        <f>IF(E20=0,0,E77/E20)</f>
        <v>10146.490208078336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796.8477435998351</v>
      </c>
      <c r="D110" s="641">
        <f>IF(D22=0,0,D77/D22)</f>
        <v>882.17440887901523</v>
      </c>
      <c r="E110" s="641">
        <f>IF(E22=0,0,E77/E22)</f>
        <v>892.92298863181338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3963.9761440878474</v>
      </c>
      <c r="D111" s="641">
        <f>IF(D23=0,0,D77/D23)</f>
        <v>4552.5538231850724</v>
      </c>
      <c r="E111" s="641">
        <f>IF(E23=0,0,E77/E23)</f>
        <v>4314.3372063942261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692.26196870477986</v>
      </c>
      <c r="D112" s="641">
        <f>IF(D29=0,0,D77/D29)</f>
        <v>728.41705532177025</v>
      </c>
      <c r="E112" s="641">
        <f>IF(E29=0,0,E77/E29)</f>
        <v>773.81999409200318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3443.7067199415778</v>
      </c>
      <c r="D113" s="641">
        <f>IF(D30=0,0,D77/D30)</f>
        <v>3759.0728281181964</v>
      </c>
      <c r="E113" s="641">
        <f>IF(E30=0,0,E77/E30)</f>
        <v>3738.8671073172368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FILING&amp;R&amp;12JOHNSON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151379874</v>
      </c>
      <c r="D12" s="51">
        <v>148782543</v>
      </c>
      <c r="E12" s="51">
        <f t="shared" ref="E12:E19" si="0">D12-C12</f>
        <v>-2597331</v>
      </c>
      <c r="F12" s="70">
        <f t="shared" ref="F12:F19" si="1">IF(C12=0,0,E12/C12)</f>
        <v>-1.7157703539903858E-2</v>
      </c>
    </row>
    <row r="13" spans="1:8" ht="23.1" customHeight="1" x14ac:dyDescent="0.2">
      <c r="A13" s="25">
        <v>2</v>
      </c>
      <c r="B13" s="48" t="s">
        <v>72</v>
      </c>
      <c r="C13" s="51">
        <v>89762915</v>
      </c>
      <c r="D13" s="51">
        <v>89382555</v>
      </c>
      <c r="E13" s="51">
        <f t="shared" si="0"/>
        <v>-380360</v>
      </c>
      <c r="F13" s="70">
        <f t="shared" si="1"/>
        <v>-4.2373846704956046E-3</v>
      </c>
    </row>
    <row r="14" spans="1:8" ht="23.1" customHeight="1" x14ac:dyDescent="0.2">
      <c r="A14" s="25">
        <v>3</v>
      </c>
      <c r="B14" s="48" t="s">
        <v>73</v>
      </c>
      <c r="C14" s="51">
        <v>280655</v>
      </c>
      <c r="D14" s="51">
        <v>465816</v>
      </c>
      <c r="E14" s="51">
        <f t="shared" si="0"/>
        <v>185161</v>
      </c>
      <c r="F14" s="70">
        <f t="shared" si="1"/>
        <v>0.65974595143503589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-857581</v>
      </c>
      <c r="E15" s="51">
        <f t="shared" si="0"/>
        <v>-857581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61336304</v>
      </c>
      <c r="D16" s="27">
        <f>D12-D13-D14-D15</f>
        <v>59791753</v>
      </c>
      <c r="E16" s="27">
        <f t="shared" si="0"/>
        <v>-1544551</v>
      </c>
      <c r="F16" s="28">
        <f t="shared" si="1"/>
        <v>-2.5181677070075823E-2</v>
      </c>
    </row>
    <row r="17" spans="1:7" ht="23.1" customHeight="1" x14ac:dyDescent="0.2">
      <c r="A17" s="25">
        <v>5</v>
      </c>
      <c r="B17" s="48" t="s">
        <v>76</v>
      </c>
      <c r="C17" s="51">
        <v>252845</v>
      </c>
      <c r="D17" s="51">
        <v>60758</v>
      </c>
      <c r="E17" s="51">
        <f t="shared" si="0"/>
        <v>-192087</v>
      </c>
      <c r="F17" s="70">
        <f t="shared" si="1"/>
        <v>-0.75970258458739548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61589149</v>
      </c>
      <c r="D19" s="27">
        <f>SUM(D16:D18)</f>
        <v>59852511</v>
      </c>
      <c r="E19" s="27">
        <f t="shared" si="0"/>
        <v>-1736638</v>
      </c>
      <c r="F19" s="28">
        <f t="shared" si="1"/>
        <v>-2.8197142324535122E-2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26664936</v>
      </c>
      <c r="D22" s="51">
        <v>26209105</v>
      </c>
      <c r="E22" s="51">
        <f t="shared" ref="E22:E31" si="2">D22-C22</f>
        <v>-455831</v>
      </c>
      <c r="F22" s="70">
        <f t="shared" ref="F22:F31" si="3">IF(C22=0,0,E22/C22)</f>
        <v>-1.7094771950699601E-2</v>
      </c>
    </row>
    <row r="23" spans="1:7" ht="23.1" customHeight="1" x14ac:dyDescent="0.2">
      <c r="A23" s="25">
        <v>2</v>
      </c>
      <c r="B23" s="48" t="s">
        <v>81</v>
      </c>
      <c r="C23" s="51">
        <v>8387477</v>
      </c>
      <c r="D23" s="51">
        <v>6949625</v>
      </c>
      <c r="E23" s="51">
        <f t="shared" si="2"/>
        <v>-1437852</v>
      </c>
      <c r="F23" s="70">
        <f t="shared" si="3"/>
        <v>-0.1714284283581344</v>
      </c>
    </row>
    <row r="24" spans="1:7" ht="23.1" customHeight="1" x14ac:dyDescent="0.2">
      <c r="A24" s="25">
        <v>3</v>
      </c>
      <c r="B24" s="48" t="s">
        <v>82</v>
      </c>
      <c r="C24" s="51">
        <v>387251</v>
      </c>
      <c r="D24" s="51">
        <v>380259</v>
      </c>
      <c r="E24" s="51">
        <f t="shared" si="2"/>
        <v>-6992</v>
      </c>
      <c r="F24" s="70">
        <f t="shared" si="3"/>
        <v>-1.8055473065272911E-2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9882840</v>
      </c>
      <c r="D25" s="51">
        <v>6591490</v>
      </c>
      <c r="E25" s="51">
        <f t="shared" si="2"/>
        <v>-3291350</v>
      </c>
      <c r="F25" s="70">
        <f t="shared" si="3"/>
        <v>-0.33303685985000264</v>
      </c>
    </row>
    <row r="26" spans="1:7" ht="23.1" customHeight="1" x14ac:dyDescent="0.2">
      <c r="A26" s="25">
        <v>5</v>
      </c>
      <c r="B26" s="48" t="s">
        <v>84</v>
      </c>
      <c r="C26" s="51">
        <v>3172136</v>
      </c>
      <c r="D26" s="51">
        <v>3243262</v>
      </c>
      <c r="E26" s="51">
        <f t="shared" si="2"/>
        <v>71126</v>
      </c>
      <c r="F26" s="70">
        <f t="shared" si="3"/>
        <v>2.2422115571337421E-2</v>
      </c>
    </row>
    <row r="27" spans="1:7" ht="23.1" customHeight="1" x14ac:dyDescent="0.2">
      <c r="A27" s="25">
        <v>6</v>
      </c>
      <c r="B27" s="48" t="s">
        <v>85</v>
      </c>
      <c r="C27" s="51">
        <v>2544297</v>
      </c>
      <c r="D27" s="51">
        <v>2141072</v>
      </c>
      <c r="E27" s="51">
        <f t="shared" si="2"/>
        <v>-403225</v>
      </c>
      <c r="F27" s="70">
        <f t="shared" si="3"/>
        <v>-0.15848189106853486</v>
      </c>
    </row>
    <row r="28" spans="1:7" ht="23.1" customHeight="1" x14ac:dyDescent="0.2">
      <c r="A28" s="25">
        <v>7</v>
      </c>
      <c r="B28" s="48" t="s">
        <v>86</v>
      </c>
      <c r="C28" s="51">
        <v>592676</v>
      </c>
      <c r="D28" s="51">
        <v>1554402</v>
      </c>
      <c r="E28" s="51">
        <f t="shared" si="2"/>
        <v>961726</v>
      </c>
      <c r="F28" s="70">
        <f t="shared" si="3"/>
        <v>1.6226842321943187</v>
      </c>
    </row>
    <row r="29" spans="1:7" ht="23.1" customHeight="1" x14ac:dyDescent="0.2">
      <c r="A29" s="25">
        <v>8</v>
      </c>
      <c r="B29" s="48" t="s">
        <v>87</v>
      </c>
      <c r="C29" s="51">
        <v>322204</v>
      </c>
      <c r="D29" s="51">
        <v>729896</v>
      </c>
      <c r="E29" s="51">
        <f t="shared" si="2"/>
        <v>407692</v>
      </c>
      <c r="F29" s="70">
        <f t="shared" si="3"/>
        <v>1.265322590656851</v>
      </c>
    </row>
    <row r="30" spans="1:7" ht="23.1" customHeight="1" x14ac:dyDescent="0.2">
      <c r="A30" s="25">
        <v>9</v>
      </c>
      <c r="B30" s="48" t="s">
        <v>88</v>
      </c>
      <c r="C30" s="51">
        <v>15730918</v>
      </c>
      <c r="D30" s="51">
        <v>13507274</v>
      </c>
      <c r="E30" s="51">
        <f t="shared" si="2"/>
        <v>-2223644</v>
      </c>
      <c r="F30" s="70">
        <f t="shared" si="3"/>
        <v>-0.14135500547393356</v>
      </c>
    </row>
    <row r="31" spans="1:7" ht="23.1" customHeight="1" x14ac:dyDescent="0.25">
      <c r="A31" s="29"/>
      <c r="B31" s="71" t="s">
        <v>89</v>
      </c>
      <c r="C31" s="27">
        <f>SUM(C22:C30)</f>
        <v>67684735</v>
      </c>
      <c r="D31" s="27">
        <f>SUM(D22:D30)</f>
        <v>61306385</v>
      </c>
      <c r="E31" s="27">
        <f t="shared" si="2"/>
        <v>-6378350</v>
      </c>
      <c r="F31" s="28">
        <f t="shared" si="3"/>
        <v>-9.4236167135765547E-2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-6095586</v>
      </c>
      <c r="D33" s="27">
        <f>+D19-D31</f>
        <v>-1453874</v>
      </c>
      <c r="E33" s="27">
        <f>D33-C33</f>
        <v>4641712</v>
      </c>
      <c r="F33" s="28">
        <f>IF(C33=0,0,E33/C33)</f>
        <v>-0.76148741072638459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450042</v>
      </c>
      <c r="D36" s="51">
        <v>111148</v>
      </c>
      <c r="E36" s="51">
        <f>D36-C36</f>
        <v>-338894</v>
      </c>
      <c r="F36" s="70">
        <f>IF(C36=0,0,E36/C36)</f>
        <v>-0.75302749521155798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450042</v>
      </c>
      <c r="D39" s="27">
        <f>SUM(D36:D38)</f>
        <v>111148</v>
      </c>
      <c r="E39" s="27">
        <f>D39-C39</f>
        <v>-338894</v>
      </c>
      <c r="F39" s="28">
        <f>IF(C39=0,0,E39/C39)</f>
        <v>-0.75302749521155798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-5645544</v>
      </c>
      <c r="D41" s="27">
        <f>D33+D39</f>
        <v>-1342726</v>
      </c>
      <c r="E41" s="27">
        <f>D41-C41</f>
        <v>4302818</v>
      </c>
      <c r="F41" s="28">
        <f>IF(C41=0,0,E41/C41)</f>
        <v>-0.76216180407060863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33017171</v>
      </c>
      <c r="D45" s="51">
        <v>1094678</v>
      </c>
      <c r="E45" s="51">
        <f>D45-C45</f>
        <v>-31922493</v>
      </c>
      <c r="F45" s="70">
        <f>IF(C45=0,0,E45/C45)</f>
        <v>-0.96684519094625032</v>
      </c>
    </row>
    <row r="46" spans="1:6" ht="23.1" customHeight="1" x14ac:dyDescent="0.25">
      <c r="A46" s="20"/>
      <c r="B46" s="74" t="s">
        <v>100</v>
      </c>
      <c r="C46" s="27">
        <f>SUM(C44:C45)</f>
        <v>33017171</v>
      </c>
      <c r="D46" s="27">
        <f>SUM(D44:D45)</f>
        <v>1094678</v>
      </c>
      <c r="E46" s="27">
        <f>D46-C46</f>
        <v>-31922493</v>
      </c>
      <c r="F46" s="28">
        <f>IF(C46=0,0,E46/C46)</f>
        <v>-0.96684519094625032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27371627</v>
      </c>
      <c r="D48" s="27">
        <f>D41+D46</f>
        <v>-248048</v>
      </c>
      <c r="E48" s="27">
        <f>D48-C48</f>
        <v>-27619675</v>
      </c>
      <c r="F48" s="28">
        <f>IF(C48=0,0,E48/C48)</f>
        <v>-1.0090622307544963</v>
      </c>
    </row>
    <row r="49" spans="1:6" ht="23.1" customHeight="1" x14ac:dyDescent="0.2">
      <c r="A49" s="44"/>
      <c r="B49" s="48" t="s">
        <v>102</v>
      </c>
      <c r="C49" s="51">
        <v>484562</v>
      </c>
      <c r="D49" s="51">
        <v>423393</v>
      </c>
      <c r="E49" s="51">
        <f>D49-C49</f>
        <v>-61169</v>
      </c>
      <c r="F49" s="70">
        <f>IF(C49=0,0,E49/C49)</f>
        <v>-0.12623565199087011</v>
      </c>
    </row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FILING&amp;RJOHNSON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1" t="s">
        <v>0</v>
      </c>
      <c r="B2" s="671"/>
      <c r="C2" s="671"/>
      <c r="D2" s="671"/>
      <c r="E2" s="671"/>
      <c r="F2" s="671"/>
    </row>
    <row r="3" spans="1:6" ht="18" customHeight="1" x14ac:dyDescent="0.25">
      <c r="A3" s="671" t="s">
        <v>1</v>
      </c>
      <c r="B3" s="671"/>
      <c r="C3" s="671"/>
      <c r="D3" s="671"/>
      <c r="E3" s="671"/>
      <c r="F3" s="671"/>
    </row>
    <row r="4" spans="1:6" ht="18" customHeight="1" x14ac:dyDescent="0.25">
      <c r="A4" s="671" t="s">
        <v>2</v>
      </c>
      <c r="B4" s="671"/>
      <c r="C4" s="671"/>
      <c r="D4" s="671"/>
      <c r="E4" s="671"/>
      <c r="F4" s="671"/>
    </row>
    <row r="5" spans="1:6" ht="18" customHeight="1" x14ac:dyDescent="0.25">
      <c r="A5" s="671" t="s">
        <v>103</v>
      </c>
      <c r="B5" s="671"/>
      <c r="C5" s="671"/>
      <c r="D5" s="671"/>
      <c r="E5" s="671"/>
      <c r="F5" s="671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2"/>
      <c r="D9" s="673"/>
      <c r="E9" s="673"/>
      <c r="F9" s="674"/>
    </row>
    <row r="10" spans="1:6" ht="18" customHeight="1" x14ac:dyDescent="0.25">
      <c r="A10" s="661" t="s">
        <v>12</v>
      </c>
      <c r="B10" s="663" t="s">
        <v>109</v>
      </c>
      <c r="C10" s="665"/>
      <c r="D10" s="666"/>
      <c r="E10" s="666"/>
      <c r="F10" s="667"/>
    </row>
    <row r="11" spans="1:6" ht="18" customHeight="1" x14ac:dyDescent="0.25">
      <c r="A11" s="662"/>
      <c r="B11" s="664"/>
      <c r="C11" s="668"/>
      <c r="D11" s="669"/>
      <c r="E11" s="669"/>
      <c r="F11" s="670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35797385</v>
      </c>
      <c r="D14" s="97">
        <v>32238275</v>
      </c>
      <c r="E14" s="97">
        <f t="shared" ref="E14:E25" si="0">D14-C14</f>
        <v>-3559110</v>
      </c>
      <c r="F14" s="98">
        <f t="shared" ref="F14:F25" si="1">IF(C14=0,0,E14/C14)</f>
        <v>-9.9423742823672737E-2</v>
      </c>
    </row>
    <row r="15" spans="1:6" ht="18" customHeight="1" x14ac:dyDescent="0.25">
      <c r="A15" s="99">
        <v>2</v>
      </c>
      <c r="B15" s="100" t="s">
        <v>113</v>
      </c>
      <c r="C15" s="97">
        <v>7018090</v>
      </c>
      <c r="D15" s="97">
        <v>7310781</v>
      </c>
      <c r="E15" s="97">
        <f t="shared" si="0"/>
        <v>292691</v>
      </c>
      <c r="F15" s="98">
        <f t="shared" si="1"/>
        <v>4.1705221791114105E-2</v>
      </c>
    </row>
    <row r="16" spans="1:6" ht="18" customHeight="1" x14ac:dyDescent="0.25">
      <c r="A16" s="99">
        <v>3</v>
      </c>
      <c r="B16" s="100" t="s">
        <v>114</v>
      </c>
      <c r="C16" s="97">
        <v>3664534</v>
      </c>
      <c r="D16" s="97">
        <v>4140803</v>
      </c>
      <c r="E16" s="97">
        <f t="shared" si="0"/>
        <v>476269</v>
      </c>
      <c r="F16" s="98">
        <f t="shared" si="1"/>
        <v>0.12996713906870561</v>
      </c>
    </row>
    <row r="17" spans="1:6" ht="18" customHeight="1" x14ac:dyDescent="0.25">
      <c r="A17" s="99">
        <v>4</v>
      </c>
      <c r="B17" s="100" t="s">
        <v>115</v>
      </c>
      <c r="C17" s="97">
        <v>3092959</v>
      </c>
      <c r="D17" s="97">
        <v>4424570</v>
      </c>
      <c r="E17" s="97">
        <f t="shared" si="0"/>
        <v>1331611</v>
      </c>
      <c r="F17" s="98">
        <f t="shared" si="1"/>
        <v>0.43052979363774302</v>
      </c>
    </row>
    <row r="18" spans="1:6" ht="18" customHeight="1" x14ac:dyDescent="0.25">
      <c r="A18" s="99">
        <v>5</v>
      </c>
      <c r="B18" s="100" t="s">
        <v>116</v>
      </c>
      <c r="C18" s="97">
        <v>253020</v>
      </c>
      <c r="D18" s="97">
        <v>400272</v>
      </c>
      <c r="E18" s="97">
        <f t="shared" si="0"/>
        <v>147252</v>
      </c>
      <c r="F18" s="98">
        <f t="shared" si="1"/>
        <v>0.58197770927199433</v>
      </c>
    </row>
    <row r="19" spans="1:6" ht="18" customHeight="1" x14ac:dyDescent="0.25">
      <c r="A19" s="99">
        <v>6</v>
      </c>
      <c r="B19" s="100" t="s">
        <v>117</v>
      </c>
      <c r="C19" s="97">
        <v>445621</v>
      </c>
      <c r="D19" s="97">
        <v>289102</v>
      </c>
      <c r="E19" s="97">
        <f t="shared" si="0"/>
        <v>-156519</v>
      </c>
      <c r="F19" s="98">
        <f t="shared" si="1"/>
        <v>-0.35123793537557702</v>
      </c>
    </row>
    <row r="20" spans="1:6" ht="18" customHeight="1" x14ac:dyDescent="0.25">
      <c r="A20" s="99">
        <v>7</v>
      </c>
      <c r="B20" s="100" t="s">
        <v>118</v>
      </c>
      <c r="C20" s="97">
        <v>15504223</v>
      </c>
      <c r="D20" s="97">
        <v>13703932</v>
      </c>
      <c r="E20" s="97">
        <f t="shared" si="0"/>
        <v>-1800291</v>
      </c>
      <c r="F20" s="98">
        <f t="shared" si="1"/>
        <v>-0.11611617041369955</v>
      </c>
    </row>
    <row r="21" spans="1:6" ht="18" customHeight="1" x14ac:dyDescent="0.25">
      <c r="A21" s="99">
        <v>8</v>
      </c>
      <c r="B21" s="100" t="s">
        <v>119</v>
      </c>
      <c r="C21" s="97">
        <v>352198</v>
      </c>
      <c r="D21" s="97">
        <v>101466</v>
      </c>
      <c r="E21" s="97">
        <f t="shared" si="0"/>
        <v>-250732</v>
      </c>
      <c r="F21" s="98">
        <f t="shared" si="1"/>
        <v>-0.71190637084821606</v>
      </c>
    </row>
    <row r="22" spans="1:6" ht="18" customHeight="1" x14ac:dyDescent="0.25">
      <c r="A22" s="99">
        <v>9</v>
      </c>
      <c r="B22" s="100" t="s">
        <v>120</v>
      </c>
      <c r="C22" s="97">
        <v>734342</v>
      </c>
      <c r="D22" s="97">
        <v>653864</v>
      </c>
      <c r="E22" s="97">
        <f t="shared" si="0"/>
        <v>-80478</v>
      </c>
      <c r="F22" s="98">
        <f t="shared" si="1"/>
        <v>-0.10959198847403526</v>
      </c>
    </row>
    <row r="23" spans="1:6" ht="18" customHeight="1" x14ac:dyDescent="0.25">
      <c r="A23" s="99">
        <v>10</v>
      </c>
      <c r="B23" s="100" t="s">
        <v>121</v>
      </c>
      <c r="C23" s="97">
        <v>712436</v>
      </c>
      <c r="D23" s="97">
        <v>0</v>
      </c>
      <c r="E23" s="97">
        <f t="shared" si="0"/>
        <v>-712436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67574808</v>
      </c>
      <c r="D25" s="103">
        <f>SUM(D14:D24)</f>
        <v>63263065</v>
      </c>
      <c r="E25" s="103">
        <f t="shared" si="0"/>
        <v>-4311743</v>
      </c>
      <c r="F25" s="104">
        <f t="shared" si="1"/>
        <v>-6.3806958948370227E-2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20613356</v>
      </c>
      <c r="D27" s="97">
        <v>22583294</v>
      </c>
      <c r="E27" s="97">
        <f t="shared" ref="E27:E38" si="2">D27-C27</f>
        <v>1969938</v>
      </c>
      <c r="F27" s="98">
        <f t="shared" ref="F27:F38" si="3">IF(C27=0,0,E27/C27)</f>
        <v>9.5566098019167767E-2</v>
      </c>
    </row>
    <row r="28" spans="1:6" ht="18" customHeight="1" x14ac:dyDescent="0.25">
      <c r="A28" s="99">
        <v>2</v>
      </c>
      <c r="B28" s="100" t="s">
        <v>113</v>
      </c>
      <c r="C28" s="97">
        <v>5734884</v>
      </c>
      <c r="D28" s="97">
        <v>6591509</v>
      </c>
      <c r="E28" s="97">
        <f t="shared" si="2"/>
        <v>856625</v>
      </c>
      <c r="F28" s="98">
        <f t="shared" si="3"/>
        <v>0.14937093758130068</v>
      </c>
    </row>
    <row r="29" spans="1:6" ht="18" customHeight="1" x14ac:dyDescent="0.25">
      <c r="A29" s="99">
        <v>3</v>
      </c>
      <c r="B29" s="100" t="s">
        <v>114</v>
      </c>
      <c r="C29" s="97">
        <v>2525676</v>
      </c>
      <c r="D29" s="97">
        <v>4795982</v>
      </c>
      <c r="E29" s="97">
        <f t="shared" si="2"/>
        <v>2270306</v>
      </c>
      <c r="F29" s="98">
        <f t="shared" si="3"/>
        <v>0.8988904356695</v>
      </c>
    </row>
    <row r="30" spans="1:6" ht="18" customHeight="1" x14ac:dyDescent="0.25">
      <c r="A30" s="99">
        <v>4</v>
      </c>
      <c r="B30" s="100" t="s">
        <v>115</v>
      </c>
      <c r="C30" s="97">
        <v>6442304</v>
      </c>
      <c r="D30" s="97">
        <v>7254770</v>
      </c>
      <c r="E30" s="97">
        <f t="shared" si="2"/>
        <v>812466</v>
      </c>
      <c r="F30" s="98">
        <f t="shared" si="3"/>
        <v>0.12611419765351028</v>
      </c>
    </row>
    <row r="31" spans="1:6" ht="18" customHeight="1" x14ac:dyDescent="0.25">
      <c r="A31" s="99">
        <v>5</v>
      </c>
      <c r="B31" s="100" t="s">
        <v>116</v>
      </c>
      <c r="C31" s="97">
        <v>509289</v>
      </c>
      <c r="D31" s="97">
        <v>588682</v>
      </c>
      <c r="E31" s="97">
        <f t="shared" si="2"/>
        <v>79393</v>
      </c>
      <c r="F31" s="98">
        <f t="shared" si="3"/>
        <v>0.15588987784931541</v>
      </c>
    </row>
    <row r="32" spans="1:6" ht="18" customHeight="1" x14ac:dyDescent="0.25">
      <c r="A32" s="99">
        <v>6</v>
      </c>
      <c r="B32" s="100" t="s">
        <v>117</v>
      </c>
      <c r="C32" s="97">
        <v>1335478</v>
      </c>
      <c r="D32" s="97">
        <v>754767</v>
      </c>
      <c r="E32" s="97">
        <f t="shared" si="2"/>
        <v>-580711</v>
      </c>
      <c r="F32" s="98">
        <f t="shared" si="3"/>
        <v>-0.43483381980085034</v>
      </c>
    </row>
    <row r="33" spans="1:6" ht="18" customHeight="1" x14ac:dyDescent="0.25">
      <c r="A33" s="99">
        <v>7</v>
      </c>
      <c r="B33" s="100" t="s">
        <v>118</v>
      </c>
      <c r="C33" s="97">
        <v>41451908</v>
      </c>
      <c r="D33" s="97">
        <v>38814632</v>
      </c>
      <c r="E33" s="97">
        <f t="shared" si="2"/>
        <v>-2637276</v>
      </c>
      <c r="F33" s="98">
        <f t="shared" si="3"/>
        <v>-6.3622547845083519E-2</v>
      </c>
    </row>
    <row r="34" spans="1:6" ht="18" customHeight="1" x14ac:dyDescent="0.25">
      <c r="A34" s="99">
        <v>8</v>
      </c>
      <c r="B34" s="100" t="s">
        <v>119</v>
      </c>
      <c r="C34" s="97">
        <v>1883810</v>
      </c>
      <c r="D34" s="97">
        <v>2197783</v>
      </c>
      <c r="E34" s="97">
        <f t="shared" si="2"/>
        <v>313973</v>
      </c>
      <c r="F34" s="98">
        <f t="shared" si="3"/>
        <v>0.16666914391578769</v>
      </c>
    </row>
    <row r="35" spans="1:6" ht="18" customHeight="1" x14ac:dyDescent="0.25">
      <c r="A35" s="99">
        <v>9</v>
      </c>
      <c r="B35" s="100" t="s">
        <v>120</v>
      </c>
      <c r="C35" s="97">
        <v>2311753</v>
      </c>
      <c r="D35" s="97">
        <v>1938061</v>
      </c>
      <c r="E35" s="97">
        <f t="shared" si="2"/>
        <v>-373692</v>
      </c>
      <c r="F35" s="98">
        <f t="shared" si="3"/>
        <v>-0.16164875745808485</v>
      </c>
    </row>
    <row r="36" spans="1:6" ht="18" customHeight="1" x14ac:dyDescent="0.25">
      <c r="A36" s="99">
        <v>10</v>
      </c>
      <c r="B36" s="100" t="s">
        <v>121</v>
      </c>
      <c r="C36" s="97">
        <v>996601</v>
      </c>
      <c r="D36" s="97">
        <v>0</v>
      </c>
      <c r="E36" s="97">
        <f t="shared" si="2"/>
        <v>-996601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83805059</v>
      </c>
      <c r="D38" s="103">
        <f>SUM(D27:D37)</f>
        <v>85519480</v>
      </c>
      <c r="E38" s="103">
        <f t="shared" si="2"/>
        <v>1714421</v>
      </c>
      <c r="F38" s="104">
        <f t="shared" si="3"/>
        <v>2.0457249484186868E-2</v>
      </c>
    </row>
    <row r="39" spans="1:6" ht="18" customHeight="1" x14ac:dyDescent="0.25">
      <c r="A39" s="661" t="s">
        <v>127</v>
      </c>
      <c r="B39" s="663" t="s">
        <v>128</v>
      </c>
      <c r="C39" s="665"/>
      <c r="D39" s="666"/>
      <c r="E39" s="666"/>
      <c r="F39" s="667"/>
    </row>
    <row r="40" spans="1:6" ht="18" customHeight="1" x14ac:dyDescent="0.25">
      <c r="A40" s="662"/>
      <c r="B40" s="664"/>
      <c r="C40" s="668"/>
      <c r="D40" s="669"/>
      <c r="E40" s="669"/>
      <c r="F40" s="670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56410741</v>
      </c>
      <c r="D41" s="103">
        <f t="shared" si="4"/>
        <v>54821569</v>
      </c>
      <c r="E41" s="107">
        <f t="shared" ref="E41:E52" si="5">D41-C41</f>
        <v>-1589172</v>
      </c>
      <c r="F41" s="108">
        <f t="shared" ref="F41:F52" si="6">IF(C41=0,0,E41/C41)</f>
        <v>-2.8171443449041024E-2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12752974</v>
      </c>
      <c r="D42" s="103">
        <f t="shared" si="4"/>
        <v>13902290</v>
      </c>
      <c r="E42" s="107">
        <f t="shared" si="5"/>
        <v>1149316</v>
      </c>
      <c r="F42" s="108">
        <f t="shared" si="6"/>
        <v>9.0121410111868805E-2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6190210</v>
      </c>
      <c r="D43" s="103">
        <f t="shared" si="4"/>
        <v>8936785</v>
      </c>
      <c r="E43" s="107">
        <f t="shared" si="5"/>
        <v>2746575</v>
      </c>
      <c r="F43" s="108">
        <f t="shared" si="6"/>
        <v>0.44369657895289499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9535263</v>
      </c>
      <c r="D44" s="103">
        <f t="shared" si="4"/>
        <v>11679340</v>
      </c>
      <c r="E44" s="107">
        <f t="shared" si="5"/>
        <v>2144077</v>
      </c>
      <c r="F44" s="108">
        <f t="shared" si="6"/>
        <v>0.22485766779584371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762309</v>
      </c>
      <c r="D45" s="103">
        <f t="shared" si="4"/>
        <v>988954</v>
      </c>
      <c r="E45" s="107">
        <f t="shared" si="5"/>
        <v>226645</v>
      </c>
      <c r="F45" s="108">
        <f t="shared" si="6"/>
        <v>0.29731381893694026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1781099</v>
      </c>
      <c r="D46" s="103">
        <f t="shared" si="4"/>
        <v>1043869</v>
      </c>
      <c r="E46" s="107">
        <f t="shared" si="5"/>
        <v>-737230</v>
      </c>
      <c r="F46" s="108">
        <f t="shared" si="6"/>
        <v>-0.41391859745022597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56956131</v>
      </c>
      <c r="D47" s="103">
        <f t="shared" si="4"/>
        <v>52518564</v>
      </c>
      <c r="E47" s="107">
        <f t="shared" si="5"/>
        <v>-4437567</v>
      </c>
      <c r="F47" s="108">
        <f t="shared" si="6"/>
        <v>-7.791201617961023E-2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2236008</v>
      </c>
      <c r="D48" s="103">
        <f t="shared" si="4"/>
        <v>2299249</v>
      </c>
      <c r="E48" s="107">
        <f t="shared" si="5"/>
        <v>63241</v>
      </c>
      <c r="F48" s="108">
        <f t="shared" si="6"/>
        <v>2.8282993620774164E-2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3046095</v>
      </c>
      <c r="D49" s="103">
        <f t="shared" si="4"/>
        <v>2591925</v>
      </c>
      <c r="E49" s="107">
        <f t="shared" si="5"/>
        <v>-454170</v>
      </c>
      <c r="F49" s="108">
        <f t="shared" si="6"/>
        <v>-0.14909909244458888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1709037</v>
      </c>
      <c r="D50" s="103">
        <f t="shared" si="4"/>
        <v>0</v>
      </c>
      <c r="E50" s="107">
        <f t="shared" si="5"/>
        <v>-1709037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151379867</v>
      </c>
      <c r="D52" s="112">
        <f>SUM(D41:D51)</f>
        <v>148782545</v>
      </c>
      <c r="E52" s="111">
        <f t="shared" si="5"/>
        <v>-2597322</v>
      </c>
      <c r="F52" s="113">
        <f t="shared" si="6"/>
        <v>-1.7157644880213825E-2</v>
      </c>
    </row>
    <row r="53" spans="1:6" ht="18" customHeight="1" x14ac:dyDescent="0.25">
      <c r="A53" s="661" t="s">
        <v>44</v>
      </c>
      <c r="B53" s="663" t="s">
        <v>129</v>
      </c>
      <c r="C53" s="665"/>
      <c r="D53" s="666"/>
      <c r="E53" s="666"/>
      <c r="F53" s="667"/>
    </row>
    <row r="54" spans="1:6" ht="18" customHeight="1" x14ac:dyDescent="0.25">
      <c r="A54" s="662"/>
      <c r="B54" s="664"/>
      <c r="C54" s="668"/>
      <c r="D54" s="669"/>
      <c r="E54" s="669"/>
      <c r="F54" s="670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12127091</v>
      </c>
      <c r="D57" s="97">
        <v>11191228</v>
      </c>
      <c r="E57" s="97">
        <f t="shared" ref="E57:E68" si="7">D57-C57</f>
        <v>-935863</v>
      </c>
      <c r="F57" s="98">
        <f t="shared" ref="F57:F68" si="8">IF(C57=0,0,E57/C57)</f>
        <v>-7.7171268855820416E-2</v>
      </c>
    </row>
    <row r="58" spans="1:6" ht="18" customHeight="1" x14ac:dyDescent="0.25">
      <c r="A58" s="99">
        <v>2</v>
      </c>
      <c r="B58" s="100" t="s">
        <v>113</v>
      </c>
      <c r="C58" s="97">
        <v>2376878</v>
      </c>
      <c r="D58" s="97">
        <v>3554102</v>
      </c>
      <c r="E58" s="97">
        <f t="shared" si="7"/>
        <v>1177224</v>
      </c>
      <c r="F58" s="98">
        <f t="shared" si="8"/>
        <v>0.49528162572921286</v>
      </c>
    </row>
    <row r="59" spans="1:6" ht="18" customHeight="1" x14ac:dyDescent="0.25">
      <c r="A59" s="99">
        <v>3</v>
      </c>
      <c r="B59" s="100" t="s">
        <v>114</v>
      </c>
      <c r="C59" s="97">
        <v>1188539</v>
      </c>
      <c r="D59" s="97">
        <v>522842</v>
      </c>
      <c r="E59" s="97">
        <f t="shared" si="7"/>
        <v>-665697</v>
      </c>
      <c r="F59" s="98">
        <f t="shared" si="8"/>
        <v>-0.56009689206664648</v>
      </c>
    </row>
    <row r="60" spans="1:6" ht="18" customHeight="1" x14ac:dyDescent="0.25">
      <c r="A60" s="99">
        <v>4</v>
      </c>
      <c r="B60" s="100" t="s">
        <v>115</v>
      </c>
      <c r="C60" s="97">
        <v>868441</v>
      </c>
      <c r="D60" s="97">
        <v>2035784</v>
      </c>
      <c r="E60" s="97">
        <f t="shared" si="7"/>
        <v>1167343</v>
      </c>
      <c r="F60" s="98">
        <f t="shared" si="8"/>
        <v>1.3441822760555986</v>
      </c>
    </row>
    <row r="61" spans="1:6" ht="18" customHeight="1" x14ac:dyDescent="0.25">
      <c r="A61" s="99">
        <v>5</v>
      </c>
      <c r="B61" s="100" t="s">
        <v>116</v>
      </c>
      <c r="C61" s="97">
        <v>96517</v>
      </c>
      <c r="D61" s="97">
        <v>152747</v>
      </c>
      <c r="E61" s="97">
        <f t="shared" si="7"/>
        <v>56230</v>
      </c>
      <c r="F61" s="98">
        <f t="shared" si="8"/>
        <v>0.5825916677890941</v>
      </c>
    </row>
    <row r="62" spans="1:6" ht="18" customHeight="1" x14ac:dyDescent="0.25">
      <c r="A62" s="99">
        <v>6</v>
      </c>
      <c r="B62" s="100" t="s">
        <v>117</v>
      </c>
      <c r="C62" s="97">
        <v>228180</v>
      </c>
      <c r="D62" s="97">
        <v>195488</v>
      </c>
      <c r="E62" s="97">
        <f t="shared" si="7"/>
        <v>-32692</v>
      </c>
      <c r="F62" s="98">
        <f t="shared" si="8"/>
        <v>-0.14327285476378299</v>
      </c>
    </row>
    <row r="63" spans="1:6" ht="18" customHeight="1" x14ac:dyDescent="0.25">
      <c r="A63" s="99">
        <v>7</v>
      </c>
      <c r="B63" s="100" t="s">
        <v>118</v>
      </c>
      <c r="C63" s="97">
        <v>8714722</v>
      </c>
      <c r="D63" s="97">
        <v>7143085</v>
      </c>
      <c r="E63" s="97">
        <f t="shared" si="7"/>
        <v>-1571637</v>
      </c>
      <c r="F63" s="98">
        <f t="shared" si="8"/>
        <v>-0.18034275792159521</v>
      </c>
    </row>
    <row r="64" spans="1:6" ht="18" customHeight="1" x14ac:dyDescent="0.25">
      <c r="A64" s="99">
        <v>8</v>
      </c>
      <c r="B64" s="100" t="s">
        <v>119</v>
      </c>
      <c r="C64" s="97">
        <v>281851</v>
      </c>
      <c r="D64" s="97">
        <v>37208</v>
      </c>
      <c r="E64" s="97">
        <f t="shared" si="7"/>
        <v>-244643</v>
      </c>
      <c r="F64" s="98">
        <f t="shared" si="8"/>
        <v>-0.86798698603162661</v>
      </c>
    </row>
    <row r="65" spans="1:6" ht="18" customHeight="1" x14ac:dyDescent="0.25">
      <c r="A65" s="99">
        <v>9</v>
      </c>
      <c r="B65" s="100" t="s">
        <v>120</v>
      </c>
      <c r="C65" s="97">
        <v>62740</v>
      </c>
      <c r="D65" s="97">
        <v>55783</v>
      </c>
      <c r="E65" s="97">
        <f t="shared" si="7"/>
        <v>-6957</v>
      </c>
      <c r="F65" s="98">
        <f t="shared" si="8"/>
        <v>-0.11088619700350653</v>
      </c>
    </row>
    <row r="66" spans="1:6" ht="18" customHeight="1" x14ac:dyDescent="0.25">
      <c r="A66" s="99">
        <v>10</v>
      </c>
      <c r="B66" s="100" t="s">
        <v>121</v>
      </c>
      <c r="C66" s="97">
        <v>147935</v>
      </c>
      <c r="D66" s="97">
        <v>0</v>
      </c>
      <c r="E66" s="97">
        <f t="shared" si="7"/>
        <v>-147935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26092894</v>
      </c>
      <c r="D68" s="103">
        <f>SUM(D57:D67)</f>
        <v>24888267</v>
      </c>
      <c r="E68" s="103">
        <f t="shared" si="7"/>
        <v>-1204627</v>
      </c>
      <c r="F68" s="104">
        <f t="shared" si="8"/>
        <v>-4.616686060197079E-2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5423543</v>
      </c>
      <c r="D70" s="97">
        <v>5593446</v>
      </c>
      <c r="E70" s="97">
        <f t="shared" ref="E70:E81" si="9">D70-C70</f>
        <v>169903</v>
      </c>
      <c r="F70" s="98">
        <f t="shared" ref="F70:F81" si="10">IF(C70=0,0,E70/C70)</f>
        <v>3.1326938866346223E-2</v>
      </c>
    </row>
    <row r="71" spans="1:6" ht="18" customHeight="1" x14ac:dyDescent="0.25">
      <c r="A71" s="99">
        <v>2</v>
      </c>
      <c r="B71" s="100" t="s">
        <v>113</v>
      </c>
      <c r="C71" s="97">
        <v>1589532</v>
      </c>
      <c r="D71" s="97">
        <v>1692060</v>
      </c>
      <c r="E71" s="97">
        <f t="shared" si="9"/>
        <v>102528</v>
      </c>
      <c r="F71" s="98">
        <f t="shared" si="10"/>
        <v>6.4502004363548512E-2</v>
      </c>
    </row>
    <row r="72" spans="1:6" ht="18" customHeight="1" x14ac:dyDescent="0.25">
      <c r="A72" s="99">
        <v>3</v>
      </c>
      <c r="B72" s="100" t="s">
        <v>114</v>
      </c>
      <c r="C72" s="97">
        <v>380810</v>
      </c>
      <c r="D72" s="97">
        <v>1090983</v>
      </c>
      <c r="E72" s="97">
        <f t="shared" si="9"/>
        <v>710173</v>
      </c>
      <c r="F72" s="98">
        <f t="shared" si="10"/>
        <v>1.8649011317980095</v>
      </c>
    </row>
    <row r="73" spans="1:6" ht="18" customHeight="1" x14ac:dyDescent="0.25">
      <c r="A73" s="99">
        <v>4</v>
      </c>
      <c r="B73" s="100" t="s">
        <v>115</v>
      </c>
      <c r="C73" s="97">
        <v>1832958</v>
      </c>
      <c r="D73" s="97">
        <v>1867045</v>
      </c>
      <c r="E73" s="97">
        <f t="shared" si="9"/>
        <v>34087</v>
      </c>
      <c r="F73" s="98">
        <f t="shared" si="10"/>
        <v>1.8596716345928275E-2</v>
      </c>
    </row>
    <row r="74" spans="1:6" ht="18" customHeight="1" x14ac:dyDescent="0.25">
      <c r="A74" s="99">
        <v>5</v>
      </c>
      <c r="B74" s="100" t="s">
        <v>116</v>
      </c>
      <c r="C74" s="97">
        <v>215804</v>
      </c>
      <c r="D74" s="97">
        <v>236977</v>
      </c>
      <c r="E74" s="97">
        <f t="shared" si="9"/>
        <v>21173</v>
      </c>
      <c r="F74" s="98">
        <f t="shared" si="10"/>
        <v>9.8112175863283344E-2</v>
      </c>
    </row>
    <row r="75" spans="1:6" ht="18" customHeight="1" x14ac:dyDescent="0.25">
      <c r="A75" s="99">
        <v>6</v>
      </c>
      <c r="B75" s="100" t="s">
        <v>117</v>
      </c>
      <c r="C75" s="97">
        <v>909911</v>
      </c>
      <c r="D75" s="97">
        <v>514717</v>
      </c>
      <c r="E75" s="97">
        <f t="shared" si="9"/>
        <v>-395194</v>
      </c>
      <c r="F75" s="98">
        <f t="shared" si="10"/>
        <v>-0.43432159848600577</v>
      </c>
    </row>
    <row r="76" spans="1:6" ht="18" customHeight="1" x14ac:dyDescent="0.25">
      <c r="A76" s="99">
        <v>7</v>
      </c>
      <c r="B76" s="100" t="s">
        <v>118</v>
      </c>
      <c r="C76" s="97">
        <v>23321310</v>
      </c>
      <c r="D76" s="97">
        <v>21819473</v>
      </c>
      <c r="E76" s="97">
        <f t="shared" si="9"/>
        <v>-1501837</v>
      </c>
      <c r="F76" s="98">
        <f t="shared" si="10"/>
        <v>-6.439762603387203E-2</v>
      </c>
    </row>
    <row r="77" spans="1:6" ht="18" customHeight="1" x14ac:dyDescent="0.25">
      <c r="A77" s="99">
        <v>8</v>
      </c>
      <c r="B77" s="100" t="s">
        <v>119</v>
      </c>
      <c r="C77" s="97">
        <v>1234189</v>
      </c>
      <c r="D77" s="97">
        <v>1321666</v>
      </c>
      <c r="E77" s="97">
        <f t="shared" si="9"/>
        <v>87477</v>
      </c>
      <c r="F77" s="98">
        <f t="shared" si="10"/>
        <v>7.0878123204792781E-2</v>
      </c>
    </row>
    <row r="78" spans="1:6" ht="18" customHeight="1" x14ac:dyDescent="0.25">
      <c r="A78" s="99">
        <v>9</v>
      </c>
      <c r="B78" s="100" t="s">
        <v>120</v>
      </c>
      <c r="C78" s="97">
        <v>158606</v>
      </c>
      <c r="D78" s="97">
        <v>147470</v>
      </c>
      <c r="E78" s="97">
        <f t="shared" si="9"/>
        <v>-11136</v>
      </c>
      <c r="F78" s="98">
        <f t="shared" si="10"/>
        <v>-7.0211719607076659E-2</v>
      </c>
    </row>
    <row r="79" spans="1:6" ht="18" customHeight="1" x14ac:dyDescent="0.25">
      <c r="A79" s="99">
        <v>10</v>
      </c>
      <c r="B79" s="100" t="s">
        <v>121</v>
      </c>
      <c r="C79" s="97">
        <v>176535</v>
      </c>
      <c r="D79" s="97">
        <v>0</v>
      </c>
      <c r="E79" s="97">
        <f t="shared" si="9"/>
        <v>-176535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35243198</v>
      </c>
      <c r="D81" s="103">
        <f>SUM(D70:D80)</f>
        <v>34283837</v>
      </c>
      <c r="E81" s="103">
        <f t="shared" si="9"/>
        <v>-959361</v>
      </c>
      <c r="F81" s="104">
        <f t="shared" si="10"/>
        <v>-2.7221167613676829E-2</v>
      </c>
    </row>
    <row r="82" spans="1:6" ht="18" customHeight="1" x14ac:dyDescent="0.25">
      <c r="A82" s="661" t="s">
        <v>127</v>
      </c>
      <c r="B82" s="663" t="s">
        <v>134</v>
      </c>
      <c r="C82" s="665"/>
      <c r="D82" s="666"/>
      <c r="E82" s="666"/>
      <c r="F82" s="667"/>
    </row>
    <row r="83" spans="1:6" ht="18" customHeight="1" x14ac:dyDescent="0.25">
      <c r="A83" s="662"/>
      <c r="B83" s="664"/>
      <c r="C83" s="668"/>
      <c r="D83" s="669"/>
      <c r="E83" s="669"/>
      <c r="F83" s="670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17550634</v>
      </c>
      <c r="D84" s="103">
        <f t="shared" si="11"/>
        <v>16784674</v>
      </c>
      <c r="E84" s="103">
        <f t="shared" ref="E84:E95" si="12">D84-C84</f>
        <v>-765960</v>
      </c>
      <c r="F84" s="104">
        <f t="shared" ref="F84:F95" si="13">IF(C84=0,0,E84/C84)</f>
        <v>-4.3642867830301746E-2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3966410</v>
      </c>
      <c r="D85" s="103">
        <f t="shared" si="11"/>
        <v>5246162</v>
      </c>
      <c r="E85" s="103">
        <f t="shared" si="12"/>
        <v>1279752</v>
      </c>
      <c r="F85" s="104">
        <f t="shared" si="13"/>
        <v>0.32264743180861283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1569349</v>
      </c>
      <c r="D86" s="103">
        <f t="shared" si="11"/>
        <v>1613825</v>
      </c>
      <c r="E86" s="103">
        <f t="shared" si="12"/>
        <v>44476</v>
      </c>
      <c r="F86" s="104">
        <f t="shared" si="13"/>
        <v>2.8340413763923766E-2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2701399</v>
      </c>
      <c r="D87" s="103">
        <f t="shared" si="11"/>
        <v>3902829</v>
      </c>
      <c r="E87" s="103">
        <f t="shared" si="12"/>
        <v>1201430</v>
      </c>
      <c r="F87" s="104">
        <f t="shared" si="13"/>
        <v>0.44474363098527836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312321</v>
      </c>
      <c r="D88" s="103">
        <f t="shared" si="11"/>
        <v>389724</v>
      </c>
      <c r="E88" s="103">
        <f t="shared" si="12"/>
        <v>77403</v>
      </c>
      <c r="F88" s="104">
        <f t="shared" si="13"/>
        <v>0.24783155791637451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1138091</v>
      </c>
      <c r="D89" s="103">
        <f t="shared" si="11"/>
        <v>710205</v>
      </c>
      <c r="E89" s="103">
        <f t="shared" si="12"/>
        <v>-427886</v>
      </c>
      <c r="F89" s="104">
        <f t="shared" si="13"/>
        <v>-0.37596817829154261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32036032</v>
      </c>
      <c r="D90" s="103">
        <f t="shared" si="11"/>
        <v>28962558</v>
      </c>
      <c r="E90" s="103">
        <f t="shared" si="12"/>
        <v>-3073474</v>
      </c>
      <c r="F90" s="104">
        <f t="shared" si="13"/>
        <v>-9.5938036271158669E-2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1516040</v>
      </c>
      <c r="D91" s="103">
        <f t="shared" si="11"/>
        <v>1358874</v>
      </c>
      <c r="E91" s="103">
        <f t="shared" si="12"/>
        <v>-157166</v>
      </c>
      <c r="F91" s="104">
        <f t="shared" si="13"/>
        <v>-0.10366876863407298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221346</v>
      </c>
      <c r="D92" s="103">
        <f t="shared" si="11"/>
        <v>203253</v>
      </c>
      <c r="E92" s="103">
        <f t="shared" si="12"/>
        <v>-18093</v>
      </c>
      <c r="F92" s="104">
        <f t="shared" si="13"/>
        <v>-8.1740803990133101E-2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324470</v>
      </c>
      <c r="D93" s="103">
        <f t="shared" si="11"/>
        <v>0</v>
      </c>
      <c r="E93" s="103">
        <f t="shared" si="12"/>
        <v>-324470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61336092</v>
      </c>
      <c r="D95" s="112">
        <f>SUM(D84:D94)</f>
        <v>59172104</v>
      </c>
      <c r="E95" s="112">
        <f t="shared" si="12"/>
        <v>-2163988</v>
      </c>
      <c r="F95" s="113">
        <f t="shared" si="13"/>
        <v>-3.5280826173274944E-2</v>
      </c>
    </row>
    <row r="96" spans="1:6" ht="18" customHeight="1" x14ac:dyDescent="0.25">
      <c r="A96" s="661" t="s">
        <v>135</v>
      </c>
      <c r="B96" s="663" t="s">
        <v>136</v>
      </c>
      <c r="C96" s="665"/>
      <c r="D96" s="666"/>
      <c r="E96" s="666"/>
      <c r="F96" s="667"/>
    </row>
    <row r="97" spans="1:6" ht="18" customHeight="1" x14ac:dyDescent="0.25">
      <c r="A97" s="662"/>
      <c r="B97" s="664"/>
      <c r="C97" s="668"/>
      <c r="D97" s="669"/>
      <c r="E97" s="669"/>
      <c r="F97" s="670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1457</v>
      </c>
      <c r="D100" s="117">
        <v>1347</v>
      </c>
      <c r="E100" s="117">
        <f t="shared" ref="E100:E111" si="14">D100-C100</f>
        <v>-110</v>
      </c>
      <c r="F100" s="98">
        <f t="shared" ref="F100:F111" si="15">IF(C100=0,0,E100/C100)</f>
        <v>-7.549759780370624E-2</v>
      </c>
    </row>
    <row r="101" spans="1:6" ht="18" customHeight="1" x14ac:dyDescent="0.25">
      <c r="A101" s="99">
        <v>2</v>
      </c>
      <c r="B101" s="100" t="s">
        <v>113</v>
      </c>
      <c r="C101" s="117">
        <v>276</v>
      </c>
      <c r="D101" s="117">
        <v>269</v>
      </c>
      <c r="E101" s="117">
        <f t="shared" si="14"/>
        <v>-7</v>
      </c>
      <c r="F101" s="98">
        <f t="shared" si="15"/>
        <v>-2.5362318840579712E-2</v>
      </c>
    </row>
    <row r="102" spans="1:6" ht="18" customHeight="1" x14ac:dyDescent="0.25">
      <c r="A102" s="99">
        <v>3</v>
      </c>
      <c r="B102" s="100" t="s">
        <v>114</v>
      </c>
      <c r="C102" s="117">
        <v>182</v>
      </c>
      <c r="D102" s="117">
        <v>216</v>
      </c>
      <c r="E102" s="117">
        <f t="shared" si="14"/>
        <v>34</v>
      </c>
      <c r="F102" s="98">
        <f t="shared" si="15"/>
        <v>0.18681318681318682</v>
      </c>
    </row>
    <row r="103" spans="1:6" ht="18" customHeight="1" x14ac:dyDescent="0.25">
      <c r="A103" s="99">
        <v>4</v>
      </c>
      <c r="B103" s="100" t="s">
        <v>115</v>
      </c>
      <c r="C103" s="117">
        <v>327</v>
      </c>
      <c r="D103" s="117">
        <v>427</v>
      </c>
      <c r="E103" s="117">
        <f t="shared" si="14"/>
        <v>100</v>
      </c>
      <c r="F103" s="98">
        <f t="shared" si="15"/>
        <v>0.3058103975535168</v>
      </c>
    </row>
    <row r="104" spans="1:6" ht="18" customHeight="1" x14ac:dyDescent="0.25">
      <c r="A104" s="99">
        <v>5</v>
      </c>
      <c r="B104" s="100" t="s">
        <v>116</v>
      </c>
      <c r="C104" s="117">
        <v>20</v>
      </c>
      <c r="D104" s="117">
        <v>30</v>
      </c>
      <c r="E104" s="117">
        <f t="shared" si="14"/>
        <v>10</v>
      </c>
      <c r="F104" s="98">
        <f t="shared" si="15"/>
        <v>0.5</v>
      </c>
    </row>
    <row r="105" spans="1:6" ht="18" customHeight="1" x14ac:dyDescent="0.25">
      <c r="A105" s="99">
        <v>6</v>
      </c>
      <c r="B105" s="100" t="s">
        <v>117</v>
      </c>
      <c r="C105" s="117">
        <v>38</v>
      </c>
      <c r="D105" s="117">
        <v>18</v>
      </c>
      <c r="E105" s="117">
        <f t="shared" si="14"/>
        <v>-20</v>
      </c>
      <c r="F105" s="98">
        <f t="shared" si="15"/>
        <v>-0.52631578947368418</v>
      </c>
    </row>
    <row r="106" spans="1:6" ht="18" customHeight="1" x14ac:dyDescent="0.25">
      <c r="A106" s="99">
        <v>7</v>
      </c>
      <c r="B106" s="100" t="s">
        <v>118</v>
      </c>
      <c r="C106" s="117">
        <v>1047</v>
      </c>
      <c r="D106" s="117">
        <v>903</v>
      </c>
      <c r="E106" s="117">
        <f t="shared" si="14"/>
        <v>-144</v>
      </c>
      <c r="F106" s="98">
        <f t="shared" si="15"/>
        <v>-0.13753581661891118</v>
      </c>
    </row>
    <row r="107" spans="1:6" ht="18" customHeight="1" x14ac:dyDescent="0.25">
      <c r="A107" s="99">
        <v>8</v>
      </c>
      <c r="B107" s="100" t="s">
        <v>119</v>
      </c>
      <c r="C107" s="117">
        <v>12</v>
      </c>
      <c r="D107" s="117">
        <v>6</v>
      </c>
      <c r="E107" s="117">
        <f t="shared" si="14"/>
        <v>-6</v>
      </c>
      <c r="F107" s="98">
        <f t="shared" si="15"/>
        <v>-0.5</v>
      </c>
    </row>
    <row r="108" spans="1:6" ht="18" customHeight="1" x14ac:dyDescent="0.25">
      <c r="A108" s="99">
        <v>9</v>
      </c>
      <c r="B108" s="100" t="s">
        <v>120</v>
      </c>
      <c r="C108" s="117">
        <v>46</v>
      </c>
      <c r="D108" s="117">
        <v>52</v>
      </c>
      <c r="E108" s="117">
        <f t="shared" si="14"/>
        <v>6</v>
      </c>
      <c r="F108" s="98">
        <f t="shared" si="15"/>
        <v>0.13043478260869565</v>
      </c>
    </row>
    <row r="109" spans="1:6" ht="18" customHeight="1" x14ac:dyDescent="0.25">
      <c r="A109" s="99">
        <v>10</v>
      </c>
      <c r="B109" s="100" t="s">
        <v>121</v>
      </c>
      <c r="C109" s="117">
        <v>32</v>
      </c>
      <c r="D109" s="117">
        <v>0</v>
      </c>
      <c r="E109" s="117">
        <f t="shared" si="14"/>
        <v>-32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3437</v>
      </c>
      <c r="D111" s="118">
        <f>SUM(D100:D110)</f>
        <v>3268</v>
      </c>
      <c r="E111" s="118">
        <f t="shared" si="14"/>
        <v>-169</v>
      </c>
      <c r="F111" s="104">
        <f t="shared" si="15"/>
        <v>-4.9170788478324116E-2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9192</v>
      </c>
      <c r="D113" s="117">
        <v>7689</v>
      </c>
      <c r="E113" s="117">
        <f t="shared" ref="E113:E124" si="16">D113-C113</f>
        <v>-1503</v>
      </c>
      <c r="F113" s="98">
        <f t="shared" ref="F113:F124" si="17">IF(C113=0,0,E113/C113)</f>
        <v>-0.16351174934725848</v>
      </c>
    </row>
    <row r="114" spans="1:6" ht="18" customHeight="1" x14ac:dyDescent="0.25">
      <c r="A114" s="99">
        <v>2</v>
      </c>
      <c r="B114" s="100" t="s">
        <v>113</v>
      </c>
      <c r="C114" s="117">
        <v>1591</v>
      </c>
      <c r="D114" s="117">
        <v>1491</v>
      </c>
      <c r="E114" s="117">
        <f t="shared" si="16"/>
        <v>-100</v>
      </c>
      <c r="F114" s="98">
        <f t="shared" si="17"/>
        <v>-6.2853551225644247E-2</v>
      </c>
    </row>
    <row r="115" spans="1:6" ht="18" customHeight="1" x14ac:dyDescent="0.25">
      <c r="A115" s="99">
        <v>3</v>
      </c>
      <c r="B115" s="100" t="s">
        <v>114</v>
      </c>
      <c r="C115" s="117">
        <v>1112</v>
      </c>
      <c r="D115" s="117">
        <v>1312</v>
      </c>
      <c r="E115" s="117">
        <f t="shared" si="16"/>
        <v>200</v>
      </c>
      <c r="F115" s="98">
        <f t="shared" si="17"/>
        <v>0.17985611510791366</v>
      </c>
    </row>
    <row r="116" spans="1:6" ht="18" customHeight="1" x14ac:dyDescent="0.25">
      <c r="A116" s="99">
        <v>4</v>
      </c>
      <c r="B116" s="100" t="s">
        <v>115</v>
      </c>
      <c r="C116" s="117">
        <v>1034</v>
      </c>
      <c r="D116" s="117">
        <v>1501</v>
      </c>
      <c r="E116" s="117">
        <f t="shared" si="16"/>
        <v>467</v>
      </c>
      <c r="F116" s="98">
        <f t="shared" si="17"/>
        <v>0.45164410058027077</v>
      </c>
    </row>
    <row r="117" spans="1:6" ht="18" customHeight="1" x14ac:dyDescent="0.25">
      <c r="A117" s="99">
        <v>5</v>
      </c>
      <c r="B117" s="100" t="s">
        <v>116</v>
      </c>
      <c r="C117" s="117">
        <v>79</v>
      </c>
      <c r="D117" s="117">
        <v>93</v>
      </c>
      <c r="E117" s="117">
        <f t="shared" si="16"/>
        <v>14</v>
      </c>
      <c r="F117" s="98">
        <f t="shared" si="17"/>
        <v>0.17721518987341772</v>
      </c>
    </row>
    <row r="118" spans="1:6" ht="18" customHeight="1" x14ac:dyDescent="0.25">
      <c r="A118" s="99">
        <v>6</v>
      </c>
      <c r="B118" s="100" t="s">
        <v>117</v>
      </c>
      <c r="C118" s="117">
        <v>134</v>
      </c>
      <c r="D118" s="117">
        <v>91</v>
      </c>
      <c r="E118" s="117">
        <f t="shared" si="16"/>
        <v>-43</v>
      </c>
      <c r="F118" s="98">
        <f t="shared" si="17"/>
        <v>-0.32089552238805968</v>
      </c>
    </row>
    <row r="119" spans="1:6" ht="18" customHeight="1" x14ac:dyDescent="0.25">
      <c r="A119" s="99">
        <v>7</v>
      </c>
      <c r="B119" s="100" t="s">
        <v>118</v>
      </c>
      <c r="C119" s="117">
        <v>4139</v>
      </c>
      <c r="D119" s="117">
        <v>3422</v>
      </c>
      <c r="E119" s="117">
        <f t="shared" si="16"/>
        <v>-717</v>
      </c>
      <c r="F119" s="98">
        <f t="shared" si="17"/>
        <v>-0.17323024885237981</v>
      </c>
    </row>
    <row r="120" spans="1:6" ht="18" customHeight="1" x14ac:dyDescent="0.25">
      <c r="A120" s="99">
        <v>8</v>
      </c>
      <c r="B120" s="100" t="s">
        <v>119</v>
      </c>
      <c r="C120" s="117">
        <v>77</v>
      </c>
      <c r="D120" s="117">
        <v>22</v>
      </c>
      <c r="E120" s="117">
        <f t="shared" si="16"/>
        <v>-55</v>
      </c>
      <c r="F120" s="98">
        <f t="shared" si="17"/>
        <v>-0.7142857142857143</v>
      </c>
    </row>
    <row r="121" spans="1:6" ht="18" customHeight="1" x14ac:dyDescent="0.25">
      <c r="A121" s="99">
        <v>9</v>
      </c>
      <c r="B121" s="100" t="s">
        <v>120</v>
      </c>
      <c r="C121" s="117">
        <v>177</v>
      </c>
      <c r="D121" s="117">
        <v>169</v>
      </c>
      <c r="E121" s="117">
        <f t="shared" si="16"/>
        <v>-8</v>
      </c>
      <c r="F121" s="98">
        <f t="shared" si="17"/>
        <v>-4.519774011299435E-2</v>
      </c>
    </row>
    <row r="122" spans="1:6" ht="18" customHeight="1" x14ac:dyDescent="0.25">
      <c r="A122" s="99">
        <v>10</v>
      </c>
      <c r="B122" s="100" t="s">
        <v>121</v>
      </c>
      <c r="C122" s="117">
        <v>202</v>
      </c>
      <c r="D122" s="117">
        <v>0</v>
      </c>
      <c r="E122" s="117">
        <f t="shared" si="16"/>
        <v>-202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17737</v>
      </c>
      <c r="D124" s="118">
        <f>SUM(D113:D123)</f>
        <v>15790</v>
      </c>
      <c r="E124" s="118">
        <f t="shared" si="16"/>
        <v>-1947</v>
      </c>
      <c r="F124" s="104">
        <f t="shared" si="17"/>
        <v>-0.10977053616733382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23877</v>
      </c>
      <c r="D126" s="117">
        <v>23735</v>
      </c>
      <c r="E126" s="117">
        <f t="shared" ref="E126:E137" si="18">D126-C126</f>
        <v>-142</v>
      </c>
      <c r="F126" s="98">
        <f t="shared" ref="F126:F137" si="19">IF(C126=0,0,E126/C126)</f>
        <v>-5.9471457888344431E-3</v>
      </c>
    </row>
    <row r="127" spans="1:6" ht="18" customHeight="1" x14ac:dyDescent="0.25">
      <c r="A127" s="99">
        <v>2</v>
      </c>
      <c r="B127" s="100" t="s">
        <v>113</v>
      </c>
      <c r="C127" s="117">
        <v>6416</v>
      </c>
      <c r="D127" s="117">
        <v>7172</v>
      </c>
      <c r="E127" s="117">
        <f t="shared" si="18"/>
        <v>756</v>
      </c>
      <c r="F127" s="98">
        <f t="shared" si="19"/>
        <v>0.11783042394014963</v>
      </c>
    </row>
    <row r="128" spans="1:6" ht="18" customHeight="1" x14ac:dyDescent="0.25">
      <c r="A128" s="99">
        <v>3</v>
      </c>
      <c r="B128" s="100" t="s">
        <v>114</v>
      </c>
      <c r="C128" s="117">
        <v>2038</v>
      </c>
      <c r="D128" s="117">
        <v>3435</v>
      </c>
      <c r="E128" s="117">
        <f t="shared" si="18"/>
        <v>1397</v>
      </c>
      <c r="F128" s="98">
        <f t="shared" si="19"/>
        <v>0.68547595682041218</v>
      </c>
    </row>
    <row r="129" spans="1:6" ht="18" customHeight="1" x14ac:dyDescent="0.25">
      <c r="A129" s="99">
        <v>4</v>
      </c>
      <c r="B129" s="100" t="s">
        <v>115</v>
      </c>
      <c r="C129" s="117">
        <v>6715</v>
      </c>
      <c r="D129" s="117">
        <v>7004</v>
      </c>
      <c r="E129" s="117">
        <f t="shared" si="18"/>
        <v>289</v>
      </c>
      <c r="F129" s="98">
        <f t="shared" si="19"/>
        <v>4.3037974683544304E-2</v>
      </c>
    </row>
    <row r="130" spans="1:6" ht="18" customHeight="1" x14ac:dyDescent="0.25">
      <c r="A130" s="99">
        <v>5</v>
      </c>
      <c r="B130" s="100" t="s">
        <v>116</v>
      </c>
      <c r="C130" s="117">
        <v>482</v>
      </c>
      <c r="D130" s="117">
        <v>522</v>
      </c>
      <c r="E130" s="117">
        <f t="shared" si="18"/>
        <v>40</v>
      </c>
      <c r="F130" s="98">
        <f t="shared" si="19"/>
        <v>8.2987551867219914E-2</v>
      </c>
    </row>
    <row r="131" spans="1:6" ht="18" customHeight="1" x14ac:dyDescent="0.25">
      <c r="A131" s="99">
        <v>6</v>
      </c>
      <c r="B131" s="100" t="s">
        <v>117</v>
      </c>
      <c r="C131" s="117">
        <v>1135</v>
      </c>
      <c r="D131" s="117">
        <v>571</v>
      </c>
      <c r="E131" s="117">
        <f t="shared" si="18"/>
        <v>-564</v>
      </c>
      <c r="F131" s="98">
        <f t="shared" si="19"/>
        <v>-0.49691629955947136</v>
      </c>
    </row>
    <row r="132" spans="1:6" ht="18" customHeight="1" x14ac:dyDescent="0.25">
      <c r="A132" s="99">
        <v>7</v>
      </c>
      <c r="B132" s="100" t="s">
        <v>118</v>
      </c>
      <c r="C132" s="117">
        <v>37328</v>
      </c>
      <c r="D132" s="117">
        <v>35040</v>
      </c>
      <c r="E132" s="117">
        <f t="shared" si="18"/>
        <v>-2288</v>
      </c>
      <c r="F132" s="98">
        <f t="shared" si="19"/>
        <v>-6.1294470638662668E-2</v>
      </c>
    </row>
    <row r="133" spans="1:6" ht="18" customHeight="1" x14ac:dyDescent="0.25">
      <c r="A133" s="99">
        <v>8</v>
      </c>
      <c r="B133" s="100" t="s">
        <v>119</v>
      </c>
      <c r="C133" s="117">
        <v>1358</v>
      </c>
      <c r="D133" s="117">
        <v>1389</v>
      </c>
      <c r="E133" s="117">
        <f t="shared" si="18"/>
        <v>31</v>
      </c>
      <c r="F133" s="98">
        <f t="shared" si="19"/>
        <v>2.2827687776141383E-2</v>
      </c>
    </row>
    <row r="134" spans="1:6" ht="18" customHeight="1" x14ac:dyDescent="0.25">
      <c r="A134" s="99">
        <v>9</v>
      </c>
      <c r="B134" s="100" t="s">
        <v>120</v>
      </c>
      <c r="C134" s="117">
        <v>2215</v>
      </c>
      <c r="D134" s="117">
        <v>1895</v>
      </c>
      <c r="E134" s="117">
        <f t="shared" si="18"/>
        <v>-320</v>
      </c>
      <c r="F134" s="98">
        <f t="shared" si="19"/>
        <v>-0.14446952595936793</v>
      </c>
    </row>
    <row r="135" spans="1:6" ht="18" customHeight="1" x14ac:dyDescent="0.25">
      <c r="A135" s="99">
        <v>10</v>
      </c>
      <c r="B135" s="100" t="s">
        <v>121</v>
      </c>
      <c r="C135" s="117">
        <v>861</v>
      </c>
      <c r="D135" s="117">
        <v>0</v>
      </c>
      <c r="E135" s="117">
        <f t="shared" si="18"/>
        <v>-861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82425</v>
      </c>
      <c r="D137" s="118">
        <f>SUM(D126:D136)</f>
        <v>80763</v>
      </c>
      <c r="E137" s="118">
        <f t="shared" si="18"/>
        <v>-1662</v>
      </c>
      <c r="F137" s="104">
        <f t="shared" si="19"/>
        <v>-2.0163785259326661E-2</v>
      </c>
    </row>
    <row r="138" spans="1:6" ht="18" customHeight="1" x14ac:dyDescent="0.25">
      <c r="A138" s="661" t="s">
        <v>144</v>
      </c>
      <c r="B138" s="663" t="s">
        <v>145</v>
      </c>
      <c r="C138" s="665"/>
      <c r="D138" s="666"/>
      <c r="E138" s="666"/>
      <c r="F138" s="667"/>
    </row>
    <row r="139" spans="1:6" ht="18" customHeight="1" x14ac:dyDescent="0.25">
      <c r="A139" s="662"/>
      <c r="B139" s="664"/>
      <c r="C139" s="668"/>
      <c r="D139" s="669"/>
      <c r="E139" s="669"/>
      <c r="F139" s="670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2378345</v>
      </c>
      <c r="D142" s="97">
        <v>5183053</v>
      </c>
      <c r="E142" s="97">
        <f t="shared" ref="E142:E153" si="20">D142-C142</f>
        <v>2804708</v>
      </c>
      <c r="F142" s="98">
        <f t="shared" ref="F142:F153" si="21">IF(C142=0,0,E142/C142)</f>
        <v>1.1792687772379533</v>
      </c>
    </row>
    <row r="143" spans="1:6" ht="18" customHeight="1" x14ac:dyDescent="0.25">
      <c r="A143" s="99">
        <v>2</v>
      </c>
      <c r="B143" s="100" t="s">
        <v>113</v>
      </c>
      <c r="C143" s="97">
        <v>499086</v>
      </c>
      <c r="D143" s="97">
        <v>1148377</v>
      </c>
      <c r="E143" s="97">
        <f t="shared" si="20"/>
        <v>649291</v>
      </c>
      <c r="F143" s="98">
        <f t="shared" si="21"/>
        <v>1.3009601551636392</v>
      </c>
    </row>
    <row r="144" spans="1:6" ht="18" customHeight="1" x14ac:dyDescent="0.25">
      <c r="A144" s="99">
        <v>3</v>
      </c>
      <c r="B144" s="100" t="s">
        <v>114</v>
      </c>
      <c r="C144" s="97">
        <v>698350</v>
      </c>
      <c r="D144" s="97">
        <v>2620574</v>
      </c>
      <c r="E144" s="97">
        <f t="shared" si="20"/>
        <v>1922224</v>
      </c>
      <c r="F144" s="98">
        <f t="shared" si="21"/>
        <v>2.7525223741676808</v>
      </c>
    </row>
    <row r="145" spans="1:6" ht="18" customHeight="1" x14ac:dyDescent="0.25">
      <c r="A145" s="99">
        <v>4</v>
      </c>
      <c r="B145" s="100" t="s">
        <v>115</v>
      </c>
      <c r="C145" s="97">
        <v>1552025</v>
      </c>
      <c r="D145" s="97">
        <v>3333229</v>
      </c>
      <c r="E145" s="97">
        <f t="shared" si="20"/>
        <v>1781204</v>
      </c>
      <c r="F145" s="98">
        <f t="shared" si="21"/>
        <v>1.1476645028269519</v>
      </c>
    </row>
    <row r="146" spans="1:6" ht="18" customHeight="1" x14ac:dyDescent="0.25">
      <c r="A146" s="99">
        <v>5</v>
      </c>
      <c r="B146" s="100" t="s">
        <v>116</v>
      </c>
      <c r="C146" s="97">
        <v>91717</v>
      </c>
      <c r="D146" s="97">
        <v>218757</v>
      </c>
      <c r="E146" s="97">
        <f t="shared" si="20"/>
        <v>127040</v>
      </c>
      <c r="F146" s="98">
        <f t="shared" si="21"/>
        <v>1.3851303466096798</v>
      </c>
    </row>
    <row r="147" spans="1:6" ht="18" customHeight="1" x14ac:dyDescent="0.25">
      <c r="A147" s="99">
        <v>6</v>
      </c>
      <c r="B147" s="100" t="s">
        <v>117</v>
      </c>
      <c r="C147" s="97">
        <v>366933</v>
      </c>
      <c r="D147" s="97">
        <v>277689</v>
      </c>
      <c r="E147" s="97">
        <f t="shared" si="20"/>
        <v>-89244</v>
      </c>
      <c r="F147" s="98">
        <f t="shared" si="21"/>
        <v>-0.24321606396808138</v>
      </c>
    </row>
    <row r="148" spans="1:6" ht="18" customHeight="1" x14ac:dyDescent="0.25">
      <c r="A148" s="99">
        <v>7</v>
      </c>
      <c r="B148" s="100" t="s">
        <v>118</v>
      </c>
      <c r="C148" s="97">
        <v>5008185</v>
      </c>
      <c r="D148" s="97">
        <v>10106210</v>
      </c>
      <c r="E148" s="97">
        <f t="shared" si="20"/>
        <v>5098025</v>
      </c>
      <c r="F148" s="98">
        <f t="shared" si="21"/>
        <v>1.0179386344553965</v>
      </c>
    </row>
    <row r="149" spans="1:6" ht="18" customHeight="1" x14ac:dyDescent="0.25">
      <c r="A149" s="99">
        <v>8</v>
      </c>
      <c r="B149" s="100" t="s">
        <v>119</v>
      </c>
      <c r="C149" s="97">
        <v>291906</v>
      </c>
      <c r="D149" s="97">
        <v>599123</v>
      </c>
      <c r="E149" s="97">
        <f t="shared" si="20"/>
        <v>307217</v>
      </c>
      <c r="F149" s="98">
        <f t="shared" si="21"/>
        <v>1.0524518166807122</v>
      </c>
    </row>
    <row r="150" spans="1:6" ht="18" customHeight="1" x14ac:dyDescent="0.25">
      <c r="A150" s="99">
        <v>9</v>
      </c>
      <c r="B150" s="100" t="s">
        <v>120</v>
      </c>
      <c r="C150" s="97">
        <v>1248488</v>
      </c>
      <c r="D150" s="97">
        <v>1553078</v>
      </c>
      <c r="E150" s="97">
        <f t="shared" si="20"/>
        <v>304590</v>
      </c>
      <c r="F150" s="98">
        <f t="shared" si="21"/>
        <v>0.2439671026073138</v>
      </c>
    </row>
    <row r="151" spans="1:6" ht="18" customHeight="1" x14ac:dyDescent="0.25">
      <c r="A151" s="99">
        <v>10</v>
      </c>
      <c r="B151" s="100" t="s">
        <v>121</v>
      </c>
      <c r="C151" s="97">
        <v>77594</v>
      </c>
      <c r="D151" s="97">
        <v>0</v>
      </c>
      <c r="E151" s="97">
        <f t="shared" si="20"/>
        <v>-77594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12212629</v>
      </c>
      <c r="D153" s="103">
        <f>SUM(D142:D152)</f>
        <v>25040090</v>
      </c>
      <c r="E153" s="103">
        <f t="shared" si="20"/>
        <v>12827461</v>
      </c>
      <c r="F153" s="104">
        <f t="shared" si="21"/>
        <v>1.0503439513310362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641202</v>
      </c>
      <c r="D155" s="97">
        <v>1377070</v>
      </c>
      <c r="E155" s="97">
        <f t="shared" ref="E155:E166" si="22">D155-C155</f>
        <v>735868</v>
      </c>
      <c r="F155" s="98">
        <f t="shared" ref="F155:F166" si="23">IF(C155=0,0,E155/C155)</f>
        <v>1.1476383417394207</v>
      </c>
    </row>
    <row r="156" spans="1:6" ht="18" customHeight="1" x14ac:dyDescent="0.25">
      <c r="A156" s="99">
        <v>2</v>
      </c>
      <c r="B156" s="100" t="s">
        <v>113</v>
      </c>
      <c r="C156" s="97">
        <v>144036</v>
      </c>
      <c r="D156" s="97">
        <v>311002</v>
      </c>
      <c r="E156" s="97">
        <f t="shared" si="22"/>
        <v>166966</v>
      </c>
      <c r="F156" s="98">
        <f t="shared" si="23"/>
        <v>1.1591963120331028</v>
      </c>
    </row>
    <row r="157" spans="1:6" ht="18" customHeight="1" x14ac:dyDescent="0.25">
      <c r="A157" s="99">
        <v>3</v>
      </c>
      <c r="B157" s="100" t="s">
        <v>114</v>
      </c>
      <c r="C157" s="97">
        <v>137715</v>
      </c>
      <c r="D157" s="97">
        <v>670059</v>
      </c>
      <c r="E157" s="97">
        <f t="shared" si="22"/>
        <v>532344</v>
      </c>
      <c r="F157" s="98">
        <f t="shared" si="23"/>
        <v>3.8655484152053154</v>
      </c>
    </row>
    <row r="158" spans="1:6" ht="18" customHeight="1" x14ac:dyDescent="0.25">
      <c r="A158" s="99">
        <v>4</v>
      </c>
      <c r="B158" s="100" t="s">
        <v>115</v>
      </c>
      <c r="C158" s="97">
        <v>404768</v>
      </c>
      <c r="D158" s="97">
        <v>944606</v>
      </c>
      <c r="E158" s="97">
        <f t="shared" si="22"/>
        <v>539838</v>
      </c>
      <c r="F158" s="98">
        <f t="shared" si="23"/>
        <v>1.3336973278520041</v>
      </c>
    </row>
    <row r="159" spans="1:6" ht="18" customHeight="1" x14ac:dyDescent="0.25">
      <c r="A159" s="99">
        <v>5</v>
      </c>
      <c r="B159" s="100" t="s">
        <v>116</v>
      </c>
      <c r="C159" s="97">
        <v>31615</v>
      </c>
      <c r="D159" s="97">
        <v>92864</v>
      </c>
      <c r="E159" s="97">
        <f t="shared" si="22"/>
        <v>61249</v>
      </c>
      <c r="F159" s="98">
        <f t="shared" si="23"/>
        <v>1.937339870314724</v>
      </c>
    </row>
    <row r="160" spans="1:6" ht="18" customHeight="1" x14ac:dyDescent="0.25">
      <c r="A160" s="99">
        <v>6</v>
      </c>
      <c r="B160" s="100" t="s">
        <v>117</v>
      </c>
      <c r="C160" s="97">
        <v>192200</v>
      </c>
      <c r="D160" s="97">
        <v>206839</v>
      </c>
      <c r="E160" s="97">
        <f t="shared" si="22"/>
        <v>14639</v>
      </c>
      <c r="F160" s="98">
        <f t="shared" si="23"/>
        <v>7.6165452653485954E-2</v>
      </c>
    </row>
    <row r="161" spans="1:6" ht="18" customHeight="1" x14ac:dyDescent="0.25">
      <c r="A161" s="99">
        <v>7</v>
      </c>
      <c r="B161" s="100" t="s">
        <v>118</v>
      </c>
      <c r="C161" s="97">
        <v>2773723</v>
      </c>
      <c r="D161" s="97">
        <v>5970012</v>
      </c>
      <c r="E161" s="97">
        <f t="shared" si="22"/>
        <v>3196289</v>
      </c>
      <c r="F161" s="98">
        <f t="shared" si="23"/>
        <v>1.1523461427114388</v>
      </c>
    </row>
    <row r="162" spans="1:6" ht="18" customHeight="1" x14ac:dyDescent="0.25">
      <c r="A162" s="99">
        <v>8</v>
      </c>
      <c r="B162" s="100" t="s">
        <v>119</v>
      </c>
      <c r="C162" s="97">
        <v>189681</v>
      </c>
      <c r="D162" s="97">
        <v>453745</v>
      </c>
      <c r="E162" s="97">
        <f t="shared" si="22"/>
        <v>264064</v>
      </c>
      <c r="F162" s="98">
        <f t="shared" si="23"/>
        <v>1.392147869317433</v>
      </c>
    </row>
    <row r="163" spans="1:6" ht="18" customHeight="1" x14ac:dyDescent="0.25">
      <c r="A163" s="99">
        <v>9</v>
      </c>
      <c r="B163" s="100" t="s">
        <v>120</v>
      </c>
      <c r="C163" s="97">
        <v>45070</v>
      </c>
      <c r="D163" s="97">
        <v>69697</v>
      </c>
      <c r="E163" s="97">
        <f t="shared" si="22"/>
        <v>24627</v>
      </c>
      <c r="F163" s="98">
        <f t="shared" si="23"/>
        <v>0.54641668515642339</v>
      </c>
    </row>
    <row r="164" spans="1:6" ht="18" customHeight="1" x14ac:dyDescent="0.25">
      <c r="A164" s="99">
        <v>10</v>
      </c>
      <c r="B164" s="100" t="s">
        <v>121</v>
      </c>
      <c r="C164" s="97">
        <v>10739</v>
      </c>
      <c r="D164" s="97">
        <v>0</v>
      </c>
      <c r="E164" s="97">
        <f t="shared" si="22"/>
        <v>-10739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4570749</v>
      </c>
      <c r="D166" s="103">
        <f>SUM(D155:D165)</f>
        <v>10095894</v>
      </c>
      <c r="E166" s="103">
        <f t="shared" si="22"/>
        <v>5525145</v>
      </c>
      <c r="F166" s="104">
        <f t="shared" si="23"/>
        <v>1.2088051651928382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2717</v>
      </c>
      <c r="D168" s="117">
        <v>2804</v>
      </c>
      <c r="E168" s="117">
        <f t="shared" ref="E168:E179" si="24">D168-C168</f>
        <v>87</v>
      </c>
      <c r="F168" s="98">
        <f t="shared" ref="F168:F179" si="25">IF(C168=0,0,E168/C168)</f>
        <v>3.2020610967979389E-2</v>
      </c>
    </row>
    <row r="169" spans="1:6" ht="18" customHeight="1" x14ac:dyDescent="0.25">
      <c r="A169" s="99">
        <v>2</v>
      </c>
      <c r="B169" s="100" t="s">
        <v>113</v>
      </c>
      <c r="C169" s="117">
        <v>539</v>
      </c>
      <c r="D169" s="117">
        <v>645</v>
      </c>
      <c r="E169" s="117">
        <f t="shared" si="24"/>
        <v>106</v>
      </c>
      <c r="F169" s="98">
        <f t="shared" si="25"/>
        <v>0.19666048237476808</v>
      </c>
    </row>
    <row r="170" spans="1:6" ht="18" customHeight="1" x14ac:dyDescent="0.25">
      <c r="A170" s="99">
        <v>3</v>
      </c>
      <c r="B170" s="100" t="s">
        <v>114</v>
      </c>
      <c r="C170" s="117">
        <v>831</v>
      </c>
      <c r="D170" s="117">
        <v>1628</v>
      </c>
      <c r="E170" s="117">
        <f t="shared" si="24"/>
        <v>797</v>
      </c>
      <c r="F170" s="98">
        <f t="shared" si="25"/>
        <v>0.95908543922984357</v>
      </c>
    </row>
    <row r="171" spans="1:6" ht="18" customHeight="1" x14ac:dyDescent="0.25">
      <c r="A171" s="99">
        <v>4</v>
      </c>
      <c r="B171" s="100" t="s">
        <v>115</v>
      </c>
      <c r="C171" s="117">
        <v>2948</v>
      </c>
      <c r="D171" s="117">
        <v>3085</v>
      </c>
      <c r="E171" s="117">
        <f t="shared" si="24"/>
        <v>137</v>
      </c>
      <c r="F171" s="98">
        <f t="shared" si="25"/>
        <v>4.6472184531886021E-2</v>
      </c>
    </row>
    <row r="172" spans="1:6" ht="18" customHeight="1" x14ac:dyDescent="0.25">
      <c r="A172" s="99">
        <v>5</v>
      </c>
      <c r="B172" s="100" t="s">
        <v>116</v>
      </c>
      <c r="C172" s="117">
        <v>147</v>
      </c>
      <c r="D172" s="117">
        <v>177</v>
      </c>
      <c r="E172" s="117">
        <f t="shared" si="24"/>
        <v>30</v>
      </c>
      <c r="F172" s="98">
        <f t="shared" si="25"/>
        <v>0.20408163265306123</v>
      </c>
    </row>
    <row r="173" spans="1:6" ht="18" customHeight="1" x14ac:dyDescent="0.25">
      <c r="A173" s="99">
        <v>6</v>
      </c>
      <c r="B173" s="100" t="s">
        <v>117</v>
      </c>
      <c r="C173" s="117">
        <v>560</v>
      </c>
      <c r="D173" s="117">
        <v>191</v>
      </c>
      <c r="E173" s="117">
        <f t="shared" si="24"/>
        <v>-369</v>
      </c>
      <c r="F173" s="98">
        <f t="shared" si="25"/>
        <v>-0.65892857142857142</v>
      </c>
    </row>
    <row r="174" spans="1:6" ht="18" customHeight="1" x14ac:dyDescent="0.25">
      <c r="A174" s="99">
        <v>7</v>
      </c>
      <c r="B174" s="100" t="s">
        <v>118</v>
      </c>
      <c r="C174" s="117">
        <v>6944</v>
      </c>
      <c r="D174" s="117">
        <v>6963</v>
      </c>
      <c r="E174" s="117">
        <f t="shared" si="24"/>
        <v>19</v>
      </c>
      <c r="F174" s="98">
        <f t="shared" si="25"/>
        <v>2.7361751152073731E-3</v>
      </c>
    </row>
    <row r="175" spans="1:6" ht="18" customHeight="1" x14ac:dyDescent="0.25">
      <c r="A175" s="99">
        <v>8</v>
      </c>
      <c r="B175" s="100" t="s">
        <v>119</v>
      </c>
      <c r="C175" s="117">
        <v>591</v>
      </c>
      <c r="D175" s="117">
        <v>638</v>
      </c>
      <c r="E175" s="117">
        <f t="shared" si="24"/>
        <v>47</v>
      </c>
      <c r="F175" s="98">
        <f t="shared" si="25"/>
        <v>7.952622673434856E-2</v>
      </c>
    </row>
    <row r="176" spans="1:6" ht="18" customHeight="1" x14ac:dyDescent="0.25">
      <c r="A176" s="99">
        <v>9</v>
      </c>
      <c r="B176" s="100" t="s">
        <v>120</v>
      </c>
      <c r="C176" s="117">
        <v>1554</v>
      </c>
      <c r="D176" s="117">
        <v>1304</v>
      </c>
      <c r="E176" s="117">
        <f t="shared" si="24"/>
        <v>-250</v>
      </c>
      <c r="F176" s="98">
        <f t="shared" si="25"/>
        <v>-0.16087516087516088</v>
      </c>
    </row>
    <row r="177" spans="1:6" ht="18" customHeight="1" x14ac:dyDescent="0.25">
      <c r="A177" s="99">
        <v>10</v>
      </c>
      <c r="B177" s="100" t="s">
        <v>121</v>
      </c>
      <c r="C177" s="117">
        <v>412</v>
      </c>
      <c r="D177" s="117">
        <v>0</v>
      </c>
      <c r="E177" s="117">
        <f t="shared" si="24"/>
        <v>-412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17243</v>
      </c>
      <c r="D179" s="118">
        <f>SUM(D168:D178)</f>
        <v>17435</v>
      </c>
      <c r="E179" s="118">
        <f t="shared" si="24"/>
        <v>192</v>
      </c>
      <c r="F179" s="104">
        <f t="shared" si="25"/>
        <v>1.1134953314388447E-2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FILING&amp;RJOHNSON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10037829</v>
      </c>
      <c r="D15" s="146">
        <v>9606142</v>
      </c>
      <c r="E15" s="146">
        <f>+D15-C15</f>
        <v>-431687</v>
      </c>
      <c r="F15" s="150">
        <f>IF(C15=0,0,E15/C15)</f>
        <v>-4.3006012555105291E-2</v>
      </c>
    </row>
    <row r="16" spans="1:7" ht="15" customHeight="1" x14ac:dyDescent="0.2">
      <c r="A16" s="141">
        <v>2</v>
      </c>
      <c r="B16" s="149" t="s">
        <v>158</v>
      </c>
      <c r="C16" s="146">
        <v>692376</v>
      </c>
      <c r="D16" s="146">
        <v>0</v>
      </c>
      <c r="E16" s="146">
        <f>+D16-C16</f>
        <v>-692376</v>
      </c>
      <c r="F16" s="150">
        <f>IF(C16=0,0,E16/C16)</f>
        <v>-1</v>
      </c>
    </row>
    <row r="17" spans="1:7" ht="15" customHeight="1" x14ac:dyDescent="0.2">
      <c r="A17" s="141">
        <v>3</v>
      </c>
      <c r="B17" s="149" t="s">
        <v>159</v>
      </c>
      <c r="C17" s="146">
        <v>15934731</v>
      </c>
      <c r="D17" s="146">
        <v>16602963</v>
      </c>
      <c r="E17" s="146">
        <f>+D17-C17</f>
        <v>668232</v>
      </c>
      <c r="F17" s="150">
        <f>IF(C17=0,0,E17/C17)</f>
        <v>4.1935568287911479E-2</v>
      </c>
    </row>
    <row r="18" spans="1:7" ht="15.75" customHeight="1" x14ac:dyDescent="0.25">
      <c r="A18" s="141"/>
      <c r="B18" s="151" t="s">
        <v>160</v>
      </c>
      <c r="C18" s="147">
        <f>SUM(C15:C17)</f>
        <v>26664936</v>
      </c>
      <c r="D18" s="147">
        <f>SUM(D15:D17)</f>
        <v>26209105</v>
      </c>
      <c r="E18" s="147">
        <f>+D18-C18</f>
        <v>-455831</v>
      </c>
      <c r="F18" s="148">
        <f>IF(C18=0,0,E18/C18)</f>
        <v>-1.7094771950699601E-2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3137311</v>
      </c>
      <c r="D21" s="146">
        <v>2547038</v>
      </c>
      <c r="E21" s="146">
        <f>+D21-C21</f>
        <v>-590273</v>
      </c>
      <c r="F21" s="150">
        <f>IF(C21=0,0,E21/C21)</f>
        <v>-0.18814615446157554</v>
      </c>
    </row>
    <row r="22" spans="1:7" ht="15" customHeight="1" x14ac:dyDescent="0.2">
      <c r="A22" s="141">
        <v>2</v>
      </c>
      <c r="B22" s="149" t="s">
        <v>163</v>
      </c>
      <c r="C22" s="146">
        <v>216401</v>
      </c>
      <c r="D22" s="146">
        <v>0</v>
      </c>
      <c r="E22" s="146">
        <f>+D22-C22</f>
        <v>-216401</v>
      </c>
      <c r="F22" s="150">
        <f>IF(C22=0,0,E22/C22)</f>
        <v>-1</v>
      </c>
    </row>
    <row r="23" spans="1:7" ht="15" customHeight="1" x14ac:dyDescent="0.2">
      <c r="A23" s="141">
        <v>3</v>
      </c>
      <c r="B23" s="149" t="s">
        <v>164</v>
      </c>
      <c r="C23" s="146">
        <v>5033765</v>
      </c>
      <c r="D23" s="146">
        <v>4402587</v>
      </c>
      <c r="E23" s="146">
        <f>+D23-C23</f>
        <v>-631178</v>
      </c>
      <c r="F23" s="150">
        <f>IF(C23=0,0,E23/C23)</f>
        <v>-0.12538884910201409</v>
      </c>
    </row>
    <row r="24" spans="1:7" ht="15.75" customHeight="1" x14ac:dyDescent="0.25">
      <c r="A24" s="141"/>
      <c r="B24" s="151" t="s">
        <v>165</v>
      </c>
      <c r="C24" s="147">
        <f>SUM(C21:C23)</f>
        <v>8387477</v>
      </c>
      <c r="D24" s="147">
        <f>SUM(D21:D23)</f>
        <v>6949625</v>
      </c>
      <c r="E24" s="147">
        <f>+D24-C24</f>
        <v>-1437852</v>
      </c>
      <c r="F24" s="148">
        <f>IF(C24=0,0,E24/C24)</f>
        <v>-0.1714284283581344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278500</v>
      </c>
      <c r="D27" s="146">
        <v>50864</v>
      </c>
      <c r="E27" s="146">
        <f>+D27-C27</f>
        <v>-227636</v>
      </c>
      <c r="F27" s="150">
        <f>IF(C27=0,0,E27/C27)</f>
        <v>-0.81736445242369837</v>
      </c>
    </row>
    <row r="28" spans="1:7" ht="15" customHeight="1" x14ac:dyDescent="0.2">
      <c r="A28" s="141">
        <v>2</v>
      </c>
      <c r="B28" s="149" t="s">
        <v>168</v>
      </c>
      <c r="C28" s="146">
        <v>387251</v>
      </c>
      <c r="D28" s="146">
        <v>380259</v>
      </c>
      <c r="E28" s="146">
        <f>+D28-C28</f>
        <v>-6992</v>
      </c>
      <c r="F28" s="150">
        <f>IF(C28=0,0,E28/C28)</f>
        <v>-1.8055473065272911E-2</v>
      </c>
    </row>
    <row r="29" spans="1:7" ht="15" customHeight="1" x14ac:dyDescent="0.2">
      <c r="A29" s="141">
        <v>3</v>
      </c>
      <c r="B29" s="149" t="s">
        <v>169</v>
      </c>
      <c r="C29" s="146">
        <v>1864566</v>
      </c>
      <c r="D29" s="146">
        <v>1719863</v>
      </c>
      <c r="E29" s="146">
        <f>+D29-C29</f>
        <v>-144703</v>
      </c>
      <c r="F29" s="150">
        <f>IF(C29=0,0,E29/C29)</f>
        <v>-7.7606799652036984E-2</v>
      </c>
    </row>
    <row r="30" spans="1:7" ht="15.75" customHeight="1" x14ac:dyDescent="0.25">
      <c r="A30" s="141"/>
      <c r="B30" s="151" t="s">
        <v>170</v>
      </c>
      <c r="C30" s="147">
        <f>SUM(C27:C29)</f>
        <v>2530317</v>
      </c>
      <c r="D30" s="147">
        <f>SUM(D27:D29)</f>
        <v>2150986</v>
      </c>
      <c r="E30" s="147">
        <f>+D30-C30</f>
        <v>-379331</v>
      </c>
      <c r="F30" s="148">
        <f>IF(C30=0,0,E30/C30)</f>
        <v>-0.14991441783776499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7668611</v>
      </c>
      <c r="D33" s="146">
        <v>4303066</v>
      </c>
      <c r="E33" s="146">
        <f>+D33-C33</f>
        <v>-3365545</v>
      </c>
      <c r="F33" s="150">
        <f>IF(C33=0,0,E33/C33)</f>
        <v>-0.43887282846919734</v>
      </c>
    </row>
    <row r="34" spans="1:7" ht="15" customHeight="1" x14ac:dyDescent="0.2">
      <c r="A34" s="141">
        <v>2</v>
      </c>
      <c r="B34" s="149" t="s">
        <v>174</v>
      </c>
      <c r="C34" s="146">
        <v>2214229</v>
      </c>
      <c r="D34" s="146">
        <v>2288424</v>
      </c>
      <c r="E34" s="146">
        <f>+D34-C34</f>
        <v>74195</v>
      </c>
      <c r="F34" s="150">
        <f>IF(C34=0,0,E34/C34)</f>
        <v>3.3508277599110119E-2</v>
      </c>
    </row>
    <row r="35" spans="1:7" ht="15.75" customHeight="1" x14ac:dyDescent="0.25">
      <c r="A35" s="141"/>
      <c r="B35" s="151" t="s">
        <v>175</v>
      </c>
      <c r="C35" s="147">
        <f>SUM(C33:C34)</f>
        <v>9882840</v>
      </c>
      <c r="D35" s="147">
        <f>SUM(D33:D34)</f>
        <v>6591490</v>
      </c>
      <c r="E35" s="147">
        <f>+D35-C35</f>
        <v>-3291350</v>
      </c>
      <c r="F35" s="148">
        <f>IF(C35=0,0,E35/C35)</f>
        <v>-0.33303685985000264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1157868</v>
      </c>
      <c r="D38" s="146">
        <v>1138435</v>
      </c>
      <c r="E38" s="146">
        <f>+D38-C38</f>
        <v>-19433</v>
      </c>
      <c r="F38" s="150">
        <f>IF(C38=0,0,E38/C38)</f>
        <v>-1.6783432999271073E-2</v>
      </c>
    </row>
    <row r="39" spans="1:7" ht="15" customHeight="1" x14ac:dyDescent="0.2">
      <c r="A39" s="141">
        <v>2</v>
      </c>
      <c r="B39" s="149" t="s">
        <v>179</v>
      </c>
      <c r="C39" s="146">
        <v>2001770</v>
      </c>
      <c r="D39" s="146">
        <v>1920846</v>
      </c>
      <c r="E39" s="146">
        <f>+D39-C39</f>
        <v>-80924</v>
      </c>
      <c r="F39" s="150">
        <f>IF(C39=0,0,E39/C39)</f>
        <v>-4.0426222792828349E-2</v>
      </c>
    </row>
    <row r="40" spans="1:7" ht="15" customHeight="1" x14ac:dyDescent="0.2">
      <c r="A40" s="141">
        <v>3</v>
      </c>
      <c r="B40" s="149" t="s">
        <v>180</v>
      </c>
      <c r="C40" s="146">
        <v>12498</v>
      </c>
      <c r="D40" s="146">
        <v>183981</v>
      </c>
      <c r="E40" s="146">
        <f>+D40-C40</f>
        <v>171483</v>
      </c>
      <c r="F40" s="150">
        <f>IF(C40=0,0,E40/C40)</f>
        <v>13.720835333653385</v>
      </c>
    </row>
    <row r="41" spans="1:7" ht="15.75" customHeight="1" x14ac:dyDescent="0.25">
      <c r="A41" s="141"/>
      <c r="B41" s="151" t="s">
        <v>181</v>
      </c>
      <c r="C41" s="147">
        <f>SUM(C38:C40)</f>
        <v>3172136</v>
      </c>
      <c r="D41" s="147">
        <f>SUM(D38:D40)</f>
        <v>3243262</v>
      </c>
      <c r="E41" s="147">
        <f>+D41-C41</f>
        <v>71126</v>
      </c>
      <c r="F41" s="148">
        <f>IF(C41=0,0,E41/C41)</f>
        <v>2.2422115571337421E-2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2544297</v>
      </c>
      <c r="D44" s="146">
        <v>2141072</v>
      </c>
      <c r="E44" s="146">
        <f>+D44-C44</f>
        <v>-403225</v>
      </c>
      <c r="F44" s="150">
        <f>IF(C44=0,0,E44/C44)</f>
        <v>-0.15848189106853486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592676</v>
      </c>
      <c r="D47" s="146">
        <v>1554402</v>
      </c>
      <c r="E47" s="146">
        <f>+D47-C47</f>
        <v>961726</v>
      </c>
      <c r="F47" s="150">
        <f>IF(C47=0,0,E47/C47)</f>
        <v>1.6226842321943187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322204</v>
      </c>
      <c r="D50" s="146">
        <v>729896</v>
      </c>
      <c r="E50" s="146">
        <f>+D50-C50</f>
        <v>407692</v>
      </c>
      <c r="F50" s="150">
        <f>IF(C50=0,0,E50/C50)</f>
        <v>1.265322590656851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36866</v>
      </c>
      <c r="D53" s="146">
        <v>28601</v>
      </c>
      <c r="E53" s="146">
        <f t="shared" ref="E53:E59" si="0">+D53-C53</f>
        <v>-8265</v>
      </c>
      <c r="F53" s="150">
        <f t="shared" ref="F53:F59" si="1">IF(C53=0,0,E53/C53)</f>
        <v>-0.22419031085553084</v>
      </c>
    </row>
    <row r="54" spans="1:7" ht="15" customHeight="1" x14ac:dyDescent="0.2">
      <c r="A54" s="141">
        <v>2</v>
      </c>
      <c r="B54" s="149" t="s">
        <v>193</v>
      </c>
      <c r="C54" s="146">
        <v>32021</v>
      </c>
      <c r="D54" s="146">
        <v>36764</v>
      </c>
      <c r="E54" s="146">
        <f t="shared" si="0"/>
        <v>4743</v>
      </c>
      <c r="F54" s="150">
        <f t="shared" si="1"/>
        <v>0.14812154523593893</v>
      </c>
    </row>
    <row r="55" spans="1:7" ht="15" customHeight="1" x14ac:dyDescent="0.2">
      <c r="A55" s="141">
        <v>3</v>
      </c>
      <c r="B55" s="149" t="s">
        <v>194</v>
      </c>
      <c r="C55" s="146">
        <v>500461</v>
      </c>
      <c r="D55" s="146">
        <v>638064</v>
      </c>
      <c r="E55" s="146">
        <f t="shared" si="0"/>
        <v>137603</v>
      </c>
      <c r="F55" s="150">
        <f t="shared" si="1"/>
        <v>0.27495249380071574</v>
      </c>
    </row>
    <row r="56" spans="1:7" ht="15" customHeight="1" x14ac:dyDescent="0.2">
      <c r="A56" s="141">
        <v>4</v>
      </c>
      <c r="B56" s="149" t="s">
        <v>195</v>
      </c>
      <c r="C56" s="146">
        <v>696544</v>
      </c>
      <c r="D56" s="146">
        <v>739527</v>
      </c>
      <c r="E56" s="146">
        <f t="shared" si="0"/>
        <v>42983</v>
      </c>
      <c r="F56" s="150">
        <f t="shared" si="1"/>
        <v>6.1708951624018009E-2</v>
      </c>
    </row>
    <row r="57" spans="1:7" ht="15" customHeight="1" x14ac:dyDescent="0.2">
      <c r="A57" s="141">
        <v>5</v>
      </c>
      <c r="B57" s="149" t="s">
        <v>196</v>
      </c>
      <c r="C57" s="146">
        <v>196481</v>
      </c>
      <c r="D57" s="146">
        <v>184383</v>
      </c>
      <c r="E57" s="146">
        <f t="shared" si="0"/>
        <v>-12098</v>
      </c>
      <c r="F57" s="150">
        <f t="shared" si="1"/>
        <v>-6.1573383685954365E-2</v>
      </c>
    </row>
    <row r="58" spans="1:7" ht="15" customHeight="1" x14ac:dyDescent="0.2">
      <c r="A58" s="141">
        <v>6</v>
      </c>
      <c r="B58" s="149" t="s">
        <v>197</v>
      </c>
      <c r="C58" s="146">
        <v>221376</v>
      </c>
      <c r="D58" s="146">
        <v>187590</v>
      </c>
      <c r="E58" s="146">
        <f t="shared" si="0"/>
        <v>-33786</v>
      </c>
      <c r="F58" s="150">
        <f t="shared" si="1"/>
        <v>-0.15261816999132696</v>
      </c>
    </row>
    <row r="59" spans="1:7" ht="15.75" customHeight="1" x14ac:dyDescent="0.25">
      <c r="A59" s="141"/>
      <c r="B59" s="151" t="s">
        <v>198</v>
      </c>
      <c r="C59" s="147">
        <f>SUM(C53:C58)</f>
        <v>1683749</v>
      </c>
      <c r="D59" s="147">
        <f>SUM(D53:D58)</f>
        <v>1814929</v>
      </c>
      <c r="E59" s="147">
        <f t="shared" si="0"/>
        <v>131180</v>
      </c>
      <c r="F59" s="148">
        <f t="shared" si="1"/>
        <v>7.7909474630719899E-2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89663</v>
      </c>
      <c r="D62" s="146">
        <v>97397</v>
      </c>
      <c r="E62" s="146">
        <f t="shared" ref="E62:E78" si="2">+D62-C62</f>
        <v>7734</v>
      </c>
      <c r="F62" s="150">
        <f t="shared" ref="F62:F78" si="3">IF(C62=0,0,E62/C62)</f>
        <v>8.6256315314009124E-2</v>
      </c>
    </row>
    <row r="63" spans="1:7" ht="15" customHeight="1" x14ac:dyDescent="0.2">
      <c r="A63" s="141">
        <v>2</v>
      </c>
      <c r="B63" s="149" t="s">
        <v>202</v>
      </c>
      <c r="C63" s="146">
        <v>1039029</v>
      </c>
      <c r="D63" s="146">
        <v>368431</v>
      </c>
      <c r="E63" s="146">
        <f t="shared" si="2"/>
        <v>-670598</v>
      </c>
      <c r="F63" s="150">
        <f t="shared" si="3"/>
        <v>-0.64540835722583301</v>
      </c>
    </row>
    <row r="64" spans="1:7" ht="15" customHeight="1" x14ac:dyDescent="0.2">
      <c r="A64" s="141">
        <v>3</v>
      </c>
      <c r="B64" s="149" t="s">
        <v>203</v>
      </c>
      <c r="C64" s="146">
        <v>4293016</v>
      </c>
      <c r="D64" s="146">
        <v>2190213</v>
      </c>
      <c r="E64" s="146">
        <f t="shared" si="2"/>
        <v>-2102803</v>
      </c>
      <c r="F64" s="150">
        <f t="shared" si="3"/>
        <v>-0.48981951150426645</v>
      </c>
    </row>
    <row r="65" spans="1:7" ht="15" customHeight="1" x14ac:dyDescent="0.2">
      <c r="A65" s="141">
        <v>4</v>
      </c>
      <c r="B65" s="149" t="s">
        <v>204</v>
      </c>
      <c r="C65" s="146">
        <v>157170</v>
      </c>
      <c r="D65" s="146">
        <v>138275</v>
      </c>
      <c r="E65" s="146">
        <f t="shared" si="2"/>
        <v>-18895</v>
      </c>
      <c r="F65" s="150">
        <f t="shared" si="3"/>
        <v>-0.12022014379334478</v>
      </c>
    </row>
    <row r="66" spans="1:7" ht="15" customHeight="1" x14ac:dyDescent="0.2">
      <c r="A66" s="141">
        <v>5</v>
      </c>
      <c r="B66" s="149" t="s">
        <v>205</v>
      </c>
      <c r="C66" s="146">
        <v>1280231</v>
      </c>
      <c r="D66" s="146">
        <v>1340979</v>
      </c>
      <c r="E66" s="146">
        <f t="shared" si="2"/>
        <v>60748</v>
      </c>
      <c r="F66" s="150">
        <f t="shared" si="3"/>
        <v>4.7450811611342014E-2</v>
      </c>
    </row>
    <row r="67" spans="1:7" ht="15" customHeight="1" x14ac:dyDescent="0.2">
      <c r="A67" s="141">
        <v>6</v>
      </c>
      <c r="B67" s="149" t="s">
        <v>206</v>
      </c>
      <c r="C67" s="146">
        <v>752637</v>
      </c>
      <c r="D67" s="146">
        <v>679745</v>
      </c>
      <c r="E67" s="146">
        <f t="shared" si="2"/>
        <v>-72892</v>
      </c>
      <c r="F67" s="150">
        <f t="shared" si="3"/>
        <v>-9.6848812907151791E-2</v>
      </c>
    </row>
    <row r="68" spans="1:7" ht="15" customHeight="1" x14ac:dyDescent="0.2">
      <c r="A68" s="141">
        <v>7</v>
      </c>
      <c r="B68" s="149" t="s">
        <v>207</v>
      </c>
      <c r="C68" s="146">
        <v>469780</v>
      </c>
      <c r="D68" s="146">
        <v>375203</v>
      </c>
      <c r="E68" s="146">
        <f t="shared" si="2"/>
        <v>-94577</v>
      </c>
      <c r="F68" s="150">
        <f t="shared" si="3"/>
        <v>-0.20132189535527267</v>
      </c>
    </row>
    <row r="69" spans="1:7" ht="15" customHeight="1" x14ac:dyDescent="0.2">
      <c r="A69" s="141">
        <v>8</v>
      </c>
      <c r="B69" s="149" t="s">
        <v>208</v>
      </c>
      <c r="C69" s="146">
        <v>148997</v>
      </c>
      <c r="D69" s="146">
        <v>136360</v>
      </c>
      <c r="E69" s="146">
        <f t="shared" si="2"/>
        <v>-12637</v>
      </c>
      <c r="F69" s="150">
        <f t="shared" si="3"/>
        <v>-8.48137881970778E-2</v>
      </c>
    </row>
    <row r="70" spans="1:7" ht="15" customHeight="1" x14ac:dyDescent="0.2">
      <c r="A70" s="141">
        <v>9</v>
      </c>
      <c r="B70" s="149" t="s">
        <v>209</v>
      </c>
      <c r="C70" s="146">
        <v>1880</v>
      </c>
      <c r="D70" s="146">
        <v>5516</v>
      </c>
      <c r="E70" s="146">
        <f t="shared" si="2"/>
        <v>3636</v>
      </c>
      <c r="F70" s="150">
        <f t="shared" si="3"/>
        <v>1.9340425531914893</v>
      </c>
    </row>
    <row r="71" spans="1:7" ht="15" customHeight="1" x14ac:dyDescent="0.2">
      <c r="A71" s="141">
        <v>10</v>
      </c>
      <c r="B71" s="149" t="s">
        <v>210</v>
      </c>
      <c r="C71" s="146">
        <v>65330</v>
      </c>
      <c r="D71" s="146">
        <v>85439</v>
      </c>
      <c r="E71" s="146">
        <f t="shared" si="2"/>
        <v>20109</v>
      </c>
      <c r="F71" s="150">
        <f t="shared" si="3"/>
        <v>0.30780652074085413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891594</v>
      </c>
      <c r="D73" s="146">
        <v>382914</v>
      </c>
      <c r="E73" s="146">
        <f t="shared" si="2"/>
        <v>-508680</v>
      </c>
      <c r="F73" s="150">
        <f t="shared" si="3"/>
        <v>-0.57052873841681306</v>
      </c>
    </row>
    <row r="74" spans="1:7" ht="15" customHeight="1" x14ac:dyDescent="0.2">
      <c r="A74" s="141">
        <v>13</v>
      </c>
      <c r="B74" s="149" t="s">
        <v>213</v>
      </c>
      <c r="C74" s="146">
        <v>71347</v>
      </c>
      <c r="D74" s="146">
        <v>136250</v>
      </c>
      <c r="E74" s="146">
        <f t="shared" si="2"/>
        <v>64903</v>
      </c>
      <c r="F74" s="150">
        <f t="shared" si="3"/>
        <v>0.90968085553702327</v>
      </c>
    </row>
    <row r="75" spans="1:7" ht="15" customHeight="1" x14ac:dyDescent="0.2">
      <c r="A75" s="141">
        <v>14</v>
      </c>
      <c r="B75" s="149" t="s">
        <v>214</v>
      </c>
      <c r="C75" s="146">
        <v>87686</v>
      </c>
      <c r="D75" s="146">
        <v>76079</v>
      </c>
      <c r="E75" s="146">
        <f t="shared" si="2"/>
        <v>-11607</v>
      </c>
      <c r="F75" s="150">
        <f t="shared" si="3"/>
        <v>-0.13237004767009558</v>
      </c>
    </row>
    <row r="76" spans="1:7" ht="15" customHeight="1" x14ac:dyDescent="0.2">
      <c r="A76" s="141">
        <v>15</v>
      </c>
      <c r="B76" s="149" t="s">
        <v>215</v>
      </c>
      <c r="C76" s="146">
        <v>128333</v>
      </c>
      <c r="D76" s="146">
        <v>148970</v>
      </c>
      <c r="E76" s="146">
        <f t="shared" si="2"/>
        <v>20637</v>
      </c>
      <c r="F76" s="150">
        <f t="shared" si="3"/>
        <v>0.16080820989145425</v>
      </c>
    </row>
    <row r="77" spans="1:7" ht="15" customHeight="1" x14ac:dyDescent="0.2">
      <c r="A77" s="141">
        <v>16</v>
      </c>
      <c r="B77" s="149" t="s">
        <v>216</v>
      </c>
      <c r="C77" s="146">
        <v>1940740</v>
      </c>
      <c r="D77" s="146">
        <v>3453815</v>
      </c>
      <c r="E77" s="146">
        <f t="shared" si="2"/>
        <v>1513075</v>
      </c>
      <c r="F77" s="150">
        <f t="shared" si="3"/>
        <v>0.77963817925121348</v>
      </c>
    </row>
    <row r="78" spans="1:7" ht="15.75" customHeight="1" x14ac:dyDescent="0.25">
      <c r="A78" s="141"/>
      <c r="B78" s="151" t="s">
        <v>217</v>
      </c>
      <c r="C78" s="147">
        <f>SUM(C62:C77)</f>
        <v>11417433</v>
      </c>
      <c r="D78" s="147">
        <f>SUM(D62:D77)</f>
        <v>9615586</v>
      </c>
      <c r="E78" s="147">
        <f t="shared" si="2"/>
        <v>-1801847</v>
      </c>
      <c r="F78" s="148">
        <f t="shared" si="3"/>
        <v>-0.15781542138237203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486670</v>
      </c>
      <c r="D81" s="146">
        <v>306032</v>
      </c>
      <c r="E81" s="146">
        <f>+D81-C81</f>
        <v>-180638</v>
      </c>
      <c r="F81" s="150">
        <f>IF(C81=0,0,E81/C81)</f>
        <v>-0.37117143033266897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67684735</v>
      </c>
      <c r="D83" s="147">
        <f>+D81+D78+D59+D50+D47+D44+D41+D35+D30+D24+D18</f>
        <v>61306385</v>
      </c>
      <c r="E83" s="147">
        <f>+D83-C83</f>
        <v>-6378350</v>
      </c>
      <c r="F83" s="148">
        <f>IF(C83=0,0,E83/C83)</f>
        <v>-9.4236167135765547E-2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660" t="s">
        <v>983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4474045</v>
      </c>
      <c r="D91" s="146">
        <v>4319037</v>
      </c>
      <c r="E91" s="146">
        <f t="shared" ref="E91:E109" si="4">D91-C91</f>
        <v>-155008</v>
      </c>
      <c r="F91" s="150">
        <f t="shared" ref="F91:F109" si="5">IF(C91=0,0,E91/C91)</f>
        <v>-3.4646052956552736E-2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689034</v>
      </c>
      <c r="D92" s="146">
        <v>616460</v>
      </c>
      <c r="E92" s="146">
        <f t="shared" si="4"/>
        <v>-72574</v>
      </c>
      <c r="F92" s="150">
        <f t="shared" si="5"/>
        <v>-0.10532716818038007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1704917</v>
      </c>
      <c r="D93" s="146">
        <v>1327083</v>
      </c>
      <c r="E93" s="146">
        <f t="shared" si="4"/>
        <v>-377834</v>
      </c>
      <c r="F93" s="150">
        <f t="shared" si="5"/>
        <v>-0.22161430732405155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998265</v>
      </c>
      <c r="D94" s="146">
        <v>885526</v>
      </c>
      <c r="E94" s="146">
        <f t="shared" si="4"/>
        <v>-112739</v>
      </c>
      <c r="F94" s="150">
        <f t="shared" si="5"/>
        <v>-0.11293494212458616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1842538</v>
      </c>
      <c r="D95" s="146">
        <v>1922903</v>
      </c>
      <c r="E95" s="146">
        <f t="shared" si="4"/>
        <v>80365</v>
      </c>
      <c r="F95" s="150">
        <f t="shared" si="5"/>
        <v>4.361646815425245E-2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179520</v>
      </c>
      <c r="D96" s="146">
        <v>164503</v>
      </c>
      <c r="E96" s="146">
        <f t="shared" si="4"/>
        <v>-15017</v>
      </c>
      <c r="F96" s="150">
        <f t="shared" si="5"/>
        <v>-8.3650846702317289E-2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8321692</v>
      </c>
      <c r="D97" s="146">
        <v>6714695</v>
      </c>
      <c r="E97" s="146">
        <f t="shared" si="4"/>
        <v>-1606997</v>
      </c>
      <c r="F97" s="150">
        <f t="shared" si="5"/>
        <v>-0.19310940611596777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289963</v>
      </c>
      <c r="D98" s="146">
        <v>359345</v>
      </c>
      <c r="E98" s="146">
        <f t="shared" si="4"/>
        <v>69382</v>
      </c>
      <c r="F98" s="150">
        <f t="shared" si="5"/>
        <v>0.2392788045371306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376197</v>
      </c>
      <c r="D99" s="146">
        <v>226159</v>
      </c>
      <c r="E99" s="146">
        <f t="shared" si="4"/>
        <v>-150038</v>
      </c>
      <c r="F99" s="150">
        <f t="shared" si="5"/>
        <v>-0.39882827348437122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619794</v>
      </c>
      <c r="D100" s="146">
        <v>576280</v>
      </c>
      <c r="E100" s="146">
        <f t="shared" si="4"/>
        <v>-43514</v>
      </c>
      <c r="F100" s="150">
        <f t="shared" si="5"/>
        <v>-7.0207197875423122E-2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718735</v>
      </c>
      <c r="D101" s="146">
        <v>689074</v>
      </c>
      <c r="E101" s="146">
        <f t="shared" si="4"/>
        <v>-29661</v>
      </c>
      <c r="F101" s="150">
        <f t="shared" si="5"/>
        <v>-4.126833951317245E-2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280700</v>
      </c>
      <c r="D102" s="146">
        <v>260513</v>
      </c>
      <c r="E102" s="146">
        <f t="shared" si="4"/>
        <v>-20187</v>
      </c>
      <c r="F102" s="150">
        <f t="shared" si="5"/>
        <v>-7.1916636978981124E-2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1505095</v>
      </c>
      <c r="D103" s="146">
        <v>1682836</v>
      </c>
      <c r="E103" s="146">
        <f t="shared" si="4"/>
        <v>177741</v>
      </c>
      <c r="F103" s="150">
        <f t="shared" si="5"/>
        <v>0.11809287785820828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160811</v>
      </c>
      <c r="D104" s="146">
        <v>163447</v>
      </c>
      <c r="E104" s="146">
        <f t="shared" si="4"/>
        <v>2636</v>
      </c>
      <c r="F104" s="150">
        <f t="shared" si="5"/>
        <v>1.639191348850514E-2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857813</v>
      </c>
      <c r="D105" s="146">
        <v>715838</v>
      </c>
      <c r="E105" s="146">
        <f t="shared" si="4"/>
        <v>-141975</v>
      </c>
      <c r="F105" s="150">
        <f t="shared" si="5"/>
        <v>-0.16550810025028764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185163</v>
      </c>
      <c r="D106" s="146">
        <v>184990</v>
      </c>
      <c r="E106" s="146">
        <f t="shared" si="4"/>
        <v>-173</v>
      </c>
      <c r="F106" s="150">
        <f t="shared" si="5"/>
        <v>-9.3431193056928217E-4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3043300</v>
      </c>
      <c r="D107" s="146">
        <v>2871144</v>
      </c>
      <c r="E107" s="146">
        <f t="shared" si="4"/>
        <v>-172156</v>
      </c>
      <c r="F107" s="150">
        <f t="shared" si="5"/>
        <v>-5.6568856175861729E-2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5003442</v>
      </c>
      <c r="D108" s="146">
        <v>4363595</v>
      </c>
      <c r="E108" s="146">
        <f t="shared" si="4"/>
        <v>-639847</v>
      </c>
      <c r="F108" s="150">
        <f t="shared" si="5"/>
        <v>-0.1278813664673239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31251024</v>
      </c>
      <c r="D109" s="147">
        <f>SUM(D91:D108)</f>
        <v>28043428</v>
      </c>
      <c r="E109" s="147">
        <f t="shared" si="4"/>
        <v>-3207596</v>
      </c>
      <c r="F109" s="148">
        <f t="shared" si="5"/>
        <v>-0.10263970870202525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1130863</v>
      </c>
      <c r="D112" s="146">
        <v>989513</v>
      </c>
      <c r="E112" s="146">
        <f t="shared" ref="E112:E118" si="6">D112-C112</f>
        <v>-141350</v>
      </c>
      <c r="F112" s="150">
        <f t="shared" ref="F112:F118" si="7">IF(C112=0,0,E112/C112)</f>
        <v>-0.1249930362917524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901942</v>
      </c>
      <c r="D114" s="146">
        <v>621159</v>
      </c>
      <c r="E114" s="146">
        <f t="shared" si="6"/>
        <v>-280783</v>
      </c>
      <c r="F114" s="150">
        <f t="shared" si="7"/>
        <v>-0.31130937466045489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1083554</v>
      </c>
      <c r="D115" s="146">
        <v>974845</v>
      </c>
      <c r="E115" s="146">
        <f t="shared" si="6"/>
        <v>-108709</v>
      </c>
      <c r="F115" s="150">
        <f t="shared" si="7"/>
        <v>-0.10032633352837053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16076</v>
      </c>
      <c r="D116" s="146">
        <v>0</v>
      </c>
      <c r="E116" s="146">
        <f t="shared" si="6"/>
        <v>-16076</v>
      </c>
      <c r="F116" s="150">
        <f t="shared" si="7"/>
        <v>-1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3132435</v>
      </c>
      <c r="D118" s="147">
        <f>SUM(D112:D117)</f>
        <v>2585517</v>
      </c>
      <c r="E118" s="147">
        <f t="shared" si="6"/>
        <v>-546918</v>
      </c>
      <c r="F118" s="148">
        <f t="shared" si="7"/>
        <v>-0.17459835559237463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2185169</v>
      </c>
      <c r="D121" s="146">
        <v>1959248</v>
      </c>
      <c r="E121" s="146">
        <f t="shared" ref="E121:E155" si="8">D121-C121</f>
        <v>-225921</v>
      </c>
      <c r="F121" s="150">
        <f t="shared" ref="F121:F155" si="9">IF(C121=0,0,E121/C121)</f>
        <v>-0.10338834204585549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338446</v>
      </c>
      <c r="D122" s="146">
        <v>323426</v>
      </c>
      <c r="E122" s="146">
        <f t="shared" si="8"/>
        <v>-15020</v>
      </c>
      <c r="F122" s="150">
        <f t="shared" si="9"/>
        <v>-4.4379310141056477E-2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324625</v>
      </c>
      <c r="D123" s="146">
        <v>466607</v>
      </c>
      <c r="E123" s="146">
        <f t="shared" si="8"/>
        <v>141982</v>
      </c>
      <c r="F123" s="150">
        <f t="shared" si="9"/>
        <v>0.43737235271467079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1787960</v>
      </c>
      <c r="D125" s="146">
        <v>1976367</v>
      </c>
      <c r="E125" s="146">
        <f t="shared" si="8"/>
        <v>188407</v>
      </c>
      <c r="F125" s="150">
        <f t="shared" si="9"/>
        <v>0.10537539989708943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275747</v>
      </c>
      <c r="D126" s="146">
        <v>344887</v>
      </c>
      <c r="E126" s="146">
        <f t="shared" si="8"/>
        <v>69140</v>
      </c>
      <c r="F126" s="150">
        <f t="shared" si="9"/>
        <v>0.25073708870812739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485951</v>
      </c>
      <c r="D128" s="146">
        <v>466507</v>
      </c>
      <c r="E128" s="146">
        <f t="shared" si="8"/>
        <v>-19444</v>
      </c>
      <c r="F128" s="150">
        <f t="shared" si="9"/>
        <v>-4.0012264611041029E-2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348040</v>
      </c>
      <c r="D129" s="146">
        <v>466868</v>
      </c>
      <c r="E129" s="146">
        <f t="shared" si="8"/>
        <v>118828</v>
      </c>
      <c r="F129" s="150">
        <f t="shared" si="9"/>
        <v>0.34142052637627857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3581311</v>
      </c>
      <c r="D130" s="146">
        <v>3310964</v>
      </c>
      <c r="E130" s="146">
        <f t="shared" si="8"/>
        <v>-270347</v>
      </c>
      <c r="F130" s="150">
        <f t="shared" si="9"/>
        <v>-7.5488277895999531E-2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284301</v>
      </c>
      <c r="D132" s="146">
        <v>240061</v>
      </c>
      <c r="E132" s="146">
        <f t="shared" si="8"/>
        <v>-44240</v>
      </c>
      <c r="F132" s="150">
        <f t="shared" si="9"/>
        <v>-0.15560972349727928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60519</v>
      </c>
      <c r="D133" s="146">
        <v>63805</v>
      </c>
      <c r="E133" s="146">
        <f t="shared" si="8"/>
        <v>3286</v>
      </c>
      <c r="F133" s="150">
        <f t="shared" si="9"/>
        <v>5.4296997637105701E-2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19709</v>
      </c>
      <c r="D134" s="146">
        <v>27958</v>
      </c>
      <c r="E134" s="146">
        <f t="shared" si="8"/>
        <v>8249</v>
      </c>
      <c r="F134" s="150">
        <f t="shared" si="9"/>
        <v>0.41853975341214672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672258</v>
      </c>
      <c r="D138" s="146">
        <v>695295</v>
      </c>
      <c r="E138" s="146">
        <f t="shared" si="8"/>
        <v>23037</v>
      </c>
      <c r="F138" s="150">
        <f t="shared" si="9"/>
        <v>3.4268093499817034E-2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380093</v>
      </c>
      <c r="D139" s="146">
        <v>398414</v>
      </c>
      <c r="E139" s="146">
        <f t="shared" si="8"/>
        <v>18321</v>
      </c>
      <c r="F139" s="150">
        <f t="shared" si="9"/>
        <v>4.8201361245800371E-2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125244</v>
      </c>
      <c r="D140" s="146">
        <v>112051</v>
      </c>
      <c r="E140" s="146">
        <f t="shared" si="8"/>
        <v>-13193</v>
      </c>
      <c r="F140" s="150">
        <f t="shared" si="9"/>
        <v>-0.1053383794832487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221120</v>
      </c>
      <c r="D142" s="146">
        <v>207914</v>
      </c>
      <c r="E142" s="146">
        <f t="shared" si="8"/>
        <v>-13206</v>
      </c>
      <c r="F142" s="150">
        <f t="shared" si="9"/>
        <v>-5.9723227206946457E-2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141738</v>
      </c>
      <c r="D143" s="146">
        <v>130633</v>
      </c>
      <c r="E143" s="146">
        <f t="shared" si="8"/>
        <v>-11105</v>
      </c>
      <c r="F143" s="150">
        <f t="shared" si="9"/>
        <v>-7.8348784376807909E-2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4029715</v>
      </c>
      <c r="D144" s="146">
        <v>3159944</v>
      </c>
      <c r="E144" s="146">
        <f t="shared" si="8"/>
        <v>-869771</v>
      </c>
      <c r="F144" s="150">
        <f t="shared" si="9"/>
        <v>-0.21583933355088386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515525</v>
      </c>
      <c r="D145" s="146">
        <v>657362</v>
      </c>
      <c r="E145" s="146">
        <f t="shared" si="8"/>
        <v>141837</v>
      </c>
      <c r="F145" s="150">
        <f t="shared" si="9"/>
        <v>0.27513117695553074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390873</v>
      </c>
      <c r="D152" s="146">
        <v>398460</v>
      </c>
      <c r="E152" s="146">
        <f t="shared" si="8"/>
        <v>7587</v>
      </c>
      <c r="F152" s="150">
        <f t="shared" si="9"/>
        <v>1.9410396727325755E-2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2095420</v>
      </c>
      <c r="D154" s="146">
        <v>2069317</v>
      </c>
      <c r="E154" s="146">
        <f t="shared" si="8"/>
        <v>-26103</v>
      </c>
      <c r="F154" s="150">
        <f t="shared" si="9"/>
        <v>-1.2457168491280984E-2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18263764</v>
      </c>
      <c r="D155" s="147">
        <f>SUM(D121:D154)</f>
        <v>17476088</v>
      </c>
      <c r="E155" s="147">
        <f t="shared" si="8"/>
        <v>-787676</v>
      </c>
      <c r="F155" s="148">
        <f t="shared" si="9"/>
        <v>-4.312780213322949E-2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3956145</v>
      </c>
      <c r="D158" s="146">
        <v>3716172</v>
      </c>
      <c r="E158" s="146">
        <f t="shared" ref="E158:E171" si="10">D158-C158</f>
        <v>-239973</v>
      </c>
      <c r="F158" s="150">
        <f t="shared" ref="F158:F171" si="11">IF(C158=0,0,E158/C158)</f>
        <v>-6.0658292352782819E-2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1625113</v>
      </c>
      <c r="D159" s="146">
        <v>1410442</v>
      </c>
      <c r="E159" s="146">
        <f t="shared" si="10"/>
        <v>-214671</v>
      </c>
      <c r="F159" s="150">
        <f t="shared" si="11"/>
        <v>-0.13209604501348521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2228301</v>
      </c>
      <c r="D161" s="146">
        <v>2187415</v>
      </c>
      <c r="E161" s="146">
        <f t="shared" si="10"/>
        <v>-40886</v>
      </c>
      <c r="F161" s="150">
        <f t="shared" si="11"/>
        <v>-1.8348508572226103E-2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1203403</v>
      </c>
      <c r="D163" s="146">
        <v>1140247</v>
      </c>
      <c r="E163" s="146">
        <f t="shared" si="10"/>
        <v>-63156</v>
      </c>
      <c r="F163" s="150">
        <f t="shared" si="11"/>
        <v>-5.2481172142665428E-2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2438765</v>
      </c>
      <c r="D167" s="146">
        <v>2606004</v>
      </c>
      <c r="E167" s="146">
        <f t="shared" si="10"/>
        <v>167239</v>
      </c>
      <c r="F167" s="150">
        <f t="shared" si="11"/>
        <v>6.8575282981345062E-2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11451727</v>
      </c>
      <c r="D171" s="147">
        <f>SUM(D158:D170)</f>
        <v>11060280</v>
      </c>
      <c r="E171" s="147">
        <f t="shared" si="10"/>
        <v>-391447</v>
      </c>
      <c r="F171" s="148">
        <f t="shared" si="11"/>
        <v>-3.4182355202844079E-2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3585785</v>
      </c>
      <c r="D174" s="146">
        <v>2141072</v>
      </c>
      <c r="E174" s="146">
        <f>D174-C174</f>
        <v>-1444713</v>
      </c>
      <c r="F174" s="150">
        <f>IF(C174=0,0,E174/C174)</f>
        <v>-0.40290006232944808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67684735</v>
      </c>
      <c r="D176" s="147">
        <f>+D174+D171+D155+D118+D109</f>
        <v>61306385</v>
      </c>
      <c r="E176" s="147">
        <f>D176-C176</f>
        <v>-6378350</v>
      </c>
      <c r="F176" s="148">
        <f>IF(C176=0,0,E176/C176)</f>
        <v>-9.4236167135765547E-2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660" t="s">
        <v>984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FILING&amp;RJOHNSON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62785887</v>
      </c>
      <c r="D11" s="164">
        <v>61336304</v>
      </c>
      <c r="E11" s="51">
        <v>59791753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54542</v>
      </c>
      <c r="D12" s="49">
        <v>252845</v>
      </c>
      <c r="E12" s="49">
        <v>60758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62840429</v>
      </c>
      <c r="D13" s="51">
        <f>+D11+D12</f>
        <v>61589149</v>
      </c>
      <c r="E13" s="51">
        <f>+E11+E12</f>
        <v>59852511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66396980</v>
      </c>
      <c r="D14" s="49">
        <v>67684735</v>
      </c>
      <c r="E14" s="49">
        <v>61306385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-3556551</v>
      </c>
      <c r="D15" s="51">
        <f>+D13-D14</f>
        <v>-6095586</v>
      </c>
      <c r="E15" s="51">
        <f>+E13-E14</f>
        <v>-1453874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-2288430</v>
      </c>
      <c r="D16" s="49">
        <v>33467213</v>
      </c>
      <c r="E16" s="49">
        <v>1205826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-5844981</v>
      </c>
      <c r="D17" s="51">
        <f>D15+D16</f>
        <v>27371627</v>
      </c>
      <c r="E17" s="51">
        <f>E15+E16</f>
        <v>-248048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-5.873548452132852E-2</v>
      </c>
      <c r="D20" s="169">
        <f>IF(+D27=0,0,+D24/+D27)</f>
        <v>-6.4126018203810489E-2</v>
      </c>
      <c r="E20" s="169">
        <f>IF(+E27=0,0,+E24/+E27)</f>
        <v>-2.3811228268467252E-2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-3.779280680725338E-2</v>
      </c>
      <c r="D21" s="169">
        <f>IF(D27=0,0,+D26/D27)</f>
        <v>0.35207757056808042</v>
      </c>
      <c r="E21" s="169">
        <f>IF(E27=0,0,+E26/E27)</f>
        <v>1.9748752737893924E-2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-9.65282913285819E-2</v>
      </c>
      <c r="D22" s="169">
        <f>IF(D27=0,0,+D28/D27)</f>
        <v>0.28795155236426995</v>
      </c>
      <c r="E22" s="169">
        <f>IF(E27=0,0,+E28/E27)</f>
        <v>-4.0624755305733269E-3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-3556551</v>
      </c>
      <c r="D24" s="51">
        <f>+D15</f>
        <v>-6095586</v>
      </c>
      <c r="E24" s="51">
        <f>+E15</f>
        <v>-1453874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62840429</v>
      </c>
      <c r="D25" s="51">
        <f>+D13</f>
        <v>61589149</v>
      </c>
      <c r="E25" s="51">
        <f>+E13</f>
        <v>59852511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-2288430</v>
      </c>
      <c r="D26" s="51">
        <f>+D16</f>
        <v>33467213</v>
      </c>
      <c r="E26" s="51">
        <f>+E16</f>
        <v>1205826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60551999</v>
      </c>
      <c r="D27" s="51">
        <f>+D25+D26</f>
        <v>95056362</v>
      </c>
      <c r="E27" s="51">
        <f>+E25+E26</f>
        <v>61058337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-5844981</v>
      </c>
      <c r="D28" s="51">
        <f>+D17</f>
        <v>27371627</v>
      </c>
      <c r="E28" s="51">
        <f>+E17</f>
        <v>-248048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-20718900</v>
      </c>
      <c r="D31" s="51">
        <v>4607135</v>
      </c>
      <c r="E31" s="51">
        <v>4285194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-16710766</v>
      </c>
      <c r="D32" s="51">
        <v>8733965</v>
      </c>
      <c r="E32" s="51">
        <v>8616119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-20941308</v>
      </c>
      <c r="D33" s="51">
        <f>+D32-C32</f>
        <v>25444731</v>
      </c>
      <c r="E33" s="51">
        <f>+E32-D32</f>
        <v>-117846</v>
      </c>
      <c r="F33" s="5"/>
    </row>
    <row r="34" spans="1:6" ht="24" customHeight="1" x14ac:dyDescent="0.2">
      <c r="A34" s="25">
        <v>4</v>
      </c>
      <c r="B34" s="48" t="s">
        <v>318</v>
      </c>
      <c r="C34" s="171">
        <v>-3.95</v>
      </c>
      <c r="D34" s="171">
        <f>IF(C32=0,0,+D33/C32)</f>
        <v>-1.522654975840126</v>
      </c>
      <c r="E34" s="171">
        <f>IF(D32=0,0,+E33/D32)</f>
        <v>-1.3492840880401971E-2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0.35182259499504337</v>
      </c>
      <c r="D38" s="172">
        <f>IF((D40+D41)=0,0,+D39/(D40+D41))</f>
        <v>0.44543777534032608</v>
      </c>
      <c r="E38" s="172">
        <f>IF((E40+E41)=0,0,+E39/(E40+E41))</f>
        <v>0.4087300676673159</v>
      </c>
      <c r="F38" s="5"/>
    </row>
    <row r="39" spans="1:6" ht="24" customHeight="1" x14ac:dyDescent="0.2">
      <c r="A39" s="21">
        <v>2</v>
      </c>
      <c r="B39" s="48" t="s">
        <v>322</v>
      </c>
      <c r="C39" s="51">
        <v>69149506</v>
      </c>
      <c r="D39" s="51">
        <v>67684735</v>
      </c>
      <c r="E39" s="23">
        <v>61306385</v>
      </c>
      <c r="F39" s="5"/>
    </row>
    <row r="40" spans="1:6" ht="24" customHeight="1" x14ac:dyDescent="0.2">
      <c r="A40" s="21">
        <v>3</v>
      </c>
      <c r="B40" s="48" t="s">
        <v>323</v>
      </c>
      <c r="C40" s="51">
        <v>195594535</v>
      </c>
      <c r="D40" s="51">
        <v>151379867</v>
      </c>
      <c r="E40" s="23">
        <v>148782545</v>
      </c>
      <c r="F40" s="5"/>
    </row>
    <row r="41" spans="1:6" ht="24" customHeight="1" x14ac:dyDescent="0.2">
      <c r="A41" s="21">
        <v>4</v>
      </c>
      <c r="B41" s="48" t="s">
        <v>324</v>
      </c>
      <c r="C41" s="51">
        <v>951983</v>
      </c>
      <c r="D41" s="51">
        <v>571177</v>
      </c>
      <c r="E41" s="23">
        <v>1209809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1.2745041072059999</v>
      </c>
      <c r="D43" s="173">
        <f>IF(D38=0,0,IF((D46-D47)=0,0,((+D44-D45)/(D46-D47)/D38)))</f>
        <v>1.2772621332843792</v>
      </c>
      <c r="E43" s="173">
        <f>IF(E38=0,0,IF((E46-E47)=0,0,((+E44-E45)/(E46-E47)/E38)))</f>
        <v>1.3591083822866248</v>
      </c>
      <c r="F43" s="5"/>
    </row>
    <row r="44" spans="1:6" ht="24" customHeight="1" x14ac:dyDescent="0.2">
      <c r="A44" s="21">
        <v>6</v>
      </c>
      <c r="B44" s="48" t="s">
        <v>326</v>
      </c>
      <c r="C44" s="51">
        <v>37610322</v>
      </c>
      <c r="D44" s="51">
        <v>34911509</v>
      </c>
      <c r="E44" s="23">
        <v>31234890</v>
      </c>
      <c r="F44" s="5"/>
    </row>
    <row r="45" spans="1:6" ht="24" customHeight="1" x14ac:dyDescent="0.2">
      <c r="A45" s="21">
        <v>7</v>
      </c>
      <c r="B45" s="48" t="s">
        <v>327</v>
      </c>
      <c r="C45" s="51">
        <v>818543</v>
      </c>
      <c r="D45" s="51">
        <v>221346</v>
      </c>
      <c r="E45" s="23">
        <v>203253</v>
      </c>
      <c r="F45" s="5"/>
    </row>
    <row r="46" spans="1:6" ht="24" customHeight="1" x14ac:dyDescent="0.2">
      <c r="A46" s="21">
        <v>8</v>
      </c>
      <c r="B46" s="48" t="s">
        <v>328</v>
      </c>
      <c r="C46" s="51">
        <v>89500134</v>
      </c>
      <c r="D46" s="51">
        <v>64019333</v>
      </c>
      <c r="E46" s="23">
        <v>58453607</v>
      </c>
      <c r="F46" s="5"/>
    </row>
    <row r="47" spans="1:6" ht="24" customHeight="1" x14ac:dyDescent="0.2">
      <c r="A47" s="21">
        <v>9</v>
      </c>
      <c r="B47" s="48" t="s">
        <v>329</v>
      </c>
      <c r="C47" s="51">
        <v>7448767</v>
      </c>
      <c r="D47" s="51">
        <v>3046095</v>
      </c>
      <c r="E47" s="174">
        <v>2591925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0.70950920803423034</v>
      </c>
      <c r="D49" s="175">
        <f>IF(D38=0,0,IF(D51=0,0,(D50/D51)/D38))</f>
        <v>0.6984209382851676</v>
      </c>
      <c r="E49" s="175">
        <f>IF(E38=0,0,IF(E51=0,0,(E50/E51)/E38))</f>
        <v>0.78430837454431857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21800296</v>
      </c>
      <c r="D50" s="176">
        <v>21517044</v>
      </c>
      <c r="E50" s="176">
        <v>22030836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87333452</v>
      </c>
      <c r="D51" s="176">
        <v>69163715</v>
      </c>
      <c r="E51" s="176">
        <v>68723859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0.68859931098054583</v>
      </c>
      <c r="D53" s="175">
        <f>IF(D38=0,0,IF(D55=0,0,(D54/D55)/D38))</f>
        <v>0.60969577331313718</v>
      </c>
      <c r="E53" s="175">
        <f>IF(E38=0,0,IF(E55=0,0,(E54/E55)/E38))</f>
        <v>0.65468459254202682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3570399</v>
      </c>
      <c r="D54" s="176">
        <v>4270748</v>
      </c>
      <c r="E54" s="176">
        <v>5516654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14737589</v>
      </c>
      <c r="D55" s="176">
        <v>15725473</v>
      </c>
      <c r="E55" s="176">
        <v>20616125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2945377.8461016542</v>
      </c>
      <c r="D57" s="53">
        <f>+D60*D38</f>
        <v>1258249.9104548108</v>
      </c>
      <c r="E57" s="53">
        <f>+E60*E38</f>
        <v>1065513.5086411138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559676</v>
      </c>
      <c r="D58" s="51">
        <v>280655</v>
      </c>
      <c r="E58" s="52">
        <v>465816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7812094</v>
      </c>
      <c r="D59" s="51">
        <v>2544094</v>
      </c>
      <c r="E59" s="52">
        <v>2141072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8371770</v>
      </c>
      <c r="D60" s="51">
        <v>2824749</v>
      </c>
      <c r="E60" s="52">
        <v>2606888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4.2594344001555907E-2</v>
      </c>
      <c r="D62" s="178">
        <f>IF(D63=0,0,+D57/D63)</f>
        <v>1.8589862403314585E-2</v>
      </c>
      <c r="E62" s="178">
        <f>IF(E63=0,0,+E57/E63)</f>
        <v>1.7380139256965056E-2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69149506</v>
      </c>
      <c r="D63" s="176">
        <v>67684735</v>
      </c>
      <c r="E63" s="176">
        <v>61306385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1.9182051029061178</v>
      </c>
      <c r="D67" s="179">
        <f>IF(D69=0,0,D68/D69)</f>
        <v>0.8914769301120341</v>
      </c>
      <c r="E67" s="179">
        <f>IF(E69=0,0,E68/E69)</f>
        <v>0.9488691238385375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14386615</v>
      </c>
      <c r="D68" s="180">
        <v>14621336</v>
      </c>
      <c r="E68" s="180">
        <v>11445823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7500040</v>
      </c>
      <c r="D69" s="180">
        <v>16401250</v>
      </c>
      <c r="E69" s="180">
        <v>12062594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17.454363889551875</v>
      </c>
      <c r="D71" s="181">
        <f>IF((D77/365)=0,0,+D74/(D77/365))</f>
        <v>23.436027743976027</v>
      </c>
      <c r="E71" s="181">
        <f>IF((E77/365)=0,0,+E74/(E77/365))</f>
        <v>5.5626440382822677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3033010</v>
      </c>
      <c r="D72" s="182">
        <v>4142244</v>
      </c>
      <c r="E72" s="182">
        <v>884889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3033010</v>
      </c>
      <c r="D74" s="180">
        <f>+D72+D73</f>
        <v>4142244</v>
      </c>
      <c r="E74" s="180">
        <f>+E72+E73</f>
        <v>884889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66396980</v>
      </c>
      <c r="D75" s="180">
        <f>+D14</f>
        <v>67684735</v>
      </c>
      <c r="E75" s="180">
        <f>+E14</f>
        <v>61306385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2971658</v>
      </c>
      <c r="D76" s="180">
        <v>3172136</v>
      </c>
      <c r="E76" s="180">
        <v>3243262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63425322</v>
      </c>
      <c r="D77" s="180">
        <f>+D75-D76</f>
        <v>64512599</v>
      </c>
      <c r="E77" s="180">
        <f>+E75-E76</f>
        <v>58063123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42.716628101471272</v>
      </c>
      <c r="D79" s="179">
        <f>IF((D84/365)=0,0,+D83/(D84/365))</f>
        <v>40.454678276669561</v>
      </c>
      <c r="E79" s="179">
        <f>IF((E84/365)=0,0,+E83/(E84/365))</f>
        <v>36.322790034271115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8626274</v>
      </c>
      <c r="D80" s="189">
        <v>7869668</v>
      </c>
      <c r="E80" s="189">
        <v>7216450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1278325</v>
      </c>
      <c r="D82" s="190">
        <v>1071475</v>
      </c>
      <c r="E82" s="190">
        <v>1266304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7347949</v>
      </c>
      <c r="D83" s="191">
        <f>+D80+D81-D82</f>
        <v>6798193</v>
      </c>
      <c r="E83" s="191">
        <f>+E80+E81-E82</f>
        <v>5950146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62785887</v>
      </c>
      <c r="D84" s="191">
        <f>+D11</f>
        <v>61336304</v>
      </c>
      <c r="E84" s="191">
        <f>+E11</f>
        <v>59791753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43.161225101860737</v>
      </c>
      <c r="D86" s="179">
        <f>IF((D90/365)=0,0,+D87/(D90/365))</f>
        <v>92.795149207986483</v>
      </c>
      <c r="E86" s="179">
        <f>IF((E90/365)=0,0,+E87/(E90/365))</f>
        <v>75.828625511583311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7500040</v>
      </c>
      <c r="D87" s="51">
        <f>+D69</f>
        <v>16401250</v>
      </c>
      <c r="E87" s="51">
        <f>+E69</f>
        <v>12062594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66396980</v>
      </c>
      <c r="D88" s="51">
        <f t="shared" si="0"/>
        <v>67684735</v>
      </c>
      <c r="E88" s="51">
        <f t="shared" si="0"/>
        <v>61306385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2971658</v>
      </c>
      <c r="D89" s="52">
        <f t="shared" si="0"/>
        <v>3172136</v>
      </c>
      <c r="E89" s="52">
        <f t="shared" si="0"/>
        <v>3243262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63425322</v>
      </c>
      <c r="D90" s="51">
        <f>+D88-D89</f>
        <v>64512599</v>
      </c>
      <c r="E90" s="51">
        <f>+E88-E89</f>
        <v>58063123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-35.561077756424844</v>
      </c>
      <c r="D94" s="192">
        <f>IF(D96=0,0,(D95/D96)*100)</f>
        <v>18.621297408597503</v>
      </c>
      <c r="E94" s="192">
        <f>IF(E96=0,0,(E95/E96)*100)</f>
        <v>20.867319153730488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-16710766</v>
      </c>
      <c r="D95" s="51">
        <f>+D32</f>
        <v>8733965</v>
      </c>
      <c r="E95" s="51">
        <f>+E32</f>
        <v>8616119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46991731</v>
      </c>
      <c r="D96" s="51">
        <v>46903096</v>
      </c>
      <c r="E96" s="51">
        <v>41290014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-14.123833366349142</v>
      </c>
      <c r="D98" s="192">
        <f>IF(D104=0,0,(D101/D104)*100)</f>
        <v>105.67861949658335</v>
      </c>
      <c r="E98" s="192">
        <f>IF(E104=0,0,(E101/E104)*100)</f>
        <v>12.366010738297593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-5844981</v>
      </c>
      <c r="D99" s="51">
        <f>+D28</f>
        <v>27371627</v>
      </c>
      <c r="E99" s="51">
        <f>+E28</f>
        <v>-248048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2971658</v>
      </c>
      <c r="D100" s="52">
        <f>+D76</f>
        <v>3172136</v>
      </c>
      <c r="E100" s="52">
        <f>+E76</f>
        <v>3243262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-2873323</v>
      </c>
      <c r="D101" s="51">
        <f>+D99+D100</f>
        <v>30543763</v>
      </c>
      <c r="E101" s="51">
        <f>+E99+E100</f>
        <v>2995214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7500040</v>
      </c>
      <c r="D102" s="180">
        <f>+D69</f>
        <v>16401250</v>
      </c>
      <c r="E102" s="180">
        <f>+E69</f>
        <v>12062594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12843750</v>
      </c>
      <c r="D103" s="194">
        <v>12501250</v>
      </c>
      <c r="E103" s="194">
        <v>12158750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20343790</v>
      </c>
      <c r="D104" s="180">
        <f>+D102+D103</f>
        <v>28902500</v>
      </c>
      <c r="E104" s="180">
        <f>+E102+E103</f>
        <v>24221344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-332.13594151149101</v>
      </c>
      <c r="D106" s="197">
        <f>IF(D109=0,0,(D107/D109)*100)</f>
        <v>58.870371691551036</v>
      </c>
      <c r="E106" s="197">
        <f>IF(E109=0,0,(E107/E109)*100)</f>
        <v>58.526241489176179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12843750</v>
      </c>
      <c r="D107" s="180">
        <f>+D103</f>
        <v>12501250</v>
      </c>
      <c r="E107" s="180">
        <f>+E103</f>
        <v>12158750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-16710766</v>
      </c>
      <c r="D108" s="180">
        <f>+D32</f>
        <v>8733965</v>
      </c>
      <c r="E108" s="180">
        <f>+E32</f>
        <v>8616119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-3867016</v>
      </c>
      <c r="D109" s="180">
        <f>+D107+D108</f>
        <v>21235215</v>
      </c>
      <c r="E109" s="180">
        <f>+E107+E108</f>
        <v>20774869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-1.2996739018296484</v>
      </c>
      <c r="D111" s="197">
        <f>IF((+D113+D115)=0,0,((+D112+D113+D114)/(+D113+D115)))</f>
        <v>28.903955300499984</v>
      </c>
      <c r="E111" s="197">
        <f>IF((+E113+E115)=0,0,((+E112+E113+E114)/(+E113+E115)))</f>
        <v>2.3003476093326154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-5844981</v>
      </c>
      <c r="D112" s="180">
        <f>+D17</f>
        <v>27371627</v>
      </c>
      <c r="E112" s="180">
        <f>+E17</f>
        <v>-248048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845087</v>
      </c>
      <c r="D113" s="180">
        <v>592676</v>
      </c>
      <c r="E113" s="180">
        <v>1554402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2971658</v>
      </c>
      <c r="D114" s="180">
        <v>3172136</v>
      </c>
      <c r="E114" s="180">
        <v>3243262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715486</v>
      </c>
      <c r="D115" s="180">
        <v>484562</v>
      </c>
      <c r="E115" s="180">
        <v>423393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10.439601057726025</v>
      </c>
      <c r="D119" s="197">
        <f>IF(+D121=0,0,(+D120)/(+D121))</f>
        <v>10.837642207017606</v>
      </c>
      <c r="E119" s="197">
        <f>IF(+E121=0,0,(+E120)/(+E121))</f>
        <v>11.487497463973</v>
      </c>
    </row>
    <row r="120" spans="1:8" ht="24" customHeight="1" x14ac:dyDescent="0.25">
      <c r="A120" s="17">
        <v>21</v>
      </c>
      <c r="B120" s="48" t="s">
        <v>367</v>
      </c>
      <c r="C120" s="180">
        <v>31022924</v>
      </c>
      <c r="D120" s="180">
        <v>34378475</v>
      </c>
      <c r="E120" s="180">
        <v>37256964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2971658</v>
      </c>
      <c r="D121" s="180">
        <v>3172136</v>
      </c>
      <c r="E121" s="180">
        <v>3243262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17998</v>
      </c>
      <c r="D124" s="198">
        <v>17737</v>
      </c>
      <c r="E124" s="198">
        <v>15790</v>
      </c>
    </row>
    <row r="125" spans="1:8" ht="24" customHeight="1" x14ac:dyDescent="0.2">
      <c r="A125" s="44">
        <v>2</v>
      </c>
      <c r="B125" s="48" t="s">
        <v>371</v>
      </c>
      <c r="C125" s="198">
        <v>3618</v>
      </c>
      <c r="D125" s="198">
        <v>3437</v>
      </c>
      <c r="E125" s="198">
        <v>3268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4.9745715865118854</v>
      </c>
      <c r="D126" s="199">
        <f>IF(D125=0,0,D124/D125)</f>
        <v>5.1606051789351177</v>
      </c>
      <c r="E126" s="199">
        <f>IF(E125=0,0,E124/E125)</f>
        <v>4.8317013463892291</v>
      </c>
    </row>
    <row r="127" spans="1:8" ht="24" customHeight="1" x14ac:dyDescent="0.2">
      <c r="A127" s="44">
        <v>4</v>
      </c>
      <c r="B127" s="48" t="s">
        <v>373</v>
      </c>
      <c r="C127" s="198">
        <v>72</v>
      </c>
      <c r="D127" s="198">
        <v>72</v>
      </c>
      <c r="E127" s="198">
        <v>72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95</v>
      </c>
      <c r="E128" s="198">
        <v>95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101</v>
      </c>
      <c r="D129" s="198">
        <v>101</v>
      </c>
      <c r="E129" s="198">
        <v>101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0.68479999999999996</v>
      </c>
      <c r="D130" s="171">
        <v>0.67490000000000006</v>
      </c>
      <c r="E130" s="171">
        <v>0.6008</v>
      </c>
    </row>
    <row r="131" spans="1:8" ht="24" customHeight="1" x14ac:dyDescent="0.2">
      <c r="A131" s="44">
        <v>7</v>
      </c>
      <c r="B131" s="48" t="s">
        <v>377</v>
      </c>
      <c r="C131" s="171">
        <v>0.51900000000000002</v>
      </c>
      <c r="D131" s="171">
        <v>0.51149999999999995</v>
      </c>
      <c r="E131" s="171">
        <v>0.45529999999999998</v>
      </c>
    </row>
    <row r="132" spans="1:8" ht="24" customHeight="1" x14ac:dyDescent="0.2">
      <c r="A132" s="44">
        <v>8</v>
      </c>
      <c r="B132" s="48" t="s">
        <v>378</v>
      </c>
      <c r="C132" s="199">
        <v>469.2</v>
      </c>
      <c r="D132" s="199">
        <v>475.7</v>
      </c>
      <c r="E132" s="199">
        <v>463.5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0.41949723697546049</v>
      </c>
      <c r="D135" s="203">
        <f>IF(D149=0,0,D143/D149)</f>
        <v>0.4027830068049934</v>
      </c>
      <c r="E135" s="203">
        <f>IF(E149=0,0,E143/E149)</f>
        <v>0.3754585727781441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0.4465025160339986</v>
      </c>
      <c r="D136" s="203">
        <f>IF(D149=0,0,D144/D149)</f>
        <v>0.45688846456708804</v>
      </c>
      <c r="E136" s="203">
        <f>IF(E149=0,0,E144/E149)</f>
        <v>0.46190807530547351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7.5347652223514319E-2</v>
      </c>
      <c r="D137" s="203">
        <f>IF(D149=0,0,D145/D149)</f>
        <v>0.10388087472688821</v>
      </c>
      <c r="E137" s="203">
        <f>IF(E149=0,0,E145/E149)</f>
        <v>0.13856548158925497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1.5067215451597357E-2</v>
      </c>
      <c r="D138" s="203">
        <f>IF(D149=0,0,D146/D149)</f>
        <v>1.1289724544413822E-2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3.8082694897380441E-2</v>
      </c>
      <c r="D139" s="203">
        <f>IF(D149=0,0,D147/D149)</f>
        <v>2.012219366000632E-2</v>
      </c>
      <c r="E139" s="203">
        <f>IF(E149=0,0,E147/E149)</f>
        <v>1.7420894366338469E-2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5.5026844180487968E-3</v>
      </c>
      <c r="D140" s="203">
        <f>IF(D149=0,0,D148/D149)</f>
        <v>5.035735696610171E-3</v>
      </c>
      <c r="E140" s="203">
        <f>IF(E149=0,0,E148/E149)</f>
        <v>6.6469759607889487E-3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82051367</v>
      </c>
      <c r="D143" s="205">
        <f>+D46-D147</f>
        <v>60973238</v>
      </c>
      <c r="E143" s="205">
        <f>+E46-E147</f>
        <v>55861682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87333452</v>
      </c>
      <c r="D144" s="205">
        <f>+D51</f>
        <v>69163715</v>
      </c>
      <c r="E144" s="205">
        <f>+E51</f>
        <v>68723859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14737589</v>
      </c>
      <c r="D145" s="205">
        <f>+D55</f>
        <v>15725473</v>
      </c>
      <c r="E145" s="205">
        <f>+E55</f>
        <v>20616125</v>
      </c>
    </row>
    <row r="146" spans="1:7" ht="20.100000000000001" customHeight="1" x14ac:dyDescent="0.2">
      <c r="A146" s="202">
        <v>11</v>
      </c>
      <c r="B146" s="201" t="s">
        <v>390</v>
      </c>
      <c r="C146" s="204">
        <v>2947065</v>
      </c>
      <c r="D146" s="205">
        <v>1709037</v>
      </c>
      <c r="E146" s="205">
        <v>0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7448767</v>
      </c>
      <c r="D147" s="205">
        <f>+D47</f>
        <v>3046095</v>
      </c>
      <c r="E147" s="205">
        <f>+E47</f>
        <v>2591925</v>
      </c>
    </row>
    <row r="148" spans="1:7" ht="20.100000000000001" customHeight="1" x14ac:dyDescent="0.2">
      <c r="A148" s="202">
        <v>13</v>
      </c>
      <c r="B148" s="201" t="s">
        <v>392</v>
      </c>
      <c r="C148" s="206">
        <v>1076295</v>
      </c>
      <c r="D148" s="205">
        <v>762309</v>
      </c>
      <c r="E148" s="205">
        <v>988954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195594535</v>
      </c>
      <c r="D149" s="205">
        <f>SUM(D143:D148)</f>
        <v>151379867</v>
      </c>
      <c r="E149" s="205">
        <f>SUM(E143:E148)</f>
        <v>148782545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0.58033792205061541</v>
      </c>
      <c r="D152" s="203">
        <f>IF(D166=0,0,D160/D166)</f>
        <v>0.56557497134640122</v>
      </c>
      <c r="E152" s="203">
        <f>IF(E166=0,0,E160/E166)</f>
        <v>0.52443017743631359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0.34386862567119525</v>
      </c>
      <c r="D153" s="203">
        <f>IF(D166=0,0,D161/D166)</f>
        <v>0.35080554518464657</v>
      </c>
      <c r="E153" s="203">
        <f>IF(E166=0,0,E161/E166)</f>
        <v>0.3723179422519774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5.6317959959250541E-2</v>
      </c>
      <c r="D154" s="203">
        <f>IF(D166=0,0,D162/D166)</f>
        <v>6.9628620013336348E-2</v>
      </c>
      <c r="E154" s="203">
        <f>IF(E166=0,0,E162/E166)</f>
        <v>9.3230654769348748E-2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4.1489552411373603E-3</v>
      </c>
      <c r="D155" s="203">
        <f>IF(D166=0,0,D163/D166)</f>
        <v>5.2901635415358982E-3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1.2911350215739142E-2</v>
      </c>
      <c r="D156" s="203">
        <f>IF(D166=0,0,D164/D166)</f>
        <v>3.6087393883862846E-3</v>
      </c>
      <c r="E156" s="203">
        <f>IF(E166=0,0,E164/E166)</f>
        <v>3.4349463051034992E-3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2.4151868620623652E-3</v>
      </c>
      <c r="D157" s="203">
        <f>IF(D166=0,0,D165/D166)</f>
        <v>5.0919605256936782E-3</v>
      </c>
      <c r="E157" s="203">
        <f>IF(E166=0,0,E165/E166)</f>
        <v>6.5862792372567988E-3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36791779</v>
      </c>
      <c r="D160" s="208">
        <f>+D44-D164</f>
        <v>34690163</v>
      </c>
      <c r="E160" s="208">
        <f>+E44-E164</f>
        <v>31031637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21800296</v>
      </c>
      <c r="D161" s="208">
        <f>+D50</f>
        <v>21517044</v>
      </c>
      <c r="E161" s="208">
        <f>+E50</f>
        <v>22030836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3570399</v>
      </c>
      <c r="D162" s="208">
        <f>+D54</f>
        <v>4270748</v>
      </c>
      <c r="E162" s="208">
        <f>+E54</f>
        <v>5516654</v>
      </c>
    </row>
    <row r="163" spans="1:6" ht="20.100000000000001" customHeight="1" x14ac:dyDescent="0.2">
      <c r="A163" s="202">
        <v>11</v>
      </c>
      <c r="B163" s="201" t="s">
        <v>406</v>
      </c>
      <c r="C163" s="207">
        <v>263032</v>
      </c>
      <c r="D163" s="208">
        <v>324478</v>
      </c>
      <c r="E163" s="208">
        <v>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818543</v>
      </c>
      <c r="D164" s="208">
        <f>+D45</f>
        <v>221346</v>
      </c>
      <c r="E164" s="208">
        <f>+E45</f>
        <v>203253</v>
      </c>
    </row>
    <row r="165" spans="1:6" ht="20.100000000000001" customHeight="1" x14ac:dyDescent="0.2">
      <c r="A165" s="202">
        <v>13</v>
      </c>
      <c r="B165" s="201" t="s">
        <v>408</v>
      </c>
      <c r="C165" s="209">
        <v>153116</v>
      </c>
      <c r="D165" s="208">
        <v>312321</v>
      </c>
      <c r="E165" s="208">
        <v>389724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63397165</v>
      </c>
      <c r="D166" s="208">
        <f>SUM(D160:D165)</f>
        <v>61336100</v>
      </c>
      <c r="E166" s="208">
        <f>SUM(E160:E165)</f>
        <v>59172104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1333</v>
      </c>
      <c r="D169" s="198">
        <v>1143</v>
      </c>
      <c r="E169" s="198">
        <v>979</v>
      </c>
    </row>
    <row r="170" spans="1:6" ht="20.100000000000001" customHeight="1" x14ac:dyDescent="0.2">
      <c r="A170" s="202">
        <v>2</v>
      </c>
      <c r="B170" s="201" t="s">
        <v>412</v>
      </c>
      <c r="C170" s="198">
        <v>1807</v>
      </c>
      <c r="D170" s="198">
        <v>1733</v>
      </c>
      <c r="E170" s="198">
        <v>1616</v>
      </c>
    </row>
    <row r="171" spans="1:6" ht="20.100000000000001" customHeight="1" x14ac:dyDescent="0.2">
      <c r="A171" s="202">
        <v>3</v>
      </c>
      <c r="B171" s="201" t="s">
        <v>413</v>
      </c>
      <c r="C171" s="198">
        <v>456</v>
      </c>
      <c r="D171" s="198">
        <v>541</v>
      </c>
      <c r="E171" s="198">
        <v>643</v>
      </c>
    </row>
    <row r="172" spans="1:6" ht="20.100000000000001" customHeight="1" x14ac:dyDescent="0.2">
      <c r="A172" s="202">
        <v>4</v>
      </c>
      <c r="B172" s="201" t="s">
        <v>414</v>
      </c>
      <c r="C172" s="198">
        <v>404</v>
      </c>
      <c r="D172" s="198">
        <v>509</v>
      </c>
      <c r="E172" s="198">
        <v>643</v>
      </c>
    </row>
    <row r="173" spans="1:6" ht="20.100000000000001" customHeight="1" x14ac:dyDescent="0.2">
      <c r="A173" s="202">
        <v>5</v>
      </c>
      <c r="B173" s="201" t="s">
        <v>415</v>
      </c>
      <c r="C173" s="198">
        <v>52</v>
      </c>
      <c r="D173" s="198">
        <v>32</v>
      </c>
      <c r="E173" s="198">
        <v>0</v>
      </c>
    </row>
    <row r="174" spans="1:6" ht="20.100000000000001" customHeight="1" x14ac:dyDescent="0.2">
      <c r="A174" s="202">
        <v>6</v>
      </c>
      <c r="B174" s="201" t="s">
        <v>416</v>
      </c>
      <c r="C174" s="198">
        <v>22</v>
      </c>
      <c r="D174" s="198">
        <v>20</v>
      </c>
      <c r="E174" s="198">
        <v>30</v>
      </c>
    </row>
    <row r="175" spans="1:6" ht="20.100000000000001" customHeight="1" x14ac:dyDescent="0.2">
      <c r="A175" s="202">
        <v>7</v>
      </c>
      <c r="B175" s="201" t="s">
        <v>417</v>
      </c>
      <c r="C175" s="198">
        <v>114</v>
      </c>
      <c r="D175" s="198">
        <v>46</v>
      </c>
      <c r="E175" s="198">
        <v>52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3618</v>
      </c>
      <c r="D176" s="198">
        <f>+D169+D170+D171+D174</f>
        <v>3437</v>
      </c>
      <c r="E176" s="198">
        <f>+E169+E170+E171+E174</f>
        <v>3268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1.0234000000000001</v>
      </c>
      <c r="D179" s="210">
        <v>1.1677</v>
      </c>
      <c r="E179" s="210">
        <v>1.0203</v>
      </c>
    </row>
    <row r="180" spans="1:6" ht="20.100000000000001" customHeight="1" x14ac:dyDescent="0.2">
      <c r="A180" s="202">
        <v>2</v>
      </c>
      <c r="B180" s="201" t="s">
        <v>412</v>
      </c>
      <c r="C180" s="210">
        <v>1.2925199999999999</v>
      </c>
      <c r="D180" s="210">
        <v>1.3520000000000001</v>
      </c>
      <c r="E180" s="210">
        <v>1.3605</v>
      </c>
    </row>
    <row r="181" spans="1:6" ht="20.100000000000001" customHeight="1" x14ac:dyDescent="0.2">
      <c r="A181" s="202">
        <v>3</v>
      </c>
      <c r="B181" s="201" t="s">
        <v>413</v>
      </c>
      <c r="C181" s="210">
        <v>0.96263100000000001</v>
      </c>
      <c r="D181" s="210">
        <v>0.86672700000000003</v>
      </c>
      <c r="E181" s="210">
        <v>0.84913000000000005</v>
      </c>
    </row>
    <row r="182" spans="1:6" ht="20.100000000000001" customHeight="1" x14ac:dyDescent="0.2">
      <c r="A182" s="202">
        <v>4</v>
      </c>
      <c r="B182" s="201" t="s">
        <v>414</v>
      </c>
      <c r="C182" s="210">
        <v>0.92720000000000002</v>
      </c>
      <c r="D182" s="210">
        <v>0.85540000000000005</v>
      </c>
      <c r="E182" s="210">
        <v>0.84913000000000005</v>
      </c>
    </row>
    <row r="183" spans="1:6" ht="20.100000000000001" customHeight="1" x14ac:dyDescent="0.2">
      <c r="A183" s="202">
        <v>5</v>
      </c>
      <c r="B183" s="201" t="s">
        <v>415</v>
      </c>
      <c r="C183" s="210">
        <v>1.2379100000000001</v>
      </c>
      <c r="D183" s="210">
        <v>1.0468999999999999</v>
      </c>
      <c r="E183" s="210">
        <v>0</v>
      </c>
    </row>
    <row r="184" spans="1:6" ht="20.100000000000001" customHeight="1" x14ac:dyDescent="0.2">
      <c r="A184" s="202">
        <v>6</v>
      </c>
      <c r="B184" s="201" t="s">
        <v>416</v>
      </c>
      <c r="C184" s="210">
        <v>1.1757</v>
      </c>
      <c r="D184" s="210">
        <v>0.79500000000000004</v>
      </c>
      <c r="E184" s="210">
        <v>0.91879999999999995</v>
      </c>
    </row>
    <row r="185" spans="1:6" ht="20.100000000000001" customHeight="1" x14ac:dyDescent="0.2">
      <c r="A185" s="202">
        <v>7</v>
      </c>
      <c r="B185" s="201" t="s">
        <v>417</v>
      </c>
      <c r="C185" s="210">
        <v>1.1297999999999999</v>
      </c>
      <c r="D185" s="210">
        <v>0.92269999999999996</v>
      </c>
      <c r="E185" s="210">
        <v>0.92349999999999999</v>
      </c>
    </row>
    <row r="186" spans="1:6" ht="20.100000000000001" customHeight="1" x14ac:dyDescent="0.2">
      <c r="A186" s="202">
        <v>8</v>
      </c>
      <c r="B186" s="201" t="s">
        <v>421</v>
      </c>
      <c r="C186" s="210">
        <v>1.151078</v>
      </c>
      <c r="D186" s="210">
        <v>1.211084</v>
      </c>
      <c r="E186" s="210">
        <v>1.153915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3027</v>
      </c>
      <c r="D189" s="198">
        <v>2178</v>
      </c>
      <c r="E189" s="198">
        <v>2686</v>
      </c>
    </row>
    <row r="190" spans="1:6" ht="20.100000000000001" customHeight="1" x14ac:dyDescent="0.2">
      <c r="A190" s="202">
        <v>2</v>
      </c>
      <c r="B190" s="201" t="s">
        <v>425</v>
      </c>
      <c r="C190" s="198">
        <v>17336</v>
      </c>
      <c r="D190" s="198">
        <v>17243</v>
      </c>
      <c r="E190" s="198">
        <v>17435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20363</v>
      </c>
      <c r="D191" s="198">
        <f>+D190+D189</f>
        <v>19421</v>
      </c>
      <c r="E191" s="198">
        <f>+E190+E189</f>
        <v>20121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FILING&amp;RJOHNSON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427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7"/>
      <c r="D9" s="678"/>
      <c r="E9" s="678"/>
      <c r="F9" s="679"/>
      <c r="G9" s="212"/>
    </row>
    <row r="10" spans="1:7" ht="20.25" customHeight="1" x14ac:dyDescent="0.3">
      <c r="A10" s="680" t="s">
        <v>12</v>
      </c>
      <c r="B10" s="682" t="s">
        <v>113</v>
      </c>
      <c r="C10" s="684"/>
      <c r="D10" s="685"/>
      <c r="E10" s="685"/>
      <c r="F10" s="686"/>
    </row>
    <row r="11" spans="1:7" ht="20.25" customHeight="1" x14ac:dyDescent="0.3">
      <c r="A11" s="681"/>
      <c r="B11" s="683"/>
      <c r="C11" s="687"/>
      <c r="D11" s="688"/>
      <c r="E11" s="688"/>
      <c r="F11" s="689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54264</v>
      </c>
      <c r="D14" s="237">
        <v>91738</v>
      </c>
      <c r="E14" s="237">
        <f t="shared" ref="E14:E24" si="0">D14-C14</f>
        <v>37474</v>
      </c>
      <c r="F14" s="238">
        <f t="shared" ref="F14:F24" si="1">IF(C14=0,0,E14/C14)</f>
        <v>0.69058676102019756</v>
      </c>
    </row>
    <row r="15" spans="1:7" ht="20.25" customHeight="1" x14ac:dyDescent="0.3">
      <c r="A15" s="235">
        <v>2</v>
      </c>
      <c r="B15" s="236" t="s">
        <v>433</v>
      </c>
      <c r="C15" s="237">
        <v>18227</v>
      </c>
      <c r="D15" s="237">
        <v>50616</v>
      </c>
      <c r="E15" s="237">
        <f t="shared" si="0"/>
        <v>32389</v>
      </c>
      <c r="F15" s="238">
        <f t="shared" si="1"/>
        <v>1.7769792066714216</v>
      </c>
    </row>
    <row r="16" spans="1:7" ht="20.25" customHeight="1" x14ac:dyDescent="0.3">
      <c r="A16" s="235">
        <v>3</v>
      </c>
      <c r="B16" s="236" t="s">
        <v>434</v>
      </c>
      <c r="C16" s="237">
        <v>82129</v>
      </c>
      <c r="D16" s="237">
        <v>121924</v>
      </c>
      <c r="E16" s="237">
        <f t="shared" si="0"/>
        <v>39795</v>
      </c>
      <c r="F16" s="238">
        <f t="shared" si="1"/>
        <v>0.4845426097967831</v>
      </c>
    </row>
    <row r="17" spans="1:6" ht="20.25" customHeight="1" x14ac:dyDescent="0.3">
      <c r="A17" s="235">
        <v>4</v>
      </c>
      <c r="B17" s="236" t="s">
        <v>435</v>
      </c>
      <c r="C17" s="237">
        <v>52434</v>
      </c>
      <c r="D17" s="237">
        <v>38015</v>
      </c>
      <c r="E17" s="237">
        <f t="shared" si="0"/>
        <v>-14419</v>
      </c>
      <c r="F17" s="238">
        <f t="shared" si="1"/>
        <v>-0.27499332494183165</v>
      </c>
    </row>
    <row r="18" spans="1:6" ht="20.25" customHeight="1" x14ac:dyDescent="0.3">
      <c r="A18" s="235">
        <v>5</v>
      </c>
      <c r="B18" s="236" t="s">
        <v>371</v>
      </c>
      <c r="C18" s="239">
        <v>4</v>
      </c>
      <c r="D18" s="239">
        <v>6</v>
      </c>
      <c r="E18" s="239">
        <f t="shared" si="0"/>
        <v>2</v>
      </c>
      <c r="F18" s="238">
        <f t="shared" si="1"/>
        <v>0.5</v>
      </c>
    </row>
    <row r="19" spans="1:6" ht="20.25" customHeight="1" x14ac:dyDescent="0.3">
      <c r="A19" s="235">
        <v>6</v>
      </c>
      <c r="B19" s="236" t="s">
        <v>370</v>
      </c>
      <c r="C19" s="239">
        <v>14</v>
      </c>
      <c r="D19" s="239">
        <v>20</v>
      </c>
      <c r="E19" s="239">
        <f t="shared" si="0"/>
        <v>6</v>
      </c>
      <c r="F19" s="238">
        <f t="shared" si="1"/>
        <v>0.42857142857142855</v>
      </c>
    </row>
    <row r="20" spans="1:6" ht="20.25" customHeight="1" x14ac:dyDescent="0.3">
      <c r="A20" s="235">
        <v>7</v>
      </c>
      <c r="B20" s="236" t="s">
        <v>436</v>
      </c>
      <c r="C20" s="239">
        <v>68</v>
      </c>
      <c r="D20" s="239">
        <v>108</v>
      </c>
      <c r="E20" s="239">
        <f t="shared" si="0"/>
        <v>40</v>
      </c>
      <c r="F20" s="238">
        <f t="shared" si="1"/>
        <v>0.58823529411764708</v>
      </c>
    </row>
    <row r="21" spans="1:6" ht="20.25" customHeight="1" x14ac:dyDescent="0.3">
      <c r="A21" s="235">
        <v>8</v>
      </c>
      <c r="B21" s="236" t="s">
        <v>437</v>
      </c>
      <c r="C21" s="239">
        <v>15</v>
      </c>
      <c r="D21" s="239">
        <v>17</v>
      </c>
      <c r="E21" s="239">
        <f t="shared" si="0"/>
        <v>2</v>
      </c>
      <c r="F21" s="238">
        <f t="shared" si="1"/>
        <v>0.13333333333333333</v>
      </c>
    </row>
    <row r="22" spans="1:6" ht="20.25" customHeight="1" x14ac:dyDescent="0.3">
      <c r="A22" s="235">
        <v>9</v>
      </c>
      <c r="B22" s="236" t="s">
        <v>438</v>
      </c>
      <c r="C22" s="239">
        <v>4</v>
      </c>
      <c r="D22" s="239">
        <v>3</v>
      </c>
      <c r="E22" s="239">
        <f t="shared" si="0"/>
        <v>-1</v>
      </c>
      <c r="F22" s="238">
        <f t="shared" si="1"/>
        <v>-0.25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136393</v>
      </c>
      <c r="D23" s="243">
        <f>+D14+D16</f>
        <v>213662</v>
      </c>
      <c r="E23" s="243">
        <f t="shared" si="0"/>
        <v>77269</v>
      </c>
      <c r="F23" s="244">
        <f t="shared" si="1"/>
        <v>0.56651734326541681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70661</v>
      </c>
      <c r="D24" s="243">
        <f>+D15+D17</f>
        <v>88631</v>
      </c>
      <c r="E24" s="243">
        <f t="shared" si="0"/>
        <v>17970</v>
      </c>
      <c r="F24" s="244">
        <f t="shared" si="1"/>
        <v>0.25431284584141184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33319</v>
      </c>
      <c r="D27" s="237">
        <v>23389</v>
      </c>
      <c r="E27" s="237">
        <f t="shared" ref="E27:E37" si="2">D27-C27</f>
        <v>-9930</v>
      </c>
      <c r="F27" s="238">
        <f t="shared" ref="F27:F37" si="3">IF(C27=0,0,E27/C27)</f>
        <v>-0.29802815210540534</v>
      </c>
    </row>
    <row r="28" spans="1:6" ht="20.25" customHeight="1" x14ac:dyDescent="0.3">
      <c r="A28" s="235">
        <v>2</v>
      </c>
      <c r="B28" s="236" t="s">
        <v>433</v>
      </c>
      <c r="C28" s="237">
        <v>14455</v>
      </c>
      <c r="D28" s="237">
        <v>8481</v>
      </c>
      <c r="E28" s="237">
        <f t="shared" si="2"/>
        <v>-5974</v>
      </c>
      <c r="F28" s="238">
        <f t="shared" si="3"/>
        <v>-0.41328260117606364</v>
      </c>
    </row>
    <row r="29" spans="1:6" ht="20.25" customHeight="1" x14ac:dyDescent="0.3">
      <c r="A29" s="235">
        <v>3</v>
      </c>
      <c r="B29" s="236" t="s">
        <v>434</v>
      </c>
      <c r="C29" s="237">
        <v>56675</v>
      </c>
      <c r="D29" s="237">
        <v>12276</v>
      </c>
      <c r="E29" s="237">
        <f t="shared" si="2"/>
        <v>-44399</v>
      </c>
      <c r="F29" s="238">
        <f t="shared" si="3"/>
        <v>-0.78339655932951036</v>
      </c>
    </row>
    <row r="30" spans="1:6" ht="20.25" customHeight="1" x14ac:dyDescent="0.3">
      <c r="A30" s="235">
        <v>4</v>
      </c>
      <c r="B30" s="236" t="s">
        <v>435</v>
      </c>
      <c r="C30" s="237">
        <v>13695</v>
      </c>
      <c r="D30" s="237">
        <v>2599</v>
      </c>
      <c r="E30" s="237">
        <f t="shared" si="2"/>
        <v>-11096</v>
      </c>
      <c r="F30" s="238">
        <f t="shared" si="3"/>
        <v>-0.81022270901788973</v>
      </c>
    </row>
    <row r="31" spans="1:6" ht="20.25" customHeight="1" x14ac:dyDescent="0.3">
      <c r="A31" s="235">
        <v>5</v>
      </c>
      <c r="B31" s="236" t="s">
        <v>371</v>
      </c>
      <c r="C31" s="239">
        <v>2</v>
      </c>
      <c r="D31" s="239">
        <v>1</v>
      </c>
      <c r="E31" s="239">
        <f t="shared" si="2"/>
        <v>-1</v>
      </c>
      <c r="F31" s="238">
        <f t="shared" si="3"/>
        <v>-0.5</v>
      </c>
    </row>
    <row r="32" spans="1:6" ht="20.25" customHeight="1" x14ac:dyDescent="0.3">
      <c r="A32" s="235">
        <v>6</v>
      </c>
      <c r="B32" s="236" t="s">
        <v>370</v>
      </c>
      <c r="C32" s="239">
        <v>10</v>
      </c>
      <c r="D32" s="239">
        <v>7</v>
      </c>
      <c r="E32" s="239">
        <f t="shared" si="2"/>
        <v>-3</v>
      </c>
      <c r="F32" s="238">
        <f t="shared" si="3"/>
        <v>-0.3</v>
      </c>
    </row>
    <row r="33" spans="1:6" ht="20.25" customHeight="1" x14ac:dyDescent="0.3">
      <c r="A33" s="235">
        <v>7</v>
      </c>
      <c r="B33" s="236" t="s">
        <v>436</v>
      </c>
      <c r="C33" s="239">
        <v>55</v>
      </c>
      <c r="D33" s="239">
        <v>14</v>
      </c>
      <c r="E33" s="239">
        <f t="shared" si="2"/>
        <v>-41</v>
      </c>
      <c r="F33" s="238">
        <f t="shared" si="3"/>
        <v>-0.74545454545454548</v>
      </c>
    </row>
    <row r="34" spans="1:6" ht="20.25" customHeight="1" x14ac:dyDescent="0.3">
      <c r="A34" s="235">
        <v>8</v>
      </c>
      <c r="B34" s="236" t="s">
        <v>437</v>
      </c>
      <c r="C34" s="239">
        <v>6</v>
      </c>
      <c r="D34" s="239">
        <v>0</v>
      </c>
      <c r="E34" s="239">
        <f t="shared" si="2"/>
        <v>-6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438</v>
      </c>
      <c r="C35" s="239">
        <v>2</v>
      </c>
      <c r="D35" s="239">
        <v>76</v>
      </c>
      <c r="E35" s="239">
        <f t="shared" si="2"/>
        <v>74</v>
      </c>
      <c r="F35" s="238">
        <f t="shared" si="3"/>
        <v>37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89994</v>
      </c>
      <c r="D36" s="243">
        <f>+D27+D29</f>
        <v>35665</v>
      </c>
      <c r="E36" s="243">
        <f t="shared" si="2"/>
        <v>-54329</v>
      </c>
      <c r="F36" s="244">
        <f t="shared" si="3"/>
        <v>-0.60369580194235173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28150</v>
      </c>
      <c r="D37" s="243">
        <f>+D28+D30</f>
        <v>11080</v>
      </c>
      <c r="E37" s="243">
        <f t="shared" si="2"/>
        <v>-17070</v>
      </c>
      <c r="F37" s="244">
        <f t="shared" si="3"/>
        <v>-0.60639431616341033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1251670</v>
      </c>
      <c r="D40" s="237">
        <v>2067053</v>
      </c>
      <c r="E40" s="237">
        <f t="shared" ref="E40:E50" si="4">D40-C40</f>
        <v>815383</v>
      </c>
      <c r="F40" s="238">
        <f t="shared" ref="F40:F50" si="5">IF(C40=0,0,E40/C40)</f>
        <v>0.65143608139525588</v>
      </c>
    </row>
    <row r="41" spans="1:6" ht="20.25" customHeight="1" x14ac:dyDescent="0.3">
      <c r="A41" s="235">
        <v>2</v>
      </c>
      <c r="B41" s="236" t="s">
        <v>433</v>
      </c>
      <c r="C41" s="237">
        <v>393793</v>
      </c>
      <c r="D41" s="237">
        <v>999850</v>
      </c>
      <c r="E41" s="237">
        <f t="shared" si="4"/>
        <v>606057</v>
      </c>
      <c r="F41" s="238">
        <f t="shared" si="5"/>
        <v>1.539024309726176</v>
      </c>
    </row>
    <row r="42" spans="1:6" ht="20.25" customHeight="1" x14ac:dyDescent="0.3">
      <c r="A42" s="235">
        <v>3</v>
      </c>
      <c r="B42" s="236" t="s">
        <v>434</v>
      </c>
      <c r="C42" s="237">
        <v>1160458</v>
      </c>
      <c r="D42" s="237">
        <v>1703350</v>
      </c>
      <c r="E42" s="237">
        <f t="shared" si="4"/>
        <v>542892</v>
      </c>
      <c r="F42" s="238">
        <f t="shared" si="5"/>
        <v>0.46782563436160551</v>
      </c>
    </row>
    <row r="43" spans="1:6" ht="20.25" customHeight="1" x14ac:dyDescent="0.3">
      <c r="A43" s="235">
        <v>4</v>
      </c>
      <c r="B43" s="236" t="s">
        <v>435</v>
      </c>
      <c r="C43" s="237">
        <v>311335</v>
      </c>
      <c r="D43" s="237">
        <v>443281</v>
      </c>
      <c r="E43" s="237">
        <f t="shared" si="4"/>
        <v>131946</v>
      </c>
      <c r="F43" s="238">
        <f t="shared" si="5"/>
        <v>0.42380715306663241</v>
      </c>
    </row>
    <row r="44" spans="1:6" ht="20.25" customHeight="1" x14ac:dyDescent="0.3">
      <c r="A44" s="235">
        <v>5</v>
      </c>
      <c r="B44" s="236" t="s">
        <v>371</v>
      </c>
      <c r="C44" s="239">
        <v>44</v>
      </c>
      <c r="D44" s="239">
        <v>67</v>
      </c>
      <c r="E44" s="239">
        <f t="shared" si="4"/>
        <v>23</v>
      </c>
      <c r="F44" s="238">
        <f t="shared" si="5"/>
        <v>0.52272727272727271</v>
      </c>
    </row>
    <row r="45" spans="1:6" ht="20.25" customHeight="1" x14ac:dyDescent="0.3">
      <c r="A45" s="235">
        <v>6</v>
      </c>
      <c r="B45" s="236" t="s">
        <v>370</v>
      </c>
      <c r="C45" s="239">
        <v>282</v>
      </c>
      <c r="D45" s="239">
        <v>397</v>
      </c>
      <c r="E45" s="239">
        <f t="shared" si="4"/>
        <v>115</v>
      </c>
      <c r="F45" s="238">
        <f t="shared" si="5"/>
        <v>0.40780141843971629</v>
      </c>
    </row>
    <row r="46" spans="1:6" ht="20.25" customHeight="1" x14ac:dyDescent="0.3">
      <c r="A46" s="235">
        <v>7</v>
      </c>
      <c r="B46" s="236" t="s">
        <v>436</v>
      </c>
      <c r="C46" s="239">
        <v>1161</v>
      </c>
      <c r="D46" s="239">
        <v>1750</v>
      </c>
      <c r="E46" s="239">
        <f t="shared" si="4"/>
        <v>589</v>
      </c>
      <c r="F46" s="238">
        <f t="shared" si="5"/>
        <v>0.50732127476313527</v>
      </c>
    </row>
    <row r="47" spans="1:6" ht="20.25" customHeight="1" x14ac:dyDescent="0.3">
      <c r="A47" s="235">
        <v>8</v>
      </c>
      <c r="B47" s="236" t="s">
        <v>437</v>
      </c>
      <c r="C47" s="239">
        <v>94</v>
      </c>
      <c r="D47" s="239">
        <v>148</v>
      </c>
      <c r="E47" s="239">
        <f t="shared" si="4"/>
        <v>54</v>
      </c>
      <c r="F47" s="238">
        <f t="shared" si="5"/>
        <v>0.57446808510638303</v>
      </c>
    </row>
    <row r="48" spans="1:6" ht="20.25" customHeight="1" x14ac:dyDescent="0.3">
      <c r="A48" s="235">
        <v>9</v>
      </c>
      <c r="B48" s="236" t="s">
        <v>438</v>
      </c>
      <c r="C48" s="239">
        <v>34</v>
      </c>
      <c r="D48" s="239">
        <v>56</v>
      </c>
      <c r="E48" s="239">
        <f t="shared" si="4"/>
        <v>22</v>
      </c>
      <c r="F48" s="238">
        <f t="shared" si="5"/>
        <v>0.6470588235294118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2412128</v>
      </c>
      <c r="D49" s="243">
        <f>+D40+D42</f>
        <v>3770403</v>
      </c>
      <c r="E49" s="243">
        <f t="shared" si="4"/>
        <v>1358275</v>
      </c>
      <c r="F49" s="244">
        <f t="shared" si="5"/>
        <v>0.56310237267674024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705128</v>
      </c>
      <c r="D50" s="243">
        <f>+D41+D43</f>
        <v>1443131</v>
      </c>
      <c r="E50" s="243">
        <f t="shared" si="4"/>
        <v>738003</v>
      </c>
      <c r="F50" s="244">
        <f t="shared" si="5"/>
        <v>1.0466227408357065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4063165</v>
      </c>
      <c r="D53" s="237">
        <v>1265241</v>
      </c>
      <c r="E53" s="237">
        <f t="shared" ref="E53:E63" si="6">D53-C53</f>
        <v>-2797924</v>
      </c>
      <c r="F53" s="238">
        <f t="shared" ref="F53:F63" si="7">IF(C53=0,0,E53/C53)</f>
        <v>-0.68860703417163716</v>
      </c>
    </row>
    <row r="54" spans="1:6" ht="20.25" customHeight="1" x14ac:dyDescent="0.3">
      <c r="A54" s="235">
        <v>2</v>
      </c>
      <c r="B54" s="236" t="s">
        <v>433</v>
      </c>
      <c r="C54" s="237">
        <v>1316137</v>
      </c>
      <c r="D54" s="237">
        <v>555051</v>
      </c>
      <c r="E54" s="237">
        <f t="shared" si="6"/>
        <v>-761086</v>
      </c>
      <c r="F54" s="238">
        <f t="shared" si="7"/>
        <v>-0.57827262663385348</v>
      </c>
    </row>
    <row r="55" spans="1:6" ht="20.25" customHeight="1" x14ac:dyDescent="0.3">
      <c r="A55" s="235">
        <v>3</v>
      </c>
      <c r="B55" s="236" t="s">
        <v>434</v>
      </c>
      <c r="C55" s="237">
        <v>3334792</v>
      </c>
      <c r="D55" s="237">
        <v>892621</v>
      </c>
      <c r="E55" s="237">
        <f t="shared" si="6"/>
        <v>-2442171</v>
      </c>
      <c r="F55" s="238">
        <f t="shared" si="7"/>
        <v>-0.73233083202790461</v>
      </c>
    </row>
    <row r="56" spans="1:6" ht="20.25" customHeight="1" x14ac:dyDescent="0.3">
      <c r="A56" s="235">
        <v>4</v>
      </c>
      <c r="B56" s="236" t="s">
        <v>435</v>
      </c>
      <c r="C56" s="237">
        <v>882852</v>
      </c>
      <c r="D56" s="237">
        <v>208535</v>
      </c>
      <c r="E56" s="237">
        <f t="shared" si="6"/>
        <v>-674317</v>
      </c>
      <c r="F56" s="238">
        <f t="shared" si="7"/>
        <v>-0.76379393148568508</v>
      </c>
    </row>
    <row r="57" spans="1:6" ht="20.25" customHeight="1" x14ac:dyDescent="0.3">
      <c r="A57" s="235">
        <v>5</v>
      </c>
      <c r="B57" s="236" t="s">
        <v>371</v>
      </c>
      <c r="C57" s="239">
        <v>164</v>
      </c>
      <c r="D57" s="239">
        <v>38</v>
      </c>
      <c r="E57" s="239">
        <f t="shared" si="6"/>
        <v>-126</v>
      </c>
      <c r="F57" s="238">
        <f t="shared" si="7"/>
        <v>-0.76829268292682928</v>
      </c>
    </row>
    <row r="58" spans="1:6" ht="20.25" customHeight="1" x14ac:dyDescent="0.3">
      <c r="A58" s="235">
        <v>6</v>
      </c>
      <c r="B58" s="236" t="s">
        <v>370</v>
      </c>
      <c r="C58" s="239">
        <v>912</v>
      </c>
      <c r="D58" s="239">
        <v>253</v>
      </c>
      <c r="E58" s="239">
        <f t="shared" si="6"/>
        <v>-659</v>
      </c>
      <c r="F58" s="238">
        <f t="shared" si="7"/>
        <v>-0.72258771929824561</v>
      </c>
    </row>
    <row r="59" spans="1:6" ht="20.25" customHeight="1" x14ac:dyDescent="0.3">
      <c r="A59" s="235">
        <v>7</v>
      </c>
      <c r="B59" s="236" t="s">
        <v>436</v>
      </c>
      <c r="C59" s="239">
        <v>3191</v>
      </c>
      <c r="D59" s="239">
        <v>776</v>
      </c>
      <c r="E59" s="239">
        <f t="shared" si="6"/>
        <v>-2415</v>
      </c>
      <c r="F59" s="238">
        <f t="shared" si="7"/>
        <v>-0.75681604512691947</v>
      </c>
    </row>
    <row r="60" spans="1:6" ht="20.25" customHeight="1" x14ac:dyDescent="0.3">
      <c r="A60" s="235">
        <v>8</v>
      </c>
      <c r="B60" s="236" t="s">
        <v>437</v>
      </c>
      <c r="C60" s="239">
        <v>281</v>
      </c>
      <c r="D60" s="239">
        <v>71</v>
      </c>
      <c r="E60" s="239">
        <f t="shared" si="6"/>
        <v>-210</v>
      </c>
      <c r="F60" s="238">
        <f t="shared" si="7"/>
        <v>-0.74733096085409256</v>
      </c>
    </row>
    <row r="61" spans="1:6" ht="20.25" customHeight="1" x14ac:dyDescent="0.3">
      <c r="A61" s="235">
        <v>9</v>
      </c>
      <c r="B61" s="236" t="s">
        <v>438</v>
      </c>
      <c r="C61" s="239">
        <v>125</v>
      </c>
      <c r="D61" s="239">
        <v>38</v>
      </c>
      <c r="E61" s="239">
        <f t="shared" si="6"/>
        <v>-87</v>
      </c>
      <c r="F61" s="238">
        <f t="shared" si="7"/>
        <v>-0.69599999999999995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7397957</v>
      </c>
      <c r="D62" s="243">
        <f>+D53+D55</f>
        <v>2157862</v>
      </c>
      <c r="E62" s="243">
        <f t="shared" si="6"/>
        <v>-5240095</v>
      </c>
      <c r="F62" s="244">
        <f t="shared" si="7"/>
        <v>-0.70831649873066305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2198989</v>
      </c>
      <c r="D63" s="243">
        <f>+D54+D56</f>
        <v>763586</v>
      </c>
      <c r="E63" s="243">
        <f t="shared" si="6"/>
        <v>-1435403</v>
      </c>
      <c r="F63" s="244">
        <f t="shared" si="7"/>
        <v>-0.65275588008853158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165505</v>
      </c>
      <c r="D66" s="237">
        <v>76781</v>
      </c>
      <c r="E66" s="237">
        <f t="shared" ref="E66:E76" si="8">D66-C66</f>
        <v>-88724</v>
      </c>
      <c r="F66" s="238">
        <f t="shared" ref="F66:F76" si="9">IF(C66=0,0,E66/C66)</f>
        <v>-0.53608048095223704</v>
      </c>
    </row>
    <row r="67" spans="1:6" ht="20.25" customHeight="1" x14ac:dyDescent="0.3">
      <c r="A67" s="235">
        <v>2</v>
      </c>
      <c r="B67" s="236" t="s">
        <v>433</v>
      </c>
      <c r="C67" s="237">
        <v>54636</v>
      </c>
      <c r="D67" s="237">
        <v>40302</v>
      </c>
      <c r="E67" s="237">
        <f t="shared" si="8"/>
        <v>-14334</v>
      </c>
      <c r="F67" s="238">
        <f t="shared" si="9"/>
        <v>-0.26235449154403689</v>
      </c>
    </row>
    <row r="68" spans="1:6" ht="20.25" customHeight="1" x14ac:dyDescent="0.3">
      <c r="A68" s="235">
        <v>3</v>
      </c>
      <c r="B68" s="236" t="s">
        <v>434</v>
      </c>
      <c r="C68" s="237">
        <v>60934</v>
      </c>
      <c r="D68" s="237">
        <v>39036</v>
      </c>
      <c r="E68" s="237">
        <f t="shared" si="8"/>
        <v>-21898</v>
      </c>
      <c r="F68" s="238">
        <f t="shared" si="9"/>
        <v>-0.35937243575015593</v>
      </c>
    </row>
    <row r="69" spans="1:6" ht="20.25" customHeight="1" x14ac:dyDescent="0.3">
      <c r="A69" s="235">
        <v>4</v>
      </c>
      <c r="B69" s="236" t="s">
        <v>435</v>
      </c>
      <c r="C69" s="237">
        <v>56013</v>
      </c>
      <c r="D69" s="237">
        <v>11676</v>
      </c>
      <c r="E69" s="237">
        <f t="shared" si="8"/>
        <v>-44337</v>
      </c>
      <c r="F69" s="238">
        <f t="shared" si="9"/>
        <v>-0.79154839055219328</v>
      </c>
    </row>
    <row r="70" spans="1:6" ht="20.25" customHeight="1" x14ac:dyDescent="0.3">
      <c r="A70" s="235">
        <v>5</v>
      </c>
      <c r="B70" s="236" t="s">
        <v>371</v>
      </c>
      <c r="C70" s="239">
        <v>6</v>
      </c>
      <c r="D70" s="239">
        <v>4</v>
      </c>
      <c r="E70" s="239">
        <f t="shared" si="8"/>
        <v>-2</v>
      </c>
      <c r="F70" s="238">
        <f t="shared" si="9"/>
        <v>-0.33333333333333331</v>
      </c>
    </row>
    <row r="71" spans="1:6" ht="20.25" customHeight="1" x14ac:dyDescent="0.3">
      <c r="A71" s="235">
        <v>6</v>
      </c>
      <c r="B71" s="236" t="s">
        <v>370</v>
      </c>
      <c r="C71" s="239">
        <v>36</v>
      </c>
      <c r="D71" s="239">
        <v>16</v>
      </c>
      <c r="E71" s="239">
        <f t="shared" si="8"/>
        <v>-20</v>
      </c>
      <c r="F71" s="238">
        <f t="shared" si="9"/>
        <v>-0.55555555555555558</v>
      </c>
    </row>
    <row r="72" spans="1:6" ht="20.25" customHeight="1" x14ac:dyDescent="0.3">
      <c r="A72" s="235">
        <v>7</v>
      </c>
      <c r="B72" s="236" t="s">
        <v>436</v>
      </c>
      <c r="C72" s="239">
        <v>52</v>
      </c>
      <c r="D72" s="239">
        <v>20</v>
      </c>
      <c r="E72" s="239">
        <f t="shared" si="8"/>
        <v>-32</v>
      </c>
      <c r="F72" s="238">
        <f t="shared" si="9"/>
        <v>-0.61538461538461542</v>
      </c>
    </row>
    <row r="73" spans="1:6" ht="20.25" customHeight="1" x14ac:dyDescent="0.3">
      <c r="A73" s="235">
        <v>8</v>
      </c>
      <c r="B73" s="236" t="s">
        <v>437</v>
      </c>
      <c r="C73" s="239">
        <v>16</v>
      </c>
      <c r="D73" s="239">
        <v>22</v>
      </c>
      <c r="E73" s="239">
        <f t="shared" si="8"/>
        <v>6</v>
      </c>
      <c r="F73" s="238">
        <f t="shared" si="9"/>
        <v>0.375</v>
      </c>
    </row>
    <row r="74" spans="1:6" ht="20.25" customHeight="1" x14ac:dyDescent="0.3">
      <c r="A74" s="235">
        <v>9</v>
      </c>
      <c r="B74" s="236" t="s">
        <v>438</v>
      </c>
      <c r="C74" s="239">
        <v>10</v>
      </c>
      <c r="D74" s="239">
        <v>5</v>
      </c>
      <c r="E74" s="239">
        <f t="shared" si="8"/>
        <v>-5</v>
      </c>
      <c r="F74" s="238">
        <f t="shared" si="9"/>
        <v>-0.5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226439</v>
      </c>
      <c r="D75" s="243">
        <f>+D66+D68</f>
        <v>115817</v>
      </c>
      <c r="E75" s="243">
        <f t="shared" si="8"/>
        <v>-110622</v>
      </c>
      <c r="F75" s="244">
        <f t="shared" si="9"/>
        <v>-0.48852891948825072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110649</v>
      </c>
      <c r="D76" s="243">
        <f>+D67+D69</f>
        <v>51978</v>
      </c>
      <c r="E76" s="243">
        <f t="shared" si="8"/>
        <v>-58671</v>
      </c>
      <c r="F76" s="244">
        <f t="shared" si="9"/>
        <v>-0.53024428598541329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435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0</v>
      </c>
      <c r="D92" s="237">
        <v>2064076</v>
      </c>
      <c r="E92" s="237">
        <f t="shared" ref="E92:E102" si="12">D92-C92</f>
        <v>2064076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433</v>
      </c>
      <c r="C93" s="237">
        <v>0</v>
      </c>
      <c r="D93" s="237">
        <v>1038578</v>
      </c>
      <c r="E93" s="237">
        <f t="shared" si="12"/>
        <v>1038578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434</v>
      </c>
      <c r="C94" s="237">
        <v>0</v>
      </c>
      <c r="D94" s="237">
        <v>2497121</v>
      </c>
      <c r="E94" s="237">
        <f t="shared" si="12"/>
        <v>2497121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435</v>
      </c>
      <c r="C95" s="237">
        <v>0</v>
      </c>
      <c r="D95" s="237">
        <v>645160</v>
      </c>
      <c r="E95" s="237">
        <f t="shared" si="12"/>
        <v>645160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371</v>
      </c>
      <c r="C96" s="239">
        <v>0</v>
      </c>
      <c r="D96" s="239">
        <v>86</v>
      </c>
      <c r="E96" s="239">
        <f t="shared" si="12"/>
        <v>86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370</v>
      </c>
      <c r="C97" s="239">
        <v>0</v>
      </c>
      <c r="D97" s="239">
        <v>440</v>
      </c>
      <c r="E97" s="239">
        <f t="shared" si="12"/>
        <v>440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436</v>
      </c>
      <c r="C98" s="239">
        <v>0</v>
      </c>
      <c r="D98" s="239">
        <v>2257</v>
      </c>
      <c r="E98" s="239">
        <f t="shared" si="12"/>
        <v>2257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437</v>
      </c>
      <c r="C99" s="239">
        <v>0</v>
      </c>
      <c r="D99" s="239">
        <v>222</v>
      </c>
      <c r="E99" s="239">
        <f t="shared" si="12"/>
        <v>222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438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0</v>
      </c>
      <c r="D101" s="243">
        <f>+D92+D94</f>
        <v>4561197</v>
      </c>
      <c r="E101" s="243">
        <f t="shared" si="12"/>
        <v>4561197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0</v>
      </c>
      <c r="D102" s="243">
        <f>+D93+D95</f>
        <v>1683738</v>
      </c>
      <c r="E102" s="243">
        <f t="shared" si="12"/>
        <v>1683738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155798</v>
      </c>
      <c r="D105" s="237">
        <v>377788</v>
      </c>
      <c r="E105" s="237">
        <f t="shared" ref="E105:E115" si="14">D105-C105</f>
        <v>221990</v>
      </c>
      <c r="F105" s="238">
        <f t="shared" ref="F105:F115" si="15">IF(C105=0,0,E105/C105)</f>
        <v>1.4248578287269413</v>
      </c>
    </row>
    <row r="106" spans="1:6" ht="20.25" customHeight="1" x14ac:dyDescent="0.3">
      <c r="A106" s="235">
        <v>2</v>
      </c>
      <c r="B106" s="236" t="s">
        <v>433</v>
      </c>
      <c r="C106" s="237">
        <v>42052</v>
      </c>
      <c r="D106" s="237">
        <v>161920</v>
      </c>
      <c r="E106" s="237">
        <f t="shared" si="14"/>
        <v>119868</v>
      </c>
      <c r="F106" s="238">
        <f t="shared" si="15"/>
        <v>2.850470845619709</v>
      </c>
    </row>
    <row r="107" spans="1:6" ht="20.25" customHeight="1" x14ac:dyDescent="0.3">
      <c r="A107" s="235">
        <v>3</v>
      </c>
      <c r="B107" s="236" t="s">
        <v>434</v>
      </c>
      <c r="C107" s="237">
        <v>60303</v>
      </c>
      <c r="D107" s="237">
        <v>61456</v>
      </c>
      <c r="E107" s="237">
        <f t="shared" si="14"/>
        <v>1153</v>
      </c>
      <c r="F107" s="238">
        <f t="shared" si="15"/>
        <v>1.9120110110608095E-2</v>
      </c>
    </row>
    <row r="108" spans="1:6" ht="20.25" customHeight="1" x14ac:dyDescent="0.3">
      <c r="A108" s="235">
        <v>4</v>
      </c>
      <c r="B108" s="236" t="s">
        <v>435</v>
      </c>
      <c r="C108" s="237">
        <v>18830</v>
      </c>
      <c r="D108" s="237">
        <v>19352</v>
      </c>
      <c r="E108" s="237">
        <f t="shared" si="14"/>
        <v>522</v>
      </c>
      <c r="F108" s="238">
        <f t="shared" si="15"/>
        <v>2.7721720658523633E-2</v>
      </c>
    </row>
    <row r="109" spans="1:6" ht="20.25" customHeight="1" x14ac:dyDescent="0.3">
      <c r="A109" s="235">
        <v>5</v>
      </c>
      <c r="B109" s="236" t="s">
        <v>371</v>
      </c>
      <c r="C109" s="239">
        <v>5</v>
      </c>
      <c r="D109" s="239">
        <v>11</v>
      </c>
      <c r="E109" s="239">
        <f t="shared" si="14"/>
        <v>6</v>
      </c>
      <c r="F109" s="238">
        <f t="shared" si="15"/>
        <v>1.2</v>
      </c>
    </row>
    <row r="110" spans="1:6" ht="20.25" customHeight="1" x14ac:dyDescent="0.3">
      <c r="A110" s="235">
        <v>6</v>
      </c>
      <c r="B110" s="236" t="s">
        <v>370</v>
      </c>
      <c r="C110" s="239">
        <v>25</v>
      </c>
      <c r="D110" s="239">
        <v>72</v>
      </c>
      <c r="E110" s="239">
        <f t="shared" si="14"/>
        <v>47</v>
      </c>
      <c r="F110" s="238">
        <f t="shared" si="15"/>
        <v>1.88</v>
      </c>
    </row>
    <row r="111" spans="1:6" ht="20.25" customHeight="1" x14ac:dyDescent="0.3">
      <c r="A111" s="235">
        <v>7</v>
      </c>
      <c r="B111" s="236" t="s">
        <v>436</v>
      </c>
      <c r="C111" s="239">
        <v>39</v>
      </c>
      <c r="D111" s="239">
        <v>46</v>
      </c>
      <c r="E111" s="239">
        <f t="shared" si="14"/>
        <v>7</v>
      </c>
      <c r="F111" s="238">
        <f t="shared" si="15"/>
        <v>0.17948717948717949</v>
      </c>
    </row>
    <row r="112" spans="1:6" ht="20.25" customHeight="1" x14ac:dyDescent="0.3">
      <c r="A112" s="235">
        <v>8</v>
      </c>
      <c r="B112" s="236" t="s">
        <v>437</v>
      </c>
      <c r="C112" s="239">
        <v>10</v>
      </c>
      <c r="D112" s="239">
        <v>13</v>
      </c>
      <c r="E112" s="239">
        <f t="shared" si="14"/>
        <v>3</v>
      </c>
      <c r="F112" s="238">
        <f t="shared" si="15"/>
        <v>0.3</v>
      </c>
    </row>
    <row r="113" spans="1:6" ht="20.25" customHeight="1" x14ac:dyDescent="0.3">
      <c r="A113" s="235">
        <v>9</v>
      </c>
      <c r="B113" s="236" t="s">
        <v>438</v>
      </c>
      <c r="C113" s="239">
        <v>4</v>
      </c>
      <c r="D113" s="239">
        <v>7</v>
      </c>
      <c r="E113" s="239">
        <f t="shared" si="14"/>
        <v>3</v>
      </c>
      <c r="F113" s="238">
        <f t="shared" si="15"/>
        <v>0.75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216101</v>
      </c>
      <c r="D114" s="243">
        <f>+D105+D107</f>
        <v>439244</v>
      </c>
      <c r="E114" s="243">
        <f t="shared" si="14"/>
        <v>223143</v>
      </c>
      <c r="F114" s="244">
        <f t="shared" si="15"/>
        <v>1.0325866145922509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60882</v>
      </c>
      <c r="D115" s="243">
        <f>+D106+D108</f>
        <v>181272</v>
      </c>
      <c r="E115" s="243">
        <f t="shared" si="14"/>
        <v>120390</v>
      </c>
      <c r="F115" s="244">
        <f t="shared" si="15"/>
        <v>1.9774317532275549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369160</v>
      </c>
      <c r="D118" s="237">
        <v>290957</v>
      </c>
      <c r="E118" s="237">
        <f t="shared" ref="E118:E128" si="16">D118-C118</f>
        <v>-78203</v>
      </c>
      <c r="F118" s="238">
        <f t="shared" ref="F118:F128" si="17">IF(C118=0,0,E118/C118)</f>
        <v>-0.21184039440892838</v>
      </c>
    </row>
    <row r="119" spans="1:6" ht="20.25" customHeight="1" x14ac:dyDescent="0.3">
      <c r="A119" s="235">
        <v>2</v>
      </c>
      <c r="B119" s="236" t="s">
        <v>433</v>
      </c>
      <c r="C119" s="237">
        <v>138178</v>
      </c>
      <c r="D119" s="237">
        <v>167992</v>
      </c>
      <c r="E119" s="237">
        <f t="shared" si="16"/>
        <v>29814</v>
      </c>
      <c r="F119" s="238">
        <f t="shared" si="17"/>
        <v>0.21576517245871268</v>
      </c>
    </row>
    <row r="120" spans="1:6" ht="20.25" customHeight="1" x14ac:dyDescent="0.3">
      <c r="A120" s="235">
        <v>3</v>
      </c>
      <c r="B120" s="236" t="s">
        <v>434</v>
      </c>
      <c r="C120" s="237">
        <v>367105</v>
      </c>
      <c r="D120" s="237">
        <v>342064</v>
      </c>
      <c r="E120" s="237">
        <f t="shared" si="16"/>
        <v>-25041</v>
      </c>
      <c r="F120" s="238">
        <f t="shared" si="17"/>
        <v>-6.8212091908309611E-2</v>
      </c>
    </row>
    <row r="121" spans="1:6" ht="20.25" customHeight="1" x14ac:dyDescent="0.3">
      <c r="A121" s="235">
        <v>4</v>
      </c>
      <c r="B121" s="236" t="s">
        <v>435</v>
      </c>
      <c r="C121" s="237">
        <v>99255</v>
      </c>
      <c r="D121" s="237">
        <v>95281</v>
      </c>
      <c r="E121" s="237">
        <f t="shared" si="16"/>
        <v>-3974</v>
      </c>
      <c r="F121" s="238">
        <f t="shared" si="17"/>
        <v>-4.0038285224925696E-2</v>
      </c>
    </row>
    <row r="122" spans="1:6" ht="20.25" customHeight="1" x14ac:dyDescent="0.3">
      <c r="A122" s="235">
        <v>5</v>
      </c>
      <c r="B122" s="236" t="s">
        <v>371</v>
      </c>
      <c r="C122" s="239">
        <v>16</v>
      </c>
      <c r="D122" s="239">
        <v>14</v>
      </c>
      <c r="E122" s="239">
        <f t="shared" si="16"/>
        <v>-2</v>
      </c>
      <c r="F122" s="238">
        <f t="shared" si="17"/>
        <v>-0.125</v>
      </c>
    </row>
    <row r="123" spans="1:6" ht="20.25" customHeight="1" x14ac:dyDescent="0.3">
      <c r="A123" s="235">
        <v>6</v>
      </c>
      <c r="B123" s="236" t="s">
        <v>370</v>
      </c>
      <c r="C123" s="239">
        <v>76</v>
      </c>
      <c r="D123" s="239">
        <v>73</v>
      </c>
      <c r="E123" s="239">
        <f t="shared" si="16"/>
        <v>-3</v>
      </c>
      <c r="F123" s="238">
        <f t="shared" si="17"/>
        <v>-3.9473684210526314E-2</v>
      </c>
    </row>
    <row r="124" spans="1:6" ht="20.25" customHeight="1" x14ac:dyDescent="0.3">
      <c r="A124" s="235">
        <v>7</v>
      </c>
      <c r="B124" s="236" t="s">
        <v>436</v>
      </c>
      <c r="C124" s="239">
        <v>344</v>
      </c>
      <c r="D124" s="239">
        <v>279</v>
      </c>
      <c r="E124" s="239">
        <f t="shared" si="16"/>
        <v>-65</v>
      </c>
      <c r="F124" s="238">
        <f t="shared" si="17"/>
        <v>-0.18895348837209303</v>
      </c>
    </row>
    <row r="125" spans="1:6" ht="20.25" customHeight="1" x14ac:dyDescent="0.3">
      <c r="A125" s="235">
        <v>8</v>
      </c>
      <c r="B125" s="236" t="s">
        <v>437</v>
      </c>
      <c r="C125" s="239">
        <v>32</v>
      </c>
      <c r="D125" s="239">
        <v>34</v>
      </c>
      <c r="E125" s="239">
        <f t="shared" si="16"/>
        <v>2</v>
      </c>
      <c r="F125" s="238">
        <f t="shared" si="17"/>
        <v>6.25E-2</v>
      </c>
    </row>
    <row r="126" spans="1:6" ht="20.25" customHeight="1" x14ac:dyDescent="0.3">
      <c r="A126" s="235">
        <v>9</v>
      </c>
      <c r="B126" s="236" t="s">
        <v>438</v>
      </c>
      <c r="C126" s="239">
        <v>13</v>
      </c>
      <c r="D126" s="239">
        <v>10</v>
      </c>
      <c r="E126" s="239">
        <f t="shared" si="16"/>
        <v>-3</v>
      </c>
      <c r="F126" s="238">
        <f t="shared" si="17"/>
        <v>-0.23076923076923078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736265</v>
      </c>
      <c r="D127" s="243">
        <f>+D118+D120</f>
        <v>633021</v>
      </c>
      <c r="E127" s="243">
        <f t="shared" si="16"/>
        <v>-103244</v>
      </c>
      <c r="F127" s="244">
        <f t="shared" si="17"/>
        <v>-0.14022668468554123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237433</v>
      </c>
      <c r="D128" s="243">
        <f>+D119+D121</f>
        <v>263273</v>
      </c>
      <c r="E128" s="243">
        <f t="shared" si="16"/>
        <v>25840</v>
      </c>
      <c r="F128" s="244">
        <f t="shared" si="17"/>
        <v>0.10883070171374662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0</v>
      </c>
      <c r="D131" s="237">
        <v>19453</v>
      </c>
      <c r="E131" s="237">
        <f t="shared" ref="E131:E141" si="18">D131-C131</f>
        <v>19453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433</v>
      </c>
      <c r="C132" s="237">
        <v>0</v>
      </c>
      <c r="D132" s="237">
        <v>10099</v>
      </c>
      <c r="E132" s="237">
        <f t="shared" si="18"/>
        <v>10099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434</v>
      </c>
      <c r="C133" s="237">
        <v>30157</v>
      </c>
      <c r="D133" s="237">
        <v>16355</v>
      </c>
      <c r="E133" s="237">
        <f t="shared" si="18"/>
        <v>-13802</v>
      </c>
      <c r="F133" s="238">
        <f t="shared" si="19"/>
        <v>-0.4576715190503034</v>
      </c>
    </row>
    <row r="134" spans="1:6" ht="20.25" customHeight="1" x14ac:dyDescent="0.3">
      <c r="A134" s="235">
        <v>4</v>
      </c>
      <c r="B134" s="236" t="s">
        <v>435</v>
      </c>
      <c r="C134" s="237">
        <v>16824</v>
      </c>
      <c r="D134" s="237">
        <v>8286</v>
      </c>
      <c r="E134" s="237">
        <f t="shared" si="18"/>
        <v>-8538</v>
      </c>
      <c r="F134" s="238">
        <f t="shared" si="19"/>
        <v>-0.50748930099857348</v>
      </c>
    </row>
    <row r="135" spans="1:6" ht="20.25" customHeight="1" x14ac:dyDescent="0.3">
      <c r="A135" s="235">
        <v>5</v>
      </c>
      <c r="B135" s="236" t="s">
        <v>371</v>
      </c>
      <c r="C135" s="239">
        <v>0</v>
      </c>
      <c r="D135" s="239">
        <v>1</v>
      </c>
      <c r="E135" s="239">
        <f t="shared" si="18"/>
        <v>1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370</v>
      </c>
      <c r="C136" s="239">
        <v>0</v>
      </c>
      <c r="D136" s="239">
        <v>5</v>
      </c>
      <c r="E136" s="239">
        <f t="shared" si="18"/>
        <v>5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436</v>
      </c>
      <c r="C137" s="239">
        <v>24</v>
      </c>
      <c r="D137" s="239">
        <v>23</v>
      </c>
      <c r="E137" s="239">
        <f t="shared" si="18"/>
        <v>-1</v>
      </c>
      <c r="F137" s="238">
        <f t="shared" si="19"/>
        <v>-4.1666666666666664E-2</v>
      </c>
    </row>
    <row r="138" spans="1:6" ht="20.25" customHeight="1" x14ac:dyDescent="0.3">
      <c r="A138" s="235">
        <v>8</v>
      </c>
      <c r="B138" s="236" t="s">
        <v>437</v>
      </c>
      <c r="C138" s="239">
        <v>8</v>
      </c>
      <c r="D138" s="239">
        <v>6</v>
      </c>
      <c r="E138" s="239">
        <f t="shared" si="18"/>
        <v>-2</v>
      </c>
      <c r="F138" s="238">
        <f t="shared" si="19"/>
        <v>-0.25</v>
      </c>
    </row>
    <row r="139" spans="1:6" ht="20.25" customHeight="1" x14ac:dyDescent="0.3">
      <c r="A139" s="235">
        <v>9</v>
      </c>
      <c r="B139" s="236" t="s">
        <v>438</v>
      </c>
      <c r="C139" s="239">
        <v>0</v>
      </c>
      <c r="D139" s="239">
        <v>1</v>
      </c>
      <c r="E139" s="239">
        <f t="shared" si="18"/>
        <v>1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30157</v>
      </c>
      <c r="D140" s="243">
        <f>+D131+D133</f>
        <v>35808</v>
      </c>
      <c r="E140" s="243">
        <f t="shared" si="18"/>
        <v>5651</v>
      </c>
      <c r="F140" s="244">
        <f t="shared" si="19"/>
        <v>0.18738601319759923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16824</v>
      </c>
      <c r="D141" s="243">
        <f>+D132+D134</f>
        <v>18385</v>
      </c>
      <c r="E141" s="243">
        <f t="shared" si="18"/>
        <v>1561</v>
      </c>
      <c r="F141" s="244">
        <f t="shared" si="19"/>
        <v>9.2784117926771284E-2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296375</v>
      </c>
      <c r="D144" s="237">
        <v>654073</v>
      </c>
      <c r="E144" s="237">
        <f t="shared" ref="E144:E154" si="20">D144-C144</f>
        <v>357698</v>
      </c>
      <c r="F144" s="238">
        <f t="shared" ref="F144:F154" si="21">IF(C144=0,0,E144/C144)</f>
        <v>1.2069101644875579</v>
      </c>
    </row>
    <row r="145" spans="1:6" ht="20.25" customHeight="1" x14ac:dyDescent="0.3">
      <c r="A145" s="235">
        <v>2</v>
      </c>
      <c r="B145" s="236" t="s">
        <v>433</v>
      </c>
      <c r="C145" s="237">
        <v>93246</v>
      </c>
      <c r="D145" s="237">
        <v>329733</v>
      </c>
      <c r="E145" s="237">
        <f t="shared" si="20"/>
        <v>236487</v>
      </c>
      <c r="F145" s="238">
        <f t="shared" si="21"/>
        <v>2.5361624091113826</v>
      </c>
    </row>
    <row r="146" spans="1:6" ht="20.25" customHeight="1" x14ac:dyDescent="0.3">
      <c r="A146" s="235">
        <v>3</v>
      </c>
      <c r="B146" s="236" t="s">
        <v>434</v>
      </c>
      <c r="C146" s="237">
        <v>401597</v>
      </c>
      <c r="D146" s="237">
        <v>681567</v>
      </c>
      <c r="E146" s="237">
        <f t="shared" si="20"/>
        <v>279970</v>
      </c>
      <c r="F146" s="238">
        <f t="shared" si="21"/>
        <v>0.69714166191480509</v>
      </c>
    </row>
    <row r="147" spans="1:6" ht="20.25" customHeight="1" x14ac:dyDescent="0.3">
      <c r="A147" s="235">
        <v>4</v>
      </c>
      <c r="B147" s="236" t="s">
        <v>435</v>
      </c>
      <c r="C147" s="237">
        <v>91506</v>
      </c>
      <c r="D147" s="237">
        <v>162744</v>
      </c>
      <c r="E147" s="237">
        <f t="shared" si="20"/>
        <v>71238</v>
      </c>
      <c r="F147" s="238">
        <f t="shared" si="21"/>
        <v>0.77850632745393744</v>
      </c>
    </row>
    <row r="148" spans="1:6" ht="20.25" customHeight="1" x14ac:dyDescent="0.3">
      <c r="A148" s="235">
        <v>5</v>
      </c>
      <c r="B148" s="236" t="s">
        <v>371</v>
      </c>
      <c r="C148" s="239">
        <v>16</v>
      </c>
      <c r="D148" s="239">
        <v>26</v>
      </c>
      <c r="E148" s="239">
        <f t="shared" si="20"/>
        <v>10</v>
      </c>
      <c r="F148" s="238">
        <f t="shared" si="21"/>
        <v>0.625</v>
      </c>
    </row>
    <row r="149" spans="1:6" ht="20.25" customHeight="1" x14ac:dyDescent="0.3">
      <c r="A149" s="235">
        <v>6</v>
      </c>
      <c r="B149" s="236" t="s">
        <v>370</v>
      </c>
      <c r="C149" s="239">
        <v>66</v>
      </c>
      <c r="D149" s="239">
        <v>119</v>
      </c>
      <c r="E149" s="239">
        <f t="shared" si="20"/>
        <v>53</v>
      </c>
      <c r="F149" s="238">
        <f t="shared" si="21"/>
        <v>0.80303030303030298</v>
      </c>
    </row>
    <row r="150" spans="1:6" ht="20.25" customHeight="1" x14ac:dyDescent="0.3">
      <c r="A150" s="235">
        <v>7</v>
      </c>
      <c r="B150" s="236" t="s">
        <v>436</v>
      </c>
      <c r="C150" s="239">
        <v>326</v>
      </c>
      <c r="D150" s="239">
        <v>549</v>
      </c>
      <c r="E150" s="239">
        <f t="shared" si="20"/>
        <v>223</v>
      </c>
      <c r="F150" s="238">
        <f t="shared" si="21"/>
        <v>0.68404907975460127</v>
      </c>
    </row>
    <row r="151" spans="1:6" ht="20.25" customHeight="1" x14ac:dyDescent="0.3">
      <c r="A151" s="235">
        <v>8</v>
      </c>
      <c r="B151" s="236" t="s">
        <v>437</v>
      </c>
      <c r="C151" s="239">
        <v>45</v>
      </c>
      <c r="D151" s="239">
        <v>62</v>
      </c>
      <c r="E151" s="239">
        <f t="shared" si="20"/>
        <v>17</v>
      </c>
      <c r="F151" s="238">
        <f t="shared" si="21"/>
        <v>0.37777777777777777</v>
      </c>
    </row>
    <row r="152" spans="1:6" ht="20.25" customHeight="1" x14ac:dyDescent="0.3">
      <c r="A152" s="235">
        <v>9</v>
      </c>
      <c r="B152" s="236" t="s">
        <v>438</v>
      </c>
      <c r="C152" s="239">
        <v>13</v>
      </c>
      <c r="D152" s="239">
        <v>31</v>
      </c>
      <c r="E152" s="239">
        <f t="shared" si="20"/>
        <v>18</v>
      </c>
      <c r="F152" s="238">
        <f t="shared" si="21"/>
        <v>1.3846153846153846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697972</v>
      </c>
      <c r="D153" s="243">
        <f>+D144+D146</f>
        <v>1335640</v>
      </c>
      <c r="E153" s="243">
        <f t="shared" si="20"/>
        <v>637668</v>
      </c>
      <c r="F153" s="244">
        <f t="shared" si="21"/>
        <v>0.91360111866951688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184752</v>
      </c>
      <c r="D154" s="243">
        <f>+D145+D147</f>
        <v>492477</v>
      </c>
      <c r="E154" s="243">
        <f t="shared" si="20"/>
        <v>307725</v>
      </c>
      <c r="F154" s="244">
        <f t="shared" si="21"/>
        <v>1.6656111977136918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628834</v>
      </c>
      <c r="D183" s="237">
        <v>380232</v>
      </c>
      <c r="E183" s="237">
        <f t="shared" ref="E183:E193" si="26">D183-C183</f>
        <v>-248602</v>
      </c>
      <c r="F183" s="238">
        <f t="shared" ref="F183:F193" si="27">IF(C183=0,0,E183/C183)</f>
        <v>-0.39533803833762171</v>
      </c>
    </row>
    <row r="184" spans="1:6" ht="20.25" customHeight="1" x14ac:dyDescent="0.3">
      <c r="A184" s="235">
        <v>2</v>
      </c>
      <c r="B184" s="236" t="s">
        <v>433</v>
      </c>
      <c r="C184" s="237">
        <v>306154</v>
      </c>
      <c r="D184" s="237">
        <v>191480</v>
      </c>
      <c r="E184" s="237">
        <f t="shared" si="26"/>
        <v>-114674</v>
      </c>
      <c r="F184" s="238">
        <f t="shared" si="27"/>
        <v>-0.37456312836023703</v>
      </c>
    </row>
    <row r="185" spans="1:6" ht="20.25" customHeight="1" x14ac:dyDescent="0.3">
      <c r="A185" s="235">
        <v>3</v>
      </c>
      <c r="B185" s="236" t="s">
        <v>434</v>
      </c>
      <c r="C185" s="237">
        <v>180734</v>
      </c>
      <c r="D185" s="237">
        <v>223739</v>
      </c>
      <c r="E185" s="237">
        <f t="shared" si="26"/>
        <v>43005</v>
      </c>
      <c r="F185" s="238">
        <f t="shared" si="27"/>
        <v>0.23794637422953069</v>
      </c>
    </row>
    <row r="186" spans="1:6" ht="20.25" customHeight="1" x14ac:dyDescent="0.3">
      <c r="A186" s="235">
        <v>4</v>
      </c>
      <c r="B186" s="236" t="s">
        <v>435</v>
      </c>
      <c r="C186" s="237">
        <v>46788</v>
      </c>
      <c r="D186" s="237">
        <v>57131</v>
      </c>
      <c r="E186" s="237">
        <f t="shared" si="26"/>
        <v>10343</v>
      </c>
      <c r="F186" s="238">
        <f t="shared" si="27"/>
        <v>0.22106095580063265</v>
      </c>
    </row>
    <row r="187" spans="1:6" ht="20.25" customHeight="1" x14ac:dyDescent="0.3">
      <c r="A187" s="235">
        <v>5</v>
      </c>
      <c r="B187" s="236" t="s">
        <v>371</v>
      </c>
      <c r="C187" s="239">
        <v>19</v>
      </c>
      <c r="D187" s="239">
        <v>15</v>
      </c>
      <c r="E187" s="239">
        <f t="shared" si="26"/>
        <v>-4</v>
      </c>
      <c r="F187" s="238">
        <f t="shared" si="27"/>
        <v>-0.21052631578947367</v>
      </c>
    </row>
    <row r="188" spans="1:6" ht="20.25" customHeight="1" x14ac:dyDescent="0.3">
      <c r="A188" s="235">
        <v>6</v>
      </c>
      <c r="B188" s="236" t="s">
        <v>370</v>
      </c>
      <c r="C188" s="239">
        <v>170</v>
      </c>
      <c r="D188" s="239">
        <v>89</v>
      </c>
      <c r="E188" s="239">
        <f t="shared" si="26"/>
        <v>-81</v>
      </c>
      <c r="F188" s="238">
        <f t="shared" si="27"/>
        <v>-0.47647058823529409</v>
      </c>
    </row>
    <row r="189" spans="1:6" ht="20.25" customHeight="1" x14ac:dyDescent="0.3">
      <c r="A189" s="235">
        <v>7</v>
      </c>
      <c r="B189" s="236" t="s">
        <v>436</v>
      </c>
      <c r="C189" s="239">
        <v>617</v>
      </c>
      <c r="D189" s="239">
        <v>705</v>
      </c>
      <c r="E189" s="239">
        <f t="shared" si="26"/>
        <v>88</v>
      </c>
      <c r="F189" s="238">
        <f t="shared" si="27"/>
        <v>0.14262560777957861</v>
      </c>
    </row>
    <row r="190" spans="1:6" ht="20.25" customHeight="1" x14ac:dyDescent="0.3">
      <c r="A190" s="235">
        <v>8</v>
      </c>
      <c r="B190" s="236" t="s">
        <v>437</v>
      </c>
      <c r="C190" s="239">
        <v>32</v>
      </c>
      <c r="D190" s="239">
        <v>50</v>
      </c>
      <c r="E190" s="239">
        <f t="shared" si="26"/>
        <v>18</v>
      </c>
      <c r="F190" s="238">
        <f t="shared" si="27"/>
        <v>0.5625</v>
      </c>
    </row>
    <row r="191" spans="1:6" ht="20.25" customHeight="1" x14ac:dyDescent="0.3">
      <c r="A191" s="235">
        <v>9</v>
      </c>
      <c r="B191" s="236" t="s">
        <v>438</v>
      </c>
      <c r="C191" s="239">
        <v>16</v>
      </c>
      <c r="D191" s="239">
        <v>22</v>
      </c>
      <c r="E191" s="239">
        <f t="shared" si="26"/>
        <v>6</v>
      </c>
      <c r="F191" s="238">
        <f t="shared" si="27"/>
        <v>0.375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809568</v>
      </c>
      <c r="D192" s="243">
        <f>+D183+D185</f>
        <v>603971</v>
      </c>
      <c r="E192" s="243">
        <f t="shared" si="26"/>
        <v>-205597</v>
      </c>
      <c r="F192" s="244">
        <f t="shared" si="27"/>
        <v>-0.25395890153761019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352942</v>
      </c>
      <c r="D193" s="243">
        <f>+D184+D186</f>
        <v>248611</v>
      </c>
      <c r="E193" s="243">
        <f t="shared" si="26"/>
        <v>-104331</v>
      </c>
      <c r="F193" s="244">
        <f t="shared" si="27"/>
        <v>-0.29560381025777605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90" t="s">
        <v>44</v>
      </c>
      <c r="B195" s="691" t="s">
        <v>457</v>
      </c>
      <c r="C195" s="693"/>
      <c r="D195" s="694"/>
      <c r="E195" s="694"/>
      <c r="F195" s="695"/>
      <c r="G195" s="675"/>
      <c r="H195" s="675"/>
      <c r="I195" s="675"/>
    </row>
    <row r="196" spans="1:9" ht="20.25" customHeight="1" x14ac:dyDescent="0.3">
      <c r="A196" s="681"/>
      <c r="B196" s="692"/>
      <c r="C196" s="687"/>
      <c r="D196" s="688"/>
      <c r="E196" s="688"/>
      <c r="F196" s="689"/>
      <c r="G196" s="675"/>
      <c r="H196" s="675"/>
      <c r="I196" s="675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7018090</v>
      </c>
      <c r="D198" s="243">
        <f t="shared" si="28"/>
        <v>7310781</v>
      </c>
      <c r="E198" s="243">
        <f t="shared" ref="E198:E208" si="29">D198-C198</f>
        <v>292691</v>
      </c>
      <c r="F198" s="251">
        <f t="shared" ref="F198:F208" si="30">IF(C198=0,0,E198/C198)</f>
        <v>4.1705221791114105E-2</v>
      </c>
    </row>
    <row r="199" spans="1:9" ht="20.25" customHeight="1" x14ac:dyDescent="0.3">
      <c r="A199" s="249"/>
      <c r="B199" s="250" t="s">
        <v>459</v>
      </c>
      <c r="C199" s="243">
        <f t="shared" si="28"/>
        <v>2376878</v>
      </c>
      <c r="D199" s="243">
        <f t="shared" si="28"/>
        <v>3554102</v>
      </c>
      <c r="E199" s="243">
        <f t="shared" si="29"/>
        <v>1177224</v>
      </c>
      <c r="F199" s="251">
        <f t="shared" si="30"/>
        <v>0.49528162572921286</v>
      </c>
    </row>
    <row r="200" spans="1:9" ht="20.25" customHeight="1" x14ac:dyDescent="0.3">
      <c r="A200" s="249"/>
      <c r="B200" s="250" t="s">
        <v>460</v>
      </c>
      <c r="C200" s="243">
        <f t="shared" si="28"/>
        <v>5734884</v>
      </c>
      <c r="D200" s="243">
        <f t="shared" si="28"/>
        <v>6591509</v>
      </c>
      <c r="E200" s="243">
        <f t="shared" si="29"/>
        <v>856625</v>
      </c>
      <c r="F200" s="251">
        <f t="shared" si="30"/>
        <v>0.14937093758130068</v>
      </c>
    </row>
    <row r="201" spans="1:9" ht="20.25" customHeight="1" x14ac:dyDescent="0.3">
      <c r="A201" s="249"/>
      <c r="B201" s="250" t="s">
        <v>461</v>
      </c>
      <c r="C201" s="243">
        <f t="shared" si="28"/>
        <v>1589532</v>
      </c>
      <c r="D201" s="243">
        <f t="shared" si="28"/>
        <v>1692060</v>
      </c>
      <c r="E201" s="243">
        <f t="shared" si="29"/>
        <v>102528</v>
      </c>
      <c r="F201" s="251">
        <f t="shared" si="30"/>
        <v>6.4502004363548512E-2</v>
      </c>
    </row>
    <row r="202" spans="1:9" ht="20.25" customHeight="1" x14ac:dyDescent="0.3">
      <c r="A202" s="249"/>
      <c r="B202" s="250" t="s">
        <v>462</v>
      </c>
      <c r="C202" s="252">
        <f t="shared" si="28"/>
        <v>276</v>
      </c>
      <c r="D202" s="252">
        <f t="shared" si="28"/>
        <v>269</v>
      </c>
      <c r="E202" s="252">
        <f t="shared" si="29"/>
        <v>-7</v>
      </c>
      <c r="F202" s="251">
        <f t="shared" si="30"/>
        <v>-2.5362318840579712E-2</v>
      </c>
    </row>
    <row r="203" spans="1:9" ht="20.25" customHeight="1" x14ac:dyDescent="0.3">
      <c r="A203" s="249"/>
      <c r="B203" s="250" t="s">
        <v>463</v>
      </c>
      <c r="C203" s="252">
        <f t="shared" si="28"/>
        <v>1591</v>
      </c>
      <c r="D203" s="252">
        <f t="shared" si="28"/>
        <v>1491</v>
      </c>
      <c r="E203" s="252">
        <f t="shared" si="29"/>
        <v>-100</v>
      </c>
      <c r="F203" s="251">
        <f t="shared" si="30"/>
        <v>-6.2853551225644247E-2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5877</v>
      </c>
      <c r="D204" s="252">
        <f t="shared" si="28"/>
        <v>6527</v>
      </c>
      <c r="E204" s="252">
        <f t="shared" si="29"/>
        <v>650</v>
      </c>
      <c r="F204" s="251">
        <f t="shared" si="30"/>
        <v>0.11060064658839544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539</v>
      </c>
      <c r="D205" s="252">
        <f t="shared" si="28"/>
        <v>645</v>
      </c>
      <c r="E205" s="252">
        <f t="shared" si="29"/>
        <v>106</v>
      </c>
      <c r="F205" s="251">
        <f t="shared" si="30"/>
        <v>0.19666048237476808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221</v>
      </c>
      <c r="D206" s="252">
        <f t="shared" si="28"/>
        <v>249</v>
      </c>
      <c r="E206" s="252">
        <f t="shared" si="29"/>
        <v>28</v>
      </c>
      <c r="F206" s="251">
        <f t="shared" si="30"/>
        <v>0.12669683257918551</v>
      </c>
    </row>
    <row r="207" spans="1:9" ht="20.25" customHeight="1" x14ac:dyDescent="0.3">
      <c r="A207" s="249"/>
      <c r="B207" s="242" t="s">
        <v>467</v>
      </c>
      <c r="C207" s="243">
        <f>+C198+C200</f>
        <v>12752974</v>
      </c>
      <c r="D207" s="243">
        <f>+D198+D200</f>
        <v>13902290</v>
      </c>
      <c r="E207" s="243">
        <f t="shared" si="29"/>
        <v>1149316</v>
      </c>
      <c r="F207" s="251">
        <f t="shared" si="30"/>
        <v>9.0121410111868805E-2</v>
      </c>
    </row>
    <row r="208" spans="1:9" ht="20.25" customHeight="1" x14ac:dyDescent="0.3">
      <c r="A208" s="249"/>
      <c r="B208" s="242" t="s">
        <v>468</v>
      </c>
      <c r="C208" s="243">
        <f>+C199+C201</f>
        <v>3966410</v>
      </c>
      <c r="D208" s="243">
        <f>+D199+D201</f>
        <v>5246162</v>
      </c>
      <c r="E208" s="243">
        <f t="shared" si="29"/>
        <v>1279752</v>
      </c>
      <c r="F208" s="251">
        <f t="shared" si="30"/>
        <v>0.32264743180861283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FILING&amp;RJOHNSON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469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90" t="s">
        <v>12</v>
      </c>
      <c r="B10" s="691" t="s">
        <v>115</v>
      </c>
      <c r="C10" s="693"/>
      <c r="D10" s="694"/>
      <c r="E10" s="694"/>
      <c r="F10" s="695"/>
    </row>
    <row r="11" spans="1:7" ht="20.25" customHeight="1" x14ac:dyDescent="0.3">
      <c r="A11" s="681"/>
      <c r="B11" s="692"/>
      <c r="C11" s="687"/>
      <c r="D11" s="688"/>
      <c r="E11" s="688"/>
      <c r="F11" s="689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470483</v>
      </c>
      <c r="D14" s="237">
        <v>1886174</v>
      </c>
      <c r="E14" s="237">
        <f t="shared" ref="E14:E24" si="0">D14-C14</f>
        <v>1415691</v>
      </c>
      <c r="F14" s="238">
        <f t="shared" ref="F14:F24" si="1">IF(C14=0,0,E14/C14)</f>
        <v>3.009016266262543</v>
      </c>
    </row>
    <row r="15" spans="1:7" ht="20.25" customHeight="1" x14ac:dyDescent="0.3">
      <c r="A15" s="235">
        <v>2</v>
      </c>
      <c r="B15" s="236" t="s">
        <v>433</v>
      </c>
      <c r="C15" s="237">
        <v>160909</v>
      </c>
      <c r="D15" s="237">
        <v>925323</v>
      </c>
      <c r="E15" s="237">
        <f t="shared" si="0"/>
        <v>764414</v>
      </c>
      <c r="F15" s="238">
        <f t="shared" si="1"/>
        <v>4.7505981641797534</v>
      </c>
    </row>
    <row r="16" spans="1:7" ht="20.25" customHeight="1" x14ac:dyDescent="0.3">
      <c r="A16" s="235">
        <v>3</v>
      </c>
      <c r="B16" s="236" t="s">
        <v>434</v>
      </c>
      <c r="C16" s="237">
        <v>112419</v>
      </c>
      <c r="D16" s="237">
        <v>235074</v>
      </c>
      <c r="E16" s="237">
        <f t="shared" si="0"/>
        <v>122655</v>
      </c>
      <c r="F16" s="238">
        <f t="shared" si="1"/>
        <v>1.0910522242681397</v>
      </c>
    </row>
    <row r="17" spans="1:6" ht="20.25" customHeight="1" x14ac:dyDescent="0.3">
      <c r="A17" s="235">
        <v>4</v>
      </c>
      <c r="B17" s="236" t="s">
        <v>435</v>
      </c>
      <c r="C17" s="237">
        <v>13942</v>
      </c>
      <c r="D17" s="237">
        <v>37355</v>
      </c>
      <c r="E17" s="237">
        <f t="shared" si="0"/>
        <v>23413</v>
      </c>
      <c r="F17" s="238">
        <f t="shared" si="1"/>
        <v>1.6793143021087362</v>
      </c>
    </row>
    <row r="18" spans="1:6" ht="20.25" customHeight="1" x14ac:dyDescent="0.3">
      <c r="A18" s="235">
        <v>5</v>
      </c>
      <c r="B18" s="236" t="s">
        <v>371</v>
      </c>
      <c r="C18" s="239">
        <v>36</v>
      </c>
      <c r="D18" s="239">
        <v>146</v>
      </c>
      <c r="E18" s="239">
        <f t="shared" si="0"/>
        <v>110</v>
      </c>
      <c r="F18" s="238">
        <f t="shared" si="1"/>
        <v>3.0555555555555554</v>
      </c>
    </row>
    <row r="19" spans="1:6" ht="20.25" customHeight="1" x14ac:dyDescent="0.3">
      <c r="A19" s="235">
        <v>6</v>
      </c>
      <c r="B19" s="236" t="s">
        <v>370</v>
      </c>
      <c r="C19" s="239">
        <v>220</v>
      </c>
      <c r="D19" s="239">
        <v>775</v>
      </c>
      <c r="E19" s="239">
        <f t="shared" si="0"/>
        <v>555</v>
      </c>
      <c r="F19" s="238">
        <f t="shared" si="1"/>
        <v>2.5227272727272729</v>
      </c>
    </row>
    <row r="20" spans="1:6" ht="20.25" customHeight="1" x14ac:dyDescent="0.3">
      <c r="A20" s="235">
        <v>7</v>
      </c>
      <c r="B20" s="236" t="s">
        <v>436</v>
      </c>
      <c r="C20" s="239">
        <v>24</v>
      </c>
      <c r="D20" s="239">
        <v>42</v>
      </c>
      <c r="E20" s="239">
        <f t="shared" si="0"/>
        <v>18</v>
      </c>
      <c r="F20" s="238">
        <f t="shared" si="1"/>
        <v>0.75</v>
      </c>
    </row>
    <row r="21" spans="1:6" ht="20.25" customHeight="1" x14ac:dyDescent="0.3">
      <c r="A21" s="235">
        <v>8</v>
      </c>
      <c r="B21" s="236" t="s">
        <v>437</v>
      </c>
      <c r="C21" s="239">
        <v>20</v>
      </c>
      <c r="D21" s="239">
        <v>25</v>
      </c>
      <c r="E21" s="239">
        <f t="shared" si="0"/>
        <v>5</v>
      </c>
      <c r="F21" s="238">
        <f t="shared" si="1"/>
        <v>0.25</v>
      </c>
    </row>
    <row r="22" spans="1:6" ht="20.25" customHeight="1" x14ac:dyDescent="0.3">
      <c r="A22" s="235">
        <v>9</v>
      </c>
      <c r="B22" s="236" t="s">
        <v>438</v>
      </c>
      <c r="C22" s="239">
        <v>24</v>
      </c>
      <c r="D22" s="239">
        <v>132</v>
      </c>
      <c r="E22" s="239">
        <f t="shared" si="0"/>
        <v>108</v>
      </c>
      <c r="F22" s="238">
        <f t="shared" si="1"/>
        <v>4.5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582902</v>
      </c>
      <c r="D23" s="243">
        <f>+D14+D16</f>
        <v>2121248</v>
      </c>
      <c r="E23" s="243">
        <f t="shared" si="0"/>
        <v>1538346</v>
      </c>
      <c r="F23" s="244">
        <f t="shared" si="1"/>
        <v>2.6391160092090953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174851</v>
      </c>
      <c r="D24" s="243">
        <f>+D15+D17</f>
        <v>962678</v>
      </c>
      <c r="E24" s="243">
        <f t="shared" si="0"/>
        <v>787827</v>
      </c>
      <c r="F24" s="244">
        <f t="shared" si="1"/>
        <v>4.5057048572784826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1704664</v>
      </c>
      <c r="D26" s="237">
        <v>1693094</v>
      </c>
      <c r="E26" s="237">
        <f t="shared" ref="E26:E36" si="2">D26-C26</f>
        <v>-11570</v>
      </c>
      <c r="F26" s="238">
        <f t="shared" ref="F26:F36" si="3">IF(C26=0,0,E26/C26)</f>
        <v>-6.7872613019339884E-3</v>
      </c>
    </row>
    <row r="27" spans="1:6" ht="20.25" customHeight="1" x14ac:dyDescent="0.3">
      <c r="A27" s="235">
        <v>2</v>
      </c>
      <c r="B27" s="236" t="s">
        <v>433</v>
      </c>
      <c r="C27" s="237">
        <v>523477</v>
      </c>
      <c r="D27" s="237">
        <v>712222</v>
      </c>
      <c r="E27" s="237">
        <f t="shared" si="2"/>
        <v>188745</v>
      </c>
      <c r="F27" s="238">
        <f t="shared" si="3"/>
        <v>0.36056025384114299</v>
      </c>
    </row>
    <row r="28" spans="1:6" ht="20.25" customHeight="1" x14ac:dyDescent="0.3">
      <c r="A28" s="235">
        <v>3</v>
      </c>
      <c r="B28" s="236" t="s">
        <v>434</v>
      </c>
      <c r="C28" s="237">
        <v>3367420</v>
      </c>
      <c r="D28" s="237">
        <v>3850004</v>
      </c>
      <c r="E28" s="237">
        <f t="shared" si="2"/>
        <v>482584</v>
      </c>
      <c r="F28" s="238">
        <f t="shared" si="3"/>
        <v>0.14330971485588373</v>
      </c>
    </row>
    <row r="29" spans="1:6" ht="20.25" customHeight="1" x14ac:dyDescent="0.3">
      <c r="A29" s="235">
        <v>4</v>
      </c>
      <c r="B29" s="236" t="s">
        <v>435</v>
      </c>
      <c r="C29" s="237">
        <v>965432</v>
      </c>
      <c r="D29" s="237">
        <v>1054997</v>
      </c>
      <c r="E29" s="237">
        <f t="shared" si="2"/>
        <v>89565</v>
      </c>
      <c r="F29" s="238">
        <f t="shared" si="3"/>
        <v>9.2771940437027148E-2</v>
      </c>
    </row>
    <row r="30" spans="1:6" ht="20.25" customHeight="1" x14ac:dyDescent="0.3">
      <c r="A30" s="235">
        <v>5</v>
      </c>
      <c r="B30" s="236" t="s">
        <v>371</v>
      </c>
      <c r="C30" s="239">
        <v>222</v>
      </c>
      <c r="D30" s="239">
        <v>215</v>
      </c>
      <c r="E30" s="239">
        <f t="shared" si="2"/>
        <v>-7</v>
      </c>
      <c r="F30" s="238">
        <f t="shared" si="3"/>
        <v>-3.1531531531531529E-2</v>
      </c>
    </row>
    <row r="31" spans="1:6" ht="20.25" customHeight="1" x14ac:dyDescent="0.3">
      <c r="A31" s="235">
        <v>6</v>
      </c>
      <c r="B31" s="236" t="s">
        <v>370</v>
      </c>
      <c r="C31" s="239">
        <v>527</v>
      </c>
      <c r="D31" s="239">
        <v>504</v>
      </c>
      <c r="E31" s="239">
        <f t="shared" si="2"/>
        <v>-23</v>
      </c>
      <c r="F31" s="238">
        <f t="shared" si="3"/>
        <v>-4.3643263757115747E-2</v>
      </c>
    </row>
    <row r="32" spans="1:6" ht="20.25" customHeight="1" x14ac:dyDescent="0.3">
      <c r="A32" s="235">
        <v>7</v>
      </c>
      <c r="B32" s="236" t="s">
        <v>436</v>
      </c>
      <c r="C32" s="239">
        <v>2652</v>
      </c>
      <c r="D32" s="239">
        <v>2535</v>
      </c>
      <c r="E32" s="239">
        <f t="shared" si="2"/>
        <v>-117</v>
      </c>
      <c r="F32" s="238">
        <f t="shared" si="3"/>
        <v>-4.4117647058823532E-2</v>
      </c>
    </row>
    <row r="33" spans="1:6" ht="20.25" customHeight="1" x14ac:dyDescent="0.3">
      <c r="A33" s="235">
        <v>8</v>
      </c>
      <c r="B33" s="236" t="s">
        <v>437</v>
      </c>
      <c r="C33" s="239">
        <v>1567</v>
      </c>
      <c r="D33" s="239">
        <v>1679</v>
      </c>
      <c r="E33" s="239">
        <f t="shared" si="2"/>
        <v>112</v>
      </c>
      <c r="F33" s="238">
        <f t="shared" si="3"/>
        <v>7.1474154435226547E-2</v>
      </c>
    </row>
    <row r="34" spans="1:6" ht="20.25" customHeight="1" x14ac:dyDescent="0.3">
      <c r="A34" s="235">
        <v>9</v>
      </c>
      <c r="B34" s="236" t="s">
        <v>438</v>
      </c>
      <c r="C34" s="239">
        <v>12</v>
      </c>
      <c r="D34" s="239">
        <v>22</v>
      </c>
      <c r="E34" s="239">
        <f t="shared" si="2"/>
        <v>10</v>
      </c>
      <c r="F34" s="238">
        <f t="shared" si="3"/>
        <v>0.83333333333333337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5072084</v>
      </c>
      <c r="D35" s="243">
        <f>+D26+D28</f>
        <v>5543098</v>
      </c>
      <c r="E35" s="243">
        <f t="shared" si="2"/>
        <v>471014</v>
      </c>
      <c r="F35" s="244">
        <f t="shared" si="3"/>
        <v>9.2863998309176271E-2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1488909</v>
      </c>
      <c r="D36" s="243">
        <f>+D27+D29</f>
        <v>1767219</v>
      </c>
      <c r="E36" s="243">
        <f t="shared" si="2"/>
        <v>278310</v>
      </c>
      <c r="F36" s="244">
        <f t="shared" si="3"/>
        <v>0.18692210202235329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49673</v>
      </c>
      <c r="D40" s="237">
        <v>269</v>
      </c>
      <c r="E40" s="237">
        <f t="shared" si="4"/>
        <v>-49404</v>
      </c>
      <c r="F40" s="238">
        <f t="shared" si="5"/>
        <v>-0.9945845831739577</v>
      </c>
    </row>
    <row r="41" spans="1:6" ht="20.25" customHeight="1" x14ac:dyDescent="0.3">
      <c r="A41" s="235">
        <v>4</v>
      </c>
      <c r="B41" s="236" t="s">
        <v>435</v>
      </c>
      <c r="C41" s="237">
        <v>6226</v>
      </c>
      <c r="D41" s="237">
        <v>261</v>
      </c>
      <c r="E41" s="237">
        <f t="shared" si="4"/>
        <v>-5965</v>
      </c>
      <c r="F41" s="238">
        <f t="shared" si="5"/>
        <v>-0.95807902345004814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1</v>
      </c>
      <c r="D44" s="239">
        <v>1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53</v>
      </c>
      <c r="D45" s="239">
        <v>0</v>
      </c>
      <c r="E45" s="239">
        <f t="shared" si="4"/>
        <v>-53</v>
      </c>
      <c r="F45" s="238">
        <f t="shared" si="5"/>
        <v>-1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49673</v>
      </c>
      <c r="D47" s="243">
        <f>+D38+D40</f>
        <v>269</v>
      </c>
      <c r="E47" s="243">
        <f t="shared" si="4"/>
        <v>-49404</v>
      </c>
      <c r="F47" s="244">
        <f t="shared" si="5"/>
        <v>-0.9945845831739577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6226</v>
      </c>
      <c r="D48" s="243">
        <f>+D39+D41</f>
        <v>261</v>
      </c>
      <c r="E48" s="243">
        <f t="shared" si="4"/>
        <v>-5965</v>
      </c>
      <c r="F48" s="244">
        <f t="shared" si="5"/>
        <v>-0.95807902345004814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408985</v>
      </c>
      <c r="D50" s="237">
        <v>432113</v>
      </c>
      <c r="E50" s="237">
        <f t="shared" ref="E50:E60" si="6">D50-C50</f>
        <v>23128</v>
      </c>
      <c r="F50" s="238">
        <f t="shared" ref="F50:F60" si="7">IF(C50=0,0,E50/C50)</f>
        <v>5.6549751213369685E-2</v>
      </c>
    </row>
    <row r="51" spans="1:6" ht="20.25" customHeight="1" x14ac:dyDescent="0.3">
      <c r="A51" s="235">
        <v>2</v>
      </c>
      <c r="B51" s="236" t="s">
        <v>433</v>
      </c>
      <c r="C51" s="237">
        <v>89634</v>
      </c>
      <c r="D51" s="237">
        <v>235111</v>
      </c>
      <c r="E51" s="237">
        <f t="shared" si="6"/>
        <v>145477</v>
      </c>
      <c r="F51" s="238">
        <f t="shared" si="7"/>
        <v>1.623011357297454</v>
      </c>
    </row>
    <row r="52" spans="1:6" ht="20.25" customHeight="1" x14ac:dyDescent="0.3">
      <c r="A52" s="235">
        <v>3</v>
      </c>
      <c r="B52" s="236" t="s">
        <v>434</v>
      </c>
      <c r="C52" s="237">
        <v>623067</v>
      </c>
      <c r="D52" s="237">
        <v>1400498</v>
      </c>
      <c r="E52" s="237">
        <f t="shared" si="6"/>
        <v>777431</v>
      </c>
      <c r="F52" s="238">
        <f t="shared" si="7"/>
        <v>1.2477486369844655</v>
      </c>
    </row>
    <row r="53" spans="1:6" ht="20.25" customHeight="1" x14ac:dyDescent="0.3">
      <c r="A53" s="235">
        <v>4</v>
      </c>
      <c r="B53" s="236" t="s">
        <v>435</v>
      </c>
      <c r="C53" s="237">
        <v>310605</v>
      </c>
      <c r="D53" s="237">
        <v>377539</v>
      </c>
      <c r="E53" s="237">
        <f t="shared" si="6"/>
        <v>66934</v>
      </c>
      <c r="F53" s="238">
        <f t="shared" si="7"/>
        <v>0.21549556510680767</v>
      </c>
    </row>
    <row r="54" spans="1:6" ht="20.25" customHeight="1" x14ac:dyDescent="0.3">
      <c r="A54" s="235">
        <v>5</v>
      </c>
      <c r="B54" s="236" t="s">
        <v>371</v>
      </c>
      <c r="C54" s="239">
        <v>34</v>
      </c>
      <c r="D54" s="239">
        <v>33</v>
      </c>
      <c r="E54" s="239">
        <f t="shared" si="6"/>
        <v>-1</v>
      </c>
      <c r="F54" s="238">
        <f t="shared" si="7"/>
        <v>-2.9411764705882353E-2</v>
      </c>
    </row>
    <row r="55" spans="1:6" ht="20.25" customHeight="1" x14ac:dyDescent="0.3">
      <c r="A55" s="235">
        <v>6</v>
      </c>
      <c r="B55" s="236" t="s">
        <v>370</v>
      </c>
      <c r="C55" s="239">
        <v>171</v>
      </c>
      <c r="D55" s="239">
        <v>113</v>
      </c>
      <c r="E55" s="239">
        <f t="shared" si="6"/>
        <v>-58</v>
      </c>
      <c r="F55" s="238">
        <f t="shared" si="7"/>
        <v>-0.33918128654970758</v>
      </c>
    </row>
    <row r="56" spans="1:6" ht="20.25" customHeight="1" x14ac:dyDescent="0.3">
      <c r="A56" s="235">
        <v>7</v>
      </c>
      <c r="B56" s="236" t="s">
        <v>436</v>
      </c>
      <c r="C56" s="239">
        <v>56</v>
      </c>
      <c r="D56" s="239">
        <v>523</v>
      </c>
      <c r="E56" s="239">
        <f t="shared" si="6"/>
        <v>467</v>
      </c>
      <c r="F56" s="238">
        <f t="shared" si="7"/>
        <v>8.3392857142857135</v>
      </c>
    </row>
    <row r="57" spans="1:6" ht="20.25" customHeight="1" x14ac:dyDescent="0.3">
      <c r="A57" s="235">
        <v>8</v>
      </c>
      <c r="B57" s="236" t="s">
        <v>437</v>
      </c>
      <c r="C57" s="239">
        <v>291</v>
      </c>
      <c r="D57" s="239">
        <v>735</v>
      </c>
      <c r="E57" s="239">
        <f t="shared" si="6"/>
        <v>444</v>
      </c>
      <c r="F57" s="238">
        <f t="shared" si="7"/>
        <v>1.5257731958762886</v>
      </c>
    </row>
    <row r="58" spans="1:6" ht="20.25" customHeight="1" x14ac:dyDescent="0.3">
      <c r="A58" s="235">
        <v>9</v>
      </c>
      <c r="B58" s="236" t="s">
        <v>438</v>
      </c>
      <c r="C58" s="239">
        <v>28</v>
      </c>
      <c r="D58" s="239">
        <v>11</v>
      </c>
      <c r="E58" s="239">
        <f t="shared" si="6"/>
        <v>-17</v>
      </c>
      <c r="F58" s="238">
        <f t="shared" si="7"/>
        <v>-0.6071428571428571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1032052</v>
      </c>
      <c r="D59" s="243">
        <f>+D50+D52</f>
        <v>1832611</v>
      </c>
      <c r="E59" s="243">
        <f t="shared" si="6"/>
        <v>800559</v>
      </c>
      <c r="F59" s="244">
        <f t="shared" si="7"/>
        <v>0.77569637963978555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400239</v>
      </c>
      <c r="D60" s="243">
        <f>+D51+D53</f>
        <v>612650</v>
      </c>
      <c r="E60" s="243">
        <f t="shared" si="6"/>
        <v>212411</v>
      </c>
      <c r="F60" s="244">
        <f t="shared" si="7"/>
        <v>0.53071040053567997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189053</v>
      </c>
      <c r="D86" s="237">
        <v>0</v>
      </c>
      <c r="E86" s="237">
        <f t="shared" ref="E86:E96" si="12">D86-C86</f>
        <v>-189053</v>
      </c>
      <c r="F86" s="238">
        <f t="shared" ref="F86:F96" si="13">IF(C86=0,0,E86/C86)</f>
        <v>-1</v>
      </c>
    </row>
    <row r="87" spans="1:6" ht="20.25" customHeight="1" x14ac:dyDescent="0.3">
      <c r="A87" s="235">
        <v>2</v>
      </c>
      <c r="B87" s="236" t="s">
        <v>433</v>
      </c>
      <c r="C87" s="237">
        <v>38095</v>
      </c>
      <c r="D87" s="237">
        <v>0</v>
      </c>
      <c r="E87" s="237">
        <f t="shared" si="12"/>
        <v>-38095</v>
      </c>
      <c r="F87" s="238">
        <f t="shared" si="13"/>
        <v>-1</v>
      </c>
    </row>
    <row r="88" spans="1:6" ht="20.25" customHeight="1" x14ac:dyDescent="0.3">
      <c r="A88" s="235">
        <v>3</v>
      </c>
      <c r="B88" s="236" t="s">
        <v>434</v>
      </c>
      <c r="C88" s="237">
        <v>766036</v>
      </c>
      <c r="D88" s="237">
        <v>0</v>
      </c>
      <c r="E88" s="237">
        <f t="shared" si="12"/>
        <v>-766036</v>
      </c>
      <c r="F88" s="238">
        <f t="shared" si="13"/>
        <v>-1</v>
      </c>
    </row>
    <row r="89" spans="1:6" ht="20.25" customHeight="1" x14ac:dyDescent="0.3">
      <c r="A89" s="235">
        <v>4</v>
      </c>
      <c r="B89" s="236" t="s">
        <v>435</v>
      </c>
      <c r="C89" s="237">
        <v>174987</v>
      </c>
      <c r="D89" s="237">
        <v>0</v>
      </c>
      <c r="E89" s="237">
        <f t="shared" si="12"/>
        <v>-174987</v>
      </c>
      <c r="F89" s="238">
        <f t="shared" si="13"/>
        <v>-1</v>
      </c>
    </row>
    <row r="90" spans="1:6" ht="20.25" customHeight="1" x14ac:dyDescent="0.3">
      <c r="A90" s="235">
        <v>5</v>
      </c>
      <c r="B90" s="236" t="s">
        <v>371</v>
      </c>
      <c r="C90" s="239">
        <v>16</v>
      </c>
      <c r="D90" s="239">
        <v>0</v>
      </c>
      <c r="E90" s="239">
        <f t="shared" si="12"/>
        <v>-16</v>
      </c>
      <c r="F90" s="238">
        <f t="shared" si="13"/>
        <v>-1</v>
      </c>
    </row>
    <row r="91" spans="1:6" ht="20.25" customHeight="1" x14ac:dyDescent="0.3">
      <c r="A91" s="235">
        <v>6</v>
      </c>
      <c r="B91" s="236" t="s">
        <v>370</v>
      </c>
      <c r="C91" s="239">
        <v>41</v>
      </c>
      <c r="D91" s="239">
        <v>0</v>
      </c>
      <c r="E91" s="239">
        <f t="shared" si="12"/>
        <v>-41</v>
      </c>
      <c r="F91" s="238">
        <f t="shared" si="13"/>
        <v>-1</v>
      </c>
    </row>
    <row r="92" spans="1:6" ht="20.25" customHeight="1" x14ac:dyDescent="0.3">
      <c r="A92" s="235">
        <v>7</v>
      </c>
      <c r="B92" s="236" t="s">
        <v>436</v>
      </c>
      <c r="C92" s="239">
        <v>396</v>
      </c>
      <c r="D92" s="239">
        <v>0</v>
      </c>
      <c r="E92" s="239">
        <f t="shared" si="12"/>
        <v>-396</v>
      </c>
      <c r="F92" s="238">
        <f t="shared" si="13"/>
        <v>-1</v>
      </c>
    </row>
    <row r="93" spans="1:6" ht="20.25" customHeight="1" x14ac:dyDescent="0.3">
      <c r="A93" s="235">
        <v>8</v>
      </c>
      <c r="B93" s="236" t="s">
        <v>437</v>
      </c>
      <c r="C93" s="239">
        <v>354</v>
      </c>
      <c r="D93" s="239">
        <v>0</v>
      </c>
      <c r="E93" s="239">
        <f t="shared" si="12"/>
        <v>-354</v>
      </c>
      <c r="F93" s="238">
        <f t="shared" si="13"/>
        <v>-1</v>
      </c>
    </row>
    <row r="94" spans="1:6" ht="20.25" customHeight="1" x14ac:dyDescent="0.3">
      <c r="A94" s="235">
        <v>9</v>
      </c>
      <c r="B94" s="236" t="s">
        <v>438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955089</v>
      </c>
      <c r="D95" s="243">
        <f>+D86+D88</f>
        <v>0</v>
      </c>
      <c r="E95" s="243">
        <f t="shared" si="12"/>
        <v>-955089</v>
      </c>
      <c r="F95" s="244">
        <f t="shared" si="13"/>
        <v>-1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213082</v>
      </c>
      <c r="D96" s="243">
        <f>+D87+D89</f>
        <v>0</v>
      </c>
      <c r="E96" s="243">
        <f t="shared" si="12"/>
        <v>-213082</v>
      </c>
      <c r="F96" s="244">
        <f t="shared" si="13"/>
        <v>-1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319774</v>
      </c>
      <c r="D98" s="237">
        <v>413189</v>
      </c>
      <c r="E98" s="237">
        <f t="shared" ref="E98:E108" si="14">D98-C98</f>
        <v>93415</v>
      </c>
      <c r="F98" s="238">
        <f t="shared" ref="F98:F108" si="15">IF(C98=0,0,E98/C98)</f>
        <v>0.29212819053456501</v>
      </c>
    </row>
    <row r="99" spans="1:7" ht="20.25" customHeight="1" x14ac:dyDescent="0.3">
      <c r="A99" s="235">
        <v>2</v>
      </c>
      <c r="B99" s="236" t="s">
        <v>433</v>
      </c>
      <c r="C99" s="237">
        <v>56326</v>
      </c>
      <c r="D99" s="237">
        <v>163128</v>
      </c>
      <c r="E99" s="237">
        <f t="shared" si="14"/>
        <v>106802</v>
      </c>
      <c r="F99" s="238">
        <f t="shared" si="15"/>
        <v>1.8961403259595924</v>
      </c>
    </row>
    <row r="100" spans="1:7" ht="20.25" customHeight="1" x14ac:dyDescent="0.3">
      <c r="A100" s="235">
        <v>3</v>
      </c>
      <c r="B100" s="236" t="s">
        <v>434</v>
      </c>
      <c r="C100" s="237">
        <v>1523689</v>
      </c>
      <c r="D100" s="237">
        <v>1768925</v>
      </c>
      <c r="E100" s="237">
        <f t="shared" si="14"/>
        <v>245236</v>
      </c>
      <c r="F100" s="238">
        <f t="shared" si="15"/>
        <v>0.16094885504850398</v>
      </c>
    </row>
    <row r="101" spans="1:7" ht="20.25" customHeight="1" x14ac:dyDescent="0.3">
      <c r="A101" s="235">
        <v>4</v>
      </c>
      <c r="B101" s="236" t="s">
        <v>435</v>
      </c>
      <c r="C101" s="237">
        <v>361766</v>
      </c>
      <c r="D101" s="237">
        <v>396893</v>
      </c>
      <c r="E101" s="237">
        <f t="shared" si="14"/>
        <v>35127</v>
      </c>
      <c r="F101" s="238">
        <f t="shared" si="15"/>
        <v>9.7098677045382928E-2</v>
      </c>
    </row>
    <row r="102" spans="1:7" ht="20.25" customHeight="1" x14ac:dyDescent="0.3">
      <c r="A102" s="235">
        <v>5</v>
      </c>
      <c r="B102" s="236" t="s">
        <v>371</v>
      </c>
      <c r="C102" s="239">
        <v>19</v>
      </c>
      <c r="D102" s="239">
        <v>33</v>
      </c>
      <c r="E102" s="239">
        <f t="shared" si="14"/>
        <v>14</v>
      </c>
      <c r="F102" s="238">
        <f t="shared" si="15"/>
        <v>0.73684210526315785</v>
      </c>
    </row>
    <row r="103" spans="1:7" ht="20.25" customHeight="1" x14ac:dyDescent="0.3">
      <c r="A103" s="235">
        <v>6</v>
      </c>
      <c r="B103" s="236" t="s">
        <v>370</v>
      </c>
      <c r="C103" s="239">
        <v>75</v>
      </c>
      <c r="D103" s="239">
        <v>109</v>
      </c>
      <c r="E103" s="239">
        <f t="shared" si="14"/>
        <v>34</v>
      </c>
      <c r="F103" s="238">
        <f t="shared" si="15"/>
        <v>0.45333333333333331</v>
      </c>
    </row>
    <row r="104" spans="1:7" ht="20.25" customHeight="1" x14ac:dyDescent="0.3">
      <c r="A104" s="235">
        <v>7</v>
      </c>
      <c r="B104" s="236" t="s">
        <v>436</v>
      </c>
      <c r="C104" s="239">
        <v>638</v>
      </c>
      <c r="D104" s="239">
        <v>818</v>
      </c>
      <c r="E104" s="239">
        <f t="shared" si="14"/>
        <v>180</v>
      </c>
      <c r="F104" s="238">
        <f t="shared" si="15"/>
        <v>0.28213166144200624</v>
      </c>
    </row>
    <row r="105" spans="1:7" ht="20.25" customHeight="1" x14ac:dyDescent="0.3">
      <c r="A105" s="235">
        <v>8</v>
      </c>
      <c r="B105" s="236" t="s">
        <v>437</v>
      </c>
      <c r="C105" s="239">
        <v>663</v>
      </c>
      <c r="D105" s="239">
        <v>646</v>
      </c>
      <c r="E105" s="239">
        <f t="shared" si="14"/>
        <v>-17</v>
      </c>
      <c r="F105" s="238">
        <f t="shared" si="15"/>
        <v>-2.564102564102564E-2</v>
      </c>
    </row>
    <row r="106" spans="1:7" ht="20.25" customHeight="1" x14ac:dyDescent="0.3">
      <c r="A106" s="235">
        <v>9</v>
      </c>
      <c r="B106" s="236" t="s">
        <v>438</v>
      </c>
      <c r="C106" s="239">
        <v>14</v>
      </c>
      <c r="D106" s="239">
        <v>16</v>
      </c>
      <c r="E106" s="239">
        <f t="shared" si="14"/>
        <v>2</v>
      </c>
      <c r="F106" s="238">
        <f t="shared" si="15"/>
        <v>0.14285714285714285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1843463</v>
      </c>
      <c r="D107" s="243">
        <f>+D98+D100</f>
        <v>2182114</v>
      </c>
      <c r="E107" s="243">
        <f t="shared" si="14"/>
        <v>338651</v>
      </c>
      <c r="F107" s="244">
        <f t="shared" si="15"/>
        <v>0.18370371415102987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418092</v>
      </c>
      <c r="D108" s="243">
        <f>+D99+D101</f>
        <v>560021</v>
      </c>
      <c r="E108" s="243">
        <f t="shared" si="14"/>
        <v>141929</v>
      </c>
      <c r="F108" s="244">
        <f t="shared" si="15"/>
        <v>0.33946834667967818</v>
      </c>
    </row>
    <row r="109" spans="1:7" s="240" customFormat="1" ht="20.25" customHeight="1" x14ac:dyDescent="0.3">
      <c r="A109" s="690" t="s">
        <v>44</v>
      </c>
      <c r="B109" s="691" t="s">
        <v>476</v>
      </c>
      <c r="C109" s="693"/>
      <c r="D109" s="694"/>
      <c r="E109" s="694"/>
      <c r="F109" s="695"/>
      <c r="G109" s="212"/>
    </row>
    <row r="110" spans="1:7" ht="20.25" customHeight="1" x14ac:dyDescent="0.3">
      <c r="A110" s="681"/>
      <c r="B110" s="692"/>
      <c r="C110" s="687"/>
      <c r="D110" s="688"/>
      <c r="E110" s="688"/>
      <c r="F110" s="689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3092959</v>
      </c>
      <c r="D112" s="243">
        <f t="shared" si="16"/>
        <v>4424570</v>
      </c>
      <c r="E112" s="243">
        <f t="shared" ref="E112:E122" si="17">D112-C112</f>
        <v>1331611</v>
      </c>
      <c r="F112" s="244">
        <f t="shared" ref="F112:F122" si="18">IF(C112=0,0,E112/C112)</f>
        <v>0.43052979363774302</v>
      </c>
    </row>
    <row r="113" spans="1:6" ht="20.25" customHeight="1" x14ac:dyDescent="0.3">
      <c r="A113" s="249"/>
      <c r="B113" s="250" t="s">
        <v>459</v>
      </c>
      <c r="C113" s="243">
        <f t="shared" si="16"/>
        <v>868441</v>
      </c>
      <c r="D113" s="243">
        <f t="shared" si="16"/>
        <v>2035784</v>
      </c>
      <c r="E113" s="243">
        <f t="shared" si="17"/>
        <v>1167343</v>
      </c>
      <c r="F113" s="244">
        <f t="shared" si="18"/>
        <v>1.3441822760555986</v>
      </c>
    </row>
    <row r="114" spans="1:6" ht="20.25" customHeight="1" x14ac:dyDescent="0.3">
      <c r="A114" s="249"/>
      <c r="B114" s="250" t="s">
        <v>460</v>
      </c>
      <c r="C114" s="243">
        <f t="shared" si="16"/>
        <v>6442304</v>
      </c>
      <c r="D114" s="243">
        <f t="shared" si="16"/>
        <v>7254770</v>
      </c>
      <c r="E114" s="243">
        <f t="shared" si="17"/>
        <v>812466</v>
      </c>
      <c r="F114" s="244">
        <f t="shared" si="18"/>
        <v>0.12611419765351028</v>
      </c>
    </row>
    <row r="115" spans="1:6" ht="20.25" customHeight="1" x14ac:dyDescent="0.3">
      <c r="A115" s="249"/>
      <c r="B115" s="250" t="s">
        <v>461</v>
      </c>
      <c r="C115" s="243">
        <f t="shared" si="16"/>
        <v>1832958</v>
      </c>
      <c r="D115" s="243">
        <f t="shared" si="16"/>
        <v>1867045</v>
      </c>
      <c r="E115" s="243">
        <f t="shared" si="17"/>
        <v>34087</v>
      </c>
      <c r="F115" s="244">
        <f t="shared" si="18"/>
        <v>1.8596716345928275E-2</v>
      </c>
    </row>
    <row r="116" spans="1:6" ht="20.25" customHeight="1" x14ac:dyDescent="0.3">
      <c r="A116" s="249"/>
      <c r="B116" s="250" t="s">
        <v>462</v>
      </c>
      <c r="C116" s="252">
        <f t="shared" si="16"/>
        <v>327</v>
      </c>
      <c r="D116" s="252">
        <f t="shared" si="16"/>
        <v>427</v>
      </c>
      <c r="E116" s="252">
        <f t="shared" si="17"/>
        <v>100</v>
      </c>
      <c r="F116" s="244">
        <f t="shared" si="18"/>
        <v>0.3058103975535168</v>
      </c>
    </row>
    <row r="117" spans="1:6" ht="20.25" customHeight="1" x14ac:dyDescent="0.3">
      <c r="A117" s="249"/>
      <c r="B117" s="250" t="s">
        <v>463</v>
      </c>
      <c r="C117" s="252">
        <f t="shared" si="16"/>
        <v>1034</v>
      </c>
      <c r="D117" s="252">
        <f t="shared" si="16"/>
        <v>1501</v>
      </c>
      <c r="E117" s="252">
        <f t="shared" si="17"/>
        <v>467</v>
      </c>
      <c r="F117" s="244">
        <f t="shared" si="18"/>
        <v>0.45164410058027077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3767</v>
      </c>
      <c r="D118" s="252">
        <f t="shared" si="16"/>
        <v>3919</v>
      </c>
      <c r="E118" s="252">
        <f t="shared" si="17"/>
        <v>152</v>
      </c>
      <c r="F118" s="244">
        <f t="shared" si="18"/>
        <v>4.0350411468011681E-2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2948</v>
      </c>
      <c r="D119" s="252">
        <f t="shared" si="16"/>
        <v>3085</v>
      </c>
      <c r="E119" s="252">
        <f t="shared" si="17"/>
        <v>137</v>
      </c>
      <c r="F119" s="244">
        <f t="shared" si="18"/>
        <v>4.6472184531886021E-2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78</v>
      </c>
      <c r="D120" s="252">
        <f t="shared" si="16"/>
        <v>181</v>
      </c>
      <c r="E120" s="252">
        <f t="shared" si="17"/>
        <v>103</v>
      </c>
      <c r="F120" s="244">
        <f t="shared" si="18"/>
        <v>1.3205128205128205</v>
      </c>
    </row>
    <row r="121" spans="1:6" ht="39.950000000000003" customHeight="1" x14ac:dyDescent="0.3">
      <c r="A121" s="249"/>
      <c r="B121" s="242" t="s">
        <v>439</v>
      </c>
      <c r="C121" s="243">
        <f>+C112+C114</f>
        <v>9535263</v>
      </c>
      <c r="D121" s="243">
        <f>+D112+D114</f>
        <v>11679340</v>
      </c>
      <c r="E121" s="243">
        <f t="shared" si="17"/>
        <v>2144077</v>
      </c>
      <c r="F121" s="244">
        <f t="shared" si="18"/>
        <v>0.22485766779584371</v>
      </c>
    </row>
    <row r="122" spans="1:6" ht="39.950000000000003" customHeight="1" x14ac:dyDescent="0.3">
      <c r="A122" s="249"/>
      <c r="B122" s="242" t="s">
        <v>468</v>
      </c>
      <c r="C122" s="243">
        <f>+C113+C115</f>
        <v>2701399</v>
      </c>
      <c r="D122" s="243">
        <f>+D113+D115</f>
        <v>3902829</v>
      </c>
      <c r="E122" s="243">
        <f t="shared" si="17"/>
        <v>1201430</v>
      </c>
      <c r="F122" s="244">
        <f t="shared" si="18"/>
        <v>0.44474363098527836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2" fitToHeight="0" orientation="portrait" horizontalDpi="1200" verticalDpi="1200" r:id="rId1"/>
  <headerFooter>
    <oddHeader>&amp;LOFFICE OF HEALTH CARE ACCESS&amp;CTWELVE MONTHS ACTUAL FILING&amp;RJOHNSON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5926275</v>
      </c>
      <c r="D13" s="23">
        <v>1301545</v>
      </c>
      <c r="E13" s="23">
        <f t="shared" ref="E13:E22" si="0">D13-C13</f>
        <v>-4624730</v>
      </c>
      <c r="F13" s="24">
        <f t="shared" ref="F13:F22" si="1">IF(C13=0,0,E13/C13)</f>
        <v>-0.78037721840447838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11163874</v>
      </c>
      <c r="D15" s="23">
        <v>11509996</v>
      </c>
      <c r="E15" s="23">
        <f t="shared" si="0"/>
        <v>346122</v>
      </c>
      <c r="F15" s="24">
        <f t="shared" si="1"/>
        <v>3.1003753714884279E-2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1154583</v>
      </c>
      <c r="D19" s="23">
        <v>1216495</v>
      </c>
      <c r="E19" s="23">
        <f t="shared" si="0"/>
        <v>61912</v>
      </c>
      <c r="F19" s="24">
        <f t="shared" si="1"/>
        <v>5.3622823131814691E-2</v>
      </c>
    </row>
    <row r="20" spans="1:11" ht="24" customHeight="1" x14ac:dyDescent="0.2">
      <c r="A20" s="21">
        <v>8</v>
      </c>
      <c r="B20" s="22" t="s">
        <v>23</v>
      </c>
      <c r="C20" s="23">
        <v>1660331</v>
      </c>
      <c r="D20" s="23">
        <v>1312590</v>
      </c>
      <c r="E20" s="23">
        <f t="shared" si="0"/>
        <v>-347741</v>
      </c>
      <c r="F20" s="24">
        <f t="shared" si="1"/>
        <v>-0.20944076813599216</v>
      </c>
    </row>
    <row r="21" spans="1:11" ht="24" customHeight="1" x14ac:dyDescent="0.2">
      <c r="A21" s="21">
        <v>9</v>
      </c>
      <c r="B21" s="22" t="s">
        <v>24</v>
      </c>
      <c r="C21" s="23">
        <v>146659</v>
      </c>
      <c r="D21" s="23">
        <v>130809</v>
      </c>
      <c r="E21" s="23">
        <f t="shared" si="0"/>
        <v>-15850</v>
      </c>
      <c r="F21" s="24">
        <f t="shared" si="1"/>
        <v>-0.10807383113208191</v>
      </c>
    </row>
    <row r="22" spans="1:11" ht="24" customHeight="1" x14ac:dyDescent="0.25">
      <c r="A22" s="25"/>
      <c r="B22" s="26" t="s">
        <v>25</v>
      </c>
      <c r="C22" s="27">
        <f>SUM(C13:C21)</f>
        <v>20051722</v>
      </c>
      <c r="D22" s="27">
        <f>SUM(D13:D21)</f>
        <v>15471435</v>
      </c>
      <c r="E22" s="27">
        <f t="shared" si="0"/>
        <v>-4580287</v>
      </c>
      <c r="F22" s="28">
        <f t="shared" si="1"/>
        <v>-0.22842362366683519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4521816</v>
      </c>
      <c r="D25" s="23">
        <v>4009963</v>
      </c>
      <c r="E25" s="23">
        <f>D25-C25</f>
        <v>-511853</v>
      </c>
      <c r="F25" s="24">
        <f>IF(C25=0,0,E25/C25)</f>
        <v>-0.1131963352776849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4521816</v>
      </c>
      <c r="D29" s="27">
        <f>SUM(D25:D28)</f>
        <v>4009963</v>
      </c>
      <c r="E29" s="27">
        <f>D29-C29</f>
        <v>-511853</v>
      </c>
      <c r="F29" s="28">
        <f>IF(C29=0,0,E29/C29)</f>
        <v>-0.1131963352776849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3065208</v>
      </c>
      <c r="D32" s="23">
        <v>3025491</v>
      </c>
      <c r="E32" s="23">
        <f>D32-C32</f>
        <v>-39717</v>
      </c>
      <c r="F32" s="24">
        <f>IF(C32=0,0,E32/C32)</f>
        <v>-1.2957358848078172E-2</v>
      </c>
    </row>
    <row r="33" spans="1:8" ht="24" customHeight="1" x14ac:dyDescent="0.2">
      <c r="A33" s="21">
        <v>7</v>
      </c>
      <c r="B33" s="22" t="s">
        <v>35</v>
      </c>
      <c r="C33" s="23">
        <v>1440949</v>
      </c>
      <c r="D33" s="23">
        <v>1199389</v>
      </c>
      <c r="E33" s="23">
        <f>D33-C33</f>
        <v>-241560</v>
      </c>
      <c r="F33" s="24">
        <f>IF(C33=0,0,E33/C33)</f>
        <v>-0.16763952089907416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88785708</v>
      </c>
      <c r="D36" s="23">
        <v>89090624</v>
      </c>
      <c r="E36" s="23">
        <f>D36-C36</f>
        <v>304916</v>
      </c>
      <c r="F36" s="24">
        <f>IF(C36=0,0,E36/C36)</f>
        <v>3.4342914740286804E-3</v>
      </c>
    </row>
    <row r="37" spans="1:8" ht="24" customHeight="1" x14ac:dyDescent="0.2">
      <c r="A37" s="21">
        <v>2</v>
      </c>
      <c r="B37" s="22" t="s">
        <v>39</v>
      </c>
      <c r="C37" s="23">
        <v>49297688</v>
      </c>
      <c r="D37" s="23">
        <v>53104766</v>
      </c>
      <c r="E37" s="23">
        <f>D37-C37</f>
        <v>3807078</v>
      </c>
      <c r="F37" s="23">
        <f>IF(C37=0,0,E37/C37)</f>
        <v>7.7226299131918724E-2</v>
      </c>
    </row>
    <row r="38" spans="1:8" ht="24" customHeight="1" x14ac:dyDescent="0.25">
      <c r="A38" s="25"/>
      <c r="B38" s="26" t="s">
        <v>40</v>
      </c>
      <c r="C38" s="27">
        <f>C36-C37</f>
        <v>39488020</v>
      </c>
      <c r="D38" s="27">
        <f>D36-D37</f>
        <v>35985858</v>
      </c>
      <c r="E38" s="27">
        <f>D38-C38</f>
        <v>-3502162</v>
      </c>
      <c r="F38" s="28">
        <f>IF(C38=0,0,E38/C38)</f>
        <v>-8.868922777085303E-2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39488020</v>
      </c>
      <c r="D41" s="27">
        <f>+D38+D40</f>
        <v>35985858</v>
      </c>
      <c r="E41" s="27">
        <f>D41-C41</f>
        <v>-3502162</v>
      </c>
      <c r="F41" s="28">
        <f>IF(C41=0,0,E41/C41)</f>
        <v>-8.868922777085303E-2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68567715</v>
      </c>
      <c r="D43" s="27">
        <f>D22+D29+D31+D32+D33+D41</f>
        <v>59692136</v>
      </c>
      <c r="E43" s="27">
        <f>D43-C43</f>
        <v>-8875579</v>
      </c>
      <c r="F43" s="28">
        <f>IF(C43=0,0,E43/C43)</f>
        <v>-0.12944253720573889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6978741</v>
      </c>
      <c r="D49" s="23">
        <v>5573094</v>
      </c>
      <c r="E49" s="23">
        <f t="shared" ref="E49:E56" si="2">D49-C49</f>
        <v>-1405647</v>
      </c>
      <c r="F49" s="24">
        <f t="shared" ref="F49:F56" si="3">IF(C49=0,0,E49/C49)</f>
        <v>-0.2014184220334298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4253297</v>
      </c>
      <c r="D50" s="23">
        <v>2694192</v>
      </c>
      <c r="E50" s="23">
        <f t="shared" si="2"/>
        <v>-1559105</v>
      </c>
      <c r="F50" s="24">
        <f t="shared" si="3"/>
        <v>-0.36656386798288482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1323239</v>
      </c>
      <c r="D51" s="23">
        <v>1559803</v>
      </c>
      <c r="E51" s="23">
        <f t="shared" si="2"/>
        <v>236564</v>
      </c>
      <c r="F51" s="24">
        <f t="shared" si="3"/>
        <v>0.1787764719752063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1401467</v>
      </c>
      <c r="D54" s="23">
        <v>1221003</v>
      </c>
      <c r="E54" s="23">
        <f t="shared" si="2"/>
        <v>-180464</v>
      </c>
      <c r="F54" s="24">
        <f t="shared" si="3"/>
        <v>-0.12876792675104015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6980254</v>
      </c>
      <c r="D55" s="23">
        <v>4963552</v>
      </c>
      <c r="E55" s="23">
        <f t="shared" si="2"/>
        <v>-2016702</v>
      </c>
      <c r="F55" s="24">
        <f t="shared" si="3"/>
        <v>-0.28891527442984166</v>
      </c>
    </row>
    <row r="56" spans="1:6" ht="24" customHeight="1" x14ac:dyDescent="0.25">
      <c r="A56" s="25"/>
      <c r="B56" s="26" t="s">
        <v>54</v>
      </c>
      <c r="C56" s="27">
        <f>SUM(C49:C55)</f>
        <v>20936998</v>
      </c>
      <c r="D56" s="27">
        <f>SUM(D49:D55)</f>
        <v>16011644</v>
      </c>
      <c r="E56" s="27">
        <f t="shared" si="2"/>
        <v>-4925354</v>
      </c>
      <c r="F56" s="28">
        <f t="shared" si="3"/>
        <v>-0.23524642835615689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31240361</v>
      </c>
      <c r="D60" s="23">
        <v>29637852</v>
      </c>
      <c r="E60" s="23">
        <f>D60-C60</f>
        <v>-1602509</v>
      </c>
      <c r="F60" s="24">
        <f>IF(C60=0,0,E60/C60)</f>
        <v>-5.1296110182593599E-2</v>
      </c>
    </row>
    <row r="61" spans="1:6" ht="24" customHeight="1" x14ac:dyDescent="0.25">
      <c r="A61" s="25"/>
      <c r="B61" s="26" t="s">
        <v>58</v>
      </c>
      <c r="C61" s="27">
        <f>SUM(C59:C60)</f>
        <v>31240361</v>
      </c>
      <c r="D61" s="27">
        <f>SUM(D59:D60)</f>
        <v>29637852</v>
      </c>
      <c r="E61" s="27">
        <f>D61-C61</f>
        <v>-1602509</v>
      </c>
      <c r="F61" s="28">
        <f>IF(C61=0,0,E61/C61)</f>
        <v>-5.1296110182593599E-2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9157863</v>
      </c>
      <c r="D64" s="23">
        <v>8546856</v>
      </c>
      <c r="E64" s="23">
        <f>D64-C64</f>
        <v>-611007</v>
      </c>
      <c r="F64" s="24">
        <f>IF(C64=0,0,E64/C64)</f>
        <v>-6.6719386389597665E-2</v>
      </c>
    </row>
    <row r="65" spans="1:6" ht="24" customHeight="1" x14ac:dyDescent="0.25">
      <c r="A65" s="25"/>
      <c r="B65" s="26" t="s">
        <v>61</v>
      </c>
      <c r="C65" s="27">
        <f>SUM(C61:C64)</f>
        <v>40398224</v>
      </c>
      <c r="D65" s="27">
        <f>SUM(D61:D64)</f>
        <v>38184708</v>
      </c>
      <c r="E65" s="27">
        <f>D65-C65</f>
        <v>-2213516</v>
      </c>
      <c r="F65" s="28">
        <f>IF(C65=0,0,E65/C65)</f>
        <v>-5.4792408695986242E-2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10661133</v>
      </c>
      <c r="E67" s="23">
        <f>D67-C67</f>
        <v>10661133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2894449</v>
      </c>
      <c r="D70" s="23">
        <v>-9697651</v>
      </c>
      <c r="E70" s="23">
        <f>D70-C70</f>
        <v>-12592100</v>
      </c>
      <c r="F70" s="24">
        <f>IF(C70=0,0,E70/C70)</f>
        <v>-4.3504307728344846</v>
      </c>
    </row>
    <row r="71" spans="1:6" ht="24" customHeight="1" x14ac:dyDescent="0.2">
      <c r="A71" s="21">
        <v>2</v>
      </c>
      <c r="B71" s="22" t="s">
        <v>65</v>
      </c>
      <c r="C71" s="23">
        <v>40979</v>
      </c>
      <c r="D71" s="23">
        <v>352758</v>
      </c>
      <c r="E71" s="23">
        <f>D71-C71</f>
        <v>311779</v>
      </c>
      <c r="F71" s="24">
        <f>IF(C71=0,0,E71/C71)</f>
        <v>7.608262768735206</v>
      </c>
    </row>
    <row r="72" spans="1:6" ht="24" customHeight="1" x14ac:dyDescent="0.2">
      <c r="A72" s="21">
        <v>3</v>
      </c>
      <c r="B72" s="22" t="s">
        <v>66</v>
      </c>
      <c r="C72" s="23">
        <v>4297065</v>
      </c>
      <c r="D72" s="23">
        <v>4179544</v>
      </c>
      <c r="E72" s="23">
        <f>D72-C72</f>
        <v>-117521</v>
      </c>
      <c r="F72" s="24">
        <f>IF(C72=0,0,E72/C72)</f>
        <v>-2.7349132489268839E-2</v>
      </c>
    </row>
    <row r="73" spans="1:6" ht="24" customHeight="1" x14ac:dyDescent="0.25">
      <c r="A73" s="21"/>
      <c r="B73" s="26" t="s">
        <v>67</v>
      </c>
      <c r="C73" s="27">
        <f>SUM(C70:C72)</f>
        <v>7232493</v>
      </c>
      <c r="D73" s="27">
        <f>SUM(D70:D72)</f>
        <v>-5165349</v>
      </c>
      <c r="E73" s="27">
        <f>D73-C73</f>
        <v>-12397842</v>
      </c>
      <c r="F73" s="28">
        <f>IF(C73=0,0,E73/C73)</f>
        <v>-1.7141865190882315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68567715</v>
      </c>
      <c r="D75" s="27">
        <f>D56+D65+D67+D73</f>
        <v>59692136</v>
      </c>
      <c r="E75" s="27">
        <f>D75-C75</f>
        <v>-8875579</v>
      </c>
      <c r="F75" s="28">
        <f>IF(C75=0,0,E75/C75)</f>
        <v>-0.12944253720573889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FILING&amp;RJOHNSON MEMORIAL MEDICAL CENTER,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6" t="s">
        <v>477</v>
      </c>
      <c r="B1" s="697"/>
      <c r="C1" s="697"/>
      <c r="D1" s="697"/>
      <c r="E1" s="697"/>
      <c r="F1" s="698"/>
    </row>
    <row r="2" spans="1:8" ht="23.1" customHeight="1" x14ac:dyDescent="0.25">
      <c r="A2" s="696" t="s">
        <v>1</v>
      </c>
      <c r="B2" s="697"/>
      <c r="C2" s="697"/>
      <c r="D2" s="697"/>
      <c r="E2" s="697"/>
      <c r="F2" s="698"/>
    </row>
    <row r="3" spans="1:8" ht="23.1" customHeight="1" x14ac:dyDescent="0.25">
      <c r="A3" s="696" t="s">
        <v>2</v>
      </c>
      <c r="B3" s="697"/>
      <c r="C3" s="697"/>
      <c r="D3" s="697"/>
      <c r="E3" s="697"/>
      <c r="F3" s="698"/>
    </row>
    <row r="4" spans="1:8" ht="23.1" customHeight="1" x14ac:dyDescent="0.25">
      <c r="A4" s="696" t="s">
        <v>479</v>
      </c>
      <c r="B4" s="697"/>
      <c r="C4" s="697"/>
      <c r="D4" s="697"/>
      <c r="E4" s="697"/>
      <c r="F4" s="69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194467507</v>
      </c>
      <c r="D12" s="51">
        <v>191420507</v>
      </c>
      <c r="E12" s="51">
        <f t="shared" ref="E12:E19" si="0">D12-C12</f>
        <v>-3047000</v>
      </c>
      <c r="F12" s="70">
        <f t="shared" ref="F12:F19" si="1">IF(C12=0,0,E12/C12)</f>
        <v>-1.5668427322411246E-2</v>
      </c>
    </row>
    <row r="13" spans="1:8" ht="23.1" customHeight="1" x14ac:dyDescent="0.2">
      <c r="A13" s="25">
        <v>2</v>
      </c>
      <c r="B13" s="48" t="s">
        <v>72</v>
      </c>
      <c r="C13" s="51">
        <v>104995694</v>
      </c>
      <c r="D13" s="51">
        <v>102132113</v>
      </c>
      <c r="E13" s="51">
        <f t="shared" si="0"/>
        <v>-2863581</v>
      </c>
      <c r="F13" s="70">
        <f t="shared" si="1"/>
        <v>-2.7273318465802988E-2</v>
      </c>
    </row>
    <row r="14" spans="1:8" ht="23.1" customHeight="1" x14ac:dyDescent="0.2">
      <c r="A14" s="25">
        <v>3</v>
      </c>
      <c r="B14" s="48" t="s">
        <v>73</v>
      </c>
      <c r="C14" s="51">
        <v>323775</v>
      </c>
      <c r="D14" s="51">
        <v>491100</v>
      </c>
      <c r="E14" s="51">
        <f t="shared" si="0"/>
        <v>167325</v>
      </c>
      <c r="F14" s="70">
        <f t="shared" si="1"/>
        <v>0.51679406995598798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89148038</v>
      </c>
      <c r="D16" s="27">
        <f>D12-D13-D14-D15</f>
        <v>88797294</v>
      </c>
      <c r="E16" s="27">
        <f t="shared" si="0"/>
        <v>-350744</v>
      </c>
      <c r="F16" s="28">
        <f t="shared" si="1"/>
        <v>-3.9343995433752561E-3</v>
      </c>
    </row>
    <row r="17" spans="1:7" ht="23.1" customHeight="1" x14ac:dyDescent="0.2">
      <c r="A17" s="25">
        <v>5</v>
      </c>
      <c r="B17" s="48" t="s">
        <v>76</v>
      </c>
      <c r="C17" s="51">
        <v>1507077</v>
      </c>
      <c r="D17" s="51">
        <v>965605</v>
      </c>
      <c r="E17" s="51">
        <f t="shared" si="0"/>
        <v>-541472</v>
      </c>
      <c r="F17" s="70">
        <f t="shared" si="1"/>
        <v>-0.35928622094292462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90655115</v>
      </c>
      <c r="D19" s="27">
        <f>SUM(D16:D18)</f>
        <v>89762899</v>
      </c>
      <c r="E19" s="27">
        <f t="shared" si="0"/>
        <v>-892216</v>
      </c>
      <c r="F19" s="28">
        <f t="shared" si="1"/>
        <v>-9.8418715811016289E-3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47121431</v>
      </c>
      <c r="D22" s="51">
        <v>46308939</v>
      </c>
      <c r="E22" s="51">
        <f t="shared" ref="E22:E31" si="2">D22-C22</f>
        <v>-812492</v>
      </c>
      <c r="F22" s="70">
        <f t="shared" ref="F22:F31" si="3">IF(C22=0,0,E22/C22)</f>
        <v>-1.7242515406631007E-2</v>
      </c>
    </row>
    <row r="23" spans="1:7" ht="23.1" customHeight="1" x14ac:dyDescent="0.2">
      <c r="A23" s="25">
        <v>2</v>
      </c>
      <c r="B23" s="48" t="s">
        <v>81</v>
      </c>
      <c r="C23" s="51">
        <v>12107097</v>
      </c>
      <c r="D23" s="51">
        <v>9658911</v>
      </c>
      <c r="E23" s="51">
        <f t="shared" si="2"/>
        <v>-2448186</v>
      </c>
      <c r="F23" s="70">
        <f t="shared" si="3"/>
        <v>-0.20221081899319052</v>
      </c>
    </row>
    <row r="24" spans="1:7" ht="23.1" customHeight="1" x14ac:dyDescent="0.2">
      <c r="A24" s="25">
        <v>3</v>
      </c>
      <c r="B24" s="48" t="s">
        <v>82</v>
      </c>
      <c r="C24" s="51">
        <v>658322</v>
      </c>
      <c r="D24" s="51">
        <v>493797</v>
      </c>
      <c r="E24" s="51">
        <f t="shared" si="2"/>
        <v>-164525</v>
      </c>
      <c r="F24" s="70">
        <f t="shared" si="3"/>
        <v>-0.24991569475120079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9310163</v>
      </c>
      <c r="D25" s="51">
        <v>8817803</v>
      </c>
      <c r="E25" s="51">
        <f t="shared" si="2"/>
        <v>-492360</v>
      </c>
      <c r="F25" s="70">
        <f t="shared" si="3"/>
        <v>-5.2884143918855125E-2</v>
      </c>
    </row>
    <row r="26" spans="1:7" ht="23.1" customHeight="1" x14ac:dyDescent="0.2">
      <c r="A26" s="25">
        <v>5</v>
      </c>
      <c r="B26" s="48" t="s">
        <v>84</v>
      </c>
      <c r="C26" s="51">
        <v>4439184</v>
      </c>
      <c r="D26" s="51">
        <v>4470435</v>
      </c>
      <c r="E26" s="51">
        <f t="shared" si="2"/>
        <v>31251</v>
      </c>
      <c r="F26" s="70">
        <f t="shared" si="3"/>
        <v>7.0398073159391459E-3</v>
      </c>
    </row>
    <row r="27" spans="1:7" ht="23.1" customHeight="1" x14ac:dyDescent="0.2">
      <c r="A27" s="25">
        <v>6</v>
      </c>
      <c r="B27" s="48" t="s">
        <v>85</v>
      </c>
      <c r="C27" s="51">
        <v>3604330</v>
      </c>
      <c r="D27" s="51">
        <v>2836552</v>
      </c>
      <c r="E27" s="51">
        <f t="shared" si="2"/>
        <v>-767778</v>
      </c>
      <c r="F27" s="70">
        <f t="shared" si="3"/>
        <v>-0.21301545640937428</v>
      </c>
    </row>
    <row r="28" spans="1:7" ht="23.1" customHeight="1" x14ac:dyDescent="0.2">
      <c r="A28" s="25">
        <v>7</v>
      </c>
      <c r="B28" s="48" t="s">
        <v>86</v>
      </c>
      <c r="C28" s="51">
        <v>898164</v>
      </c>
      <c r="D28" s="51">
        <v>2007104</v>
      </c>
      <c r="E28" s="51">
        <f t="shared" si="2"/>
        <v>1108940</v>
      </c>
      <c r="F28" s="70">
        <f t="shared" si="3"/>
        <v>1.2346742911094188</v>
      </c>
    </row>
    <row r="29" spans="1:7" ht="23.1" customHeight="1" x14ac:dyDescent="0.2">
      <c r="A29" s="25">
        <v>8</v>
      </c>
      <c r="B29" s="48" t="s">
        <v>87</v>
      </c>
      <c r="C29" s="51">
        <v>788038</v>
      </c>
      <c r="D29" s="51">
        <v>729896</v>
      </c>
      <c r="E29" s="51">
        <f t="shared" si="2"/>
        <v>-58142</v>
      </c>
      <c r="F29" s="70">
        <f t="shared" si="3"/>
        <v>-7.378070600656314E-2</v>
      </c>
    </row>
    <row r="30" spans="1:7" ht="23.1" customHeight="1" x14ac:dyDescent="0.2">
      <c r="A30" s="25">
        <v>9</v>
      </c>
      <c r="B30" s="48" t="s">
        <v>88</v>
      </c>
      <c r="C30" s="51">
        <v>18376434</v>
      </c>
      <c r="D30" s="51">
        <v>17666404</v>
      </c>
      <c r="E30" s="51">
        <f t="shared" si="2"/>
        <v>-710030</v>
      </c>
      <c r="F30" s="70">
        <f t="shared" si="3"/>
        <v>-3.8638073088609032E-2</v>
      </c>
    </row>
    <row r="31" spans="1:7" ht="23.1" customHeight="1" x14ac:dyDescent="0.25">
      <c r="A31" s="29"/>
      <c r="B31" s="71" t="s">
        <v>89</v>
      </c>
      <c r="C31" s="27">
        <f>SUM(C22:C30)</f>
        <v>97303163</v>
      </c>
      <c r="D31" s="27">
        <f>SUM(D22:D30)</f>
        <v>92989841</v>
      </c>
      <c r="E31" s="27">
        <f t="shared" si="2"/>
        <v>-4313322</v>
      </c>
      <c r="F31" s="28">
        <f t="shared" si="3"/>
        <v>-4.4328692583199991E-2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-6648048</v>
      </c>
      <c r="D33" s="27">
        <f>+D19-D31</f>
        <v>-3226942</v>
      </c>
      <c r="E33" s="27">
        <f>D33-C33</f>
        <v>3421106</v>
      </c>
      <c r="F33" s="28">
        <f>IF(C33=0,0,E33/C33)</f>
        <v>-0.51460308349157524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174881</v>
      </c>
      <c r="D36" s="51">
        <v>118937</v>
      </c>
      <c r="E36" s="51">
        <f>D36-C36</f>
        <v>-55944</v>
      </c>
      <c r="F36" s="70">
        <f>IF(C36=0,0,E36/C36)</f>
        <v>-0.31989753032061802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33667144</v>
      </c>
      <c r="D38" s="51">
        <v>1087038</v>
      </c>
      <c r="E38" s="51">
        <f>D38-C38</f>
        <v>-32580106</v>
      </c>
      <c r="F38" s="70">
        <f>IF(C38=0,0,E38/C38)</f>
        <v>-0.96771220035771377</v>
      </c>
    </row>
    <row r="39" spans="1:6" ht="23.1" customHeight="1" x14ac:dyDescent="0.25">
      <c r="A39" s="20"/>
      <c r="B39" s="71" t="s">
        <v>95</v>
      </c>
      <c r="C39" s="27">
        <f>SUM(C36:C38)</f>
        <v>33842025</v>
      </c>
      <c r="D39" s="27">
        <f>SUM(D36:D38)</f>
        <v>1205975</v>
      </c>
      <c r="E39" s="27">
        <f>D39-C39</f>
        <v>-32636050</v>
      </c>
      <c r="F39" s="28">
        <f>IF(C39=0,0,E39/C39)</f>
        <v>-0.96436457333744063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27193977</v>
      </c>
      <c r="D41" s="27">
        <f>D33+D39</f>
        <v>-2020967</v>
      </c>
      <c r="E41" s="27">
        <f>D41-C41</f>
        <v>-29214944</v>
      </c>
      <c r="F41" s="28">
        <f>IF(C41=0,0,E41/C41)</f>
        <v>-1.0743167135869829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27193977</v>
      </c>
      <c r="D48" s="27">
        <f>D41+D46</f>
        <v>-2020967</v>
      </c>
      <c r="E48" s="27">
        <f>D48-C48</f>
        <v>-29214944</v>
      </c>
      <c r="F48" s="28">
        <f>IF(C48=0,0,E48/C48)</f>
        <v>-1.0743167135869829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FILING&amp;R&amp;8JOHNSON MEMORIAL MEDICAL CENTER,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2012-06-28T15:00:31Z</cp:lastPrinted>
  <dcterms:created xsi:type="dcterms:W3CDTF">2006-08-03T13:49:12Z</dcterms:created>
  <dcterms:modified xsi:type="dcterms:W3CDTF">2012-06-28T15:00:59Z</dcterms:modified>
</cp:coreProperties>
</file>