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 s="1"/>
  <c r="C96" i="22"/>
  <c r="E92" i="22"/>
  <c r="D92" i="22"/>
  <c r="C92" i="22"/>
  <c r="E91" i="22"/>
  <c r="E93" i="22"/>
  <c r="D91" i="22"/>
  <c r="D93" i="22"/>
  <c r="C91" i="22"/>
  <c r="C93" i="22" s="1"/>
  <c r="E87" i="22"/>
  <c r="D87" i="22"/>
  <c r="C87" i="22"/>
  <c r="E86" i="22"/>
  <c r="D86" i="22"/>
  <c r="D88" i="22" s="1"/>
  <c r="C86" i="22"/>
  <c r="C88" i="22"/>
  <c r="E83" i="22"/>
  <c r="E101" i="22"/>
  <c r="E103" i="22" s="1"/>
  <c r="D83" i="22"/>
  <c r="C83" i="22"/>
  <c r="C101" i="22" s="1"/>
  <c r="E76" i="22"/>
  <c r="D76" i="22"/>
  <c r="D77" i="22" s="1"/>
  <c r="D108" i="22" s="1"/>
  <c r="C76" i="22"/>
  <c r="C77" i="22" s="1"/>
  <c r="E75" i="22"/>
  <c r="E77" i="22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D23" i="22" s="1"/>
  <c r="D34" i="22"/>
  <c r="C12" i="22"/>
  <c r="C33" i="22"/>
  <c r="D21" i="21"/>
  <c r="E21" i="21" s="1"/>
  <c r="C21" i="21"/>
  <c r="D19" i="21"/>
  <c r="E19" i="21" s="1"/>
  <c r="C19" i="21"/>
  <c r="F17" i="21"/>
  <c r="E17" i="21"/>
  <c r="F15" i="21"/>
  <c r="E15" i="21"/>
  <c r="D45" i="20"/>
  <c r="E45" i="20"/>
  <c r="C45" i="20"/>
  <c r="D44" i="20"/>
  <c r="C44" i="20"/>
  <c r="D43" i="20"/>
  <c r="D46" i="20" s="1"/>
  <c r="C43" i="20"/>
  <c r="C46" i="20"/>
  <c r="D36" i="20"/>
  <c r="D40" i="20" s="1"/>
  <c r="E40" i="20"/>
  <c r="C36" i="20"/>
  <c r="C40" i="20"/>
  <c r="F35" i="20"/>
  <c r="E35" i="20"/>
  <c r="F34" i="20"/>
  <c r="E34" i="20"/>
  <c r="E33" i="20"/>
  <c r="F33" i="20" s="1"/>
  <c r="E36" i="20"/>
  <c r="F36" i="20" s="1"/>
  <c r="F30" i="20"/>
  <c r="E30" i="20"/>
  <c r="F29" i="20"/>
  <c r="E29" i="20"/>
  <c r="E28" i="20"/>
  <c r="F28" i="20" s="1"/>
  <c r="F27" i="20"/>
  <c r="E27" i="20"/>
  <c r="D25" i="20"/>
  <c r="D39" i="20" s="1"/>
  <c r="C25" i="20"/>
  <c r="E24" i="20"/>
  <c r="F24" i="20" s="1"/>
  <c r="F23" i="20"/>
  <c r="E23" i="20"/>
  <c r="F22" i="20"/>
  <c r="E22" i="20"/>
  <c r="E25" i="20"/>
  <c r="D19" i="20"/>
  <c r="D20" i="20"/>
  <c r="C19" i="20"/>
  <c r="C20" i="20" s="1"/>
  <c r="E20" i="20" s="1"/>
  <c r="E18" i="20"/>
  <c r="F18" i="20" s="1"/>
  <c r="D16" i="20"/>
  <c r="F16" i="20"/>
  <c r="C16" i="20"/>
  <c r="E16" i="20" s="1"/>
  <c r="F15" i="20"/>
  <c r="E15" i="20"/>
  <c r="E13" i="20"/>
  <c r="F13" i="20" s="1"/>
  <c r="E12" i="20"/>
  <c r="F12" i="20" s="1"/>
  <c r="C115" i="19"/>
  <c r="C105" i="19"/>
  <c r="C137" i="19"/>
  <c r="C139" i="19" s="1"/>
  <c r="C143" i="19" s="1"/>
  <c r="C96" i="19"/>
  <c r="C95" i="19"/>
  <c r="C89" i="19"/>
  <c r="C88" i="19"/>
  <c r="C83" i="19"/>
  <c r="C77" i="19"/>
  <c r="C78" i="19"/>
  <c r="C63" i="19"/>
  <c r="C59" i="19"/>
  <c r="C48" i="19"/>
  <c r="C36" i="19"/>
  <c r="C32" i="19"/>
  <c r="C37" i="19" s="1"/>
  <c r="C33" i="19"/>
  <c r="C21" i="19"/>
  <c r="E328" i="18"/>
  <c r="E325" i="18"/>
  <c r="D324" i="18"/>
  <c r="C324" i="18"/>
  <c r="E318" i="18"/>
  <c r="E315" i="18"/>
  <c r="D314" i="18"/>
  <c r="D316" i="18"/>
  <c r="C314" i="18"/>
  <c r="C316" i="18"/>
  <c r="C320" i="18"/>
  <c r="E320" i="18" s="1"/>
  <c r="E308" i="18"/>
  <c r="E305" i="18"/>
  <c r="D301" i="18"/>
  <c r="C301" i="18"/>
  <c r="E301" i="18" s="1"/>
  <c r="D293" i="18"/>
  <c r="E293" i="18" s="1"/>
  <c r="C293" i="18"/>
  <c r="D292" i="18"/>
  <c r="C292" i="18"/>
  <c r="E292" i="18" s="1"/>
  <c r="D291" i="18"/>
  <c r="C291" i="18"/>
  <c r="E291" i="18" s="1"/>
  <c r="D290" i="18"/>
  <c r="E290" i="18" s="1"/>
  <c r="C290" i="18"/>
  <c r="D288" i="18"/>
  <c r="E288" i="18" s="1"/>
  <c r="C288" i="18"/>
  <c r="D287" i="18"/>
  <c r="E287" i="18"/>
  <c r="C287" i="18"/>
  <c r="D282" i="18"/>
  <c r="C282" i="18"/>
  <c r="D281" i="18"/>
  <c r="C281" i="18"/>
  <c r="E281" i="18" s="1"/>
  <c r="D280" i="18"/>
  <c r="C280" i="18"/>
  <c r="D279" i="18"/>
  <c r="E279" i="18"/>
  <c r="C279" i="18"/>
  <c r="D278" i="18"/>
  <c r="C278" i="18"/>
  <c r="E278" i="18" s="1"/>
  <c r="D277" i="18"/>
  <c r="E277" i="18" s="1"/>
  <c r="C277" i="18"/>
  <c r="D276" i="18"/>
  <c r="E276" i="18" s="1"/>
  <c r="C276" i="18"/>
  <c r="E270" i="18"/>
  <c r="D265" i="18"/>
  <c r="D302" i="18"/>
  <c r="C265" i="18"/>
  <c r="C302" i="18" s="1"/>
  <c r="D262" i="18"/>
  <c r="E262" i="18" s="1"/>
  <c r="C262" i="18"/>
  <c r="D251" i="18"/>
  <c r="C251" i="18"/>
  <c r="D233" i="18"/>
  <c r="E233" i="18"/>
  <c r="C233" i="18"/>
  <c r="D232" i="18"/>
  <c r="E232" i="18" s="1"/>
  <c r="C232" i="18"/>
  <c r="D231" i="18"/>
  <c r="C231" i="18"/>
  <c r="D230" i="18"/>
  <c r="E230" i="18" s="1"/>
  <c r="C230" i="18"/>
  <c r="D228" i="18"/>
  <c r="C228" i="18"/>
  <c r="D227" i="18"/>
  <c r="C227" i="18"/>
  <c r="E227" i="18"/>
  <c r="D221" i="18"/>
  <c r="D245" i="18" s="1"/>
  <c r="C221" i="18"/>
  <c r="C245" i="18" s="1"/>
  <c r="D220" i="18"/>
  <c r="C220" i="18"/>
  <c r="D219" i="18"/>
  <c r="D243" i="18" s="1"/>
  <c r="C219" i="18"/>
  <c r="D218" i="18"/>
  <c r="E218" i="18"/>
  <c r="C218" i="18"/>
  <c r="C242" i="18"/>
  <c r="D217" i="18"/>
  <c r="D216" i="18"/>
  <c r="D240" i="18"/>
  <c r="C216" i="18"/>
  <c r="C240" i="18"/>
  <c r="D215" i="18"/>
  <c r="D239" i="18" s="1"/>
  <c r="E239" i="18"/>
  <c r="C215" i="18"/>
  <c r="C239" i="18"/>
  <c r="E209" i="18"/>
  <c r="E208" i="18"/>
  <c r="E207" i="18"/>
  <c r="E206" i="18"/>
  <c r="D205" i="18"/>
  <c r="D210" i="18"/>
  <c r="C205" i="18"/>
  <c r="C229" i="18"/>
  <c r="E204" i="18"/>
  <c r="E203" i="18"/>
  <c r="E197" i="18"/>
  <c r="E196" i="18"/>
  <c r="D195" i="18"/>
  <c r="D260" i="18"/>
  <c r="E260" i="18" s="1"/>
  <c r="C195" i="18"/>
  <c r="C260" i="18"/>
  <c r="E194" i="18"/>
  <c r="E193" i="18"/>
  <c r="E192" i="18"/>
  <c r="E191" i="18"/>
  <c r="E190" i="18"/>
  <c r="D189" i="18"/>
  <c r="E189" i="18" s="1"/>
  <c r="D188" i="18"/>
  <c r="D261" i="18"/>
  <c r="C188" i="18"/>
  <c r="E186" i="18"/>
  <c r="E185" i="18"/>
  <c r="D179" i="18"/>
  <c r="C179" i="18"/>
  <c r="D178" i="18"/>
  <c r="E178" i="18" s="1"/>
  <c r="C178" i="18"/>
  <c r="D177" i="18"/>
  <c r="E177" i="18"/>
  <c r="C177" i="18"/>
  <c r="D176" i="18"/>
  <c r="E176" i="18" s="1"/>
  <c r="C176" i="18"/>
  <c r="D174" i="18"/>
  <c r="E174" i="18" s="1"/>
  <c r="C174" i="18"/>
  <c r="D173" i="18"/>
  <c r="C173" i="18"/>
  <c r="D167" i="18"/>
  <c r="E167" i="18" s="1"/>
  <c r="C167" i="18"/>
  <c r="D166" i="18"/>
  <c r="E166" i="18" s="1"/>
  <c r="C166" i="18"/>
  <c r="D165" i="18"/>
  <c r="C165" i="18"/>
  <c r="E165" i="18"/>
  <c r="D164" i="18"/>
  <c r="E164" i="18"/>
  <c r="C164" i="18"/>
  <c r="D162" i="18"/>
  <c r="C162" i="18"/>
  <c r="E162" i="18" s="1"/>
  <c r="D161" i="18"/>
  <c r="C161" i="18"/>
  <c r="C156" i="18"/>
  <c r="C157" i="18" s="1"/>
  <c r="E155" i="18"/>
  <c r="E154" i="18"/>
  <c r="E153" i="18"/>
  <c r="E152" i="18"/>
  <c r="D151" i="18"/>
  <c r="D156" i="18" s="1"/>
  <c r="C151" i="18"/>
  <c r="E150" i="18"/>
  <c r="E149" i="18"/>
  <c r="D144" i="18"/>
  <c r="D168" i="18" s="1"/>
  <c r="E143" i="18"/>
  <c r="E142" i="18"/>
  <c r="E141" i="18"/>
  <c r="E140" i="18"/>
  <c r="D139" i="18"/>
  <c r="D175" i="18" s="1"/>
  <c r="C139" i="18"/>
  <c r="E138" i="18"/>
  <c r="E137" i="18"/>
  <c r="D75" i="18"/>
  <c r="E75" i="18"/>
  <c r="C75" i="18"/>
  <c r="D74" i="18"/>
  <c r="C74" i="18"/>
  <c r="D73" i="18"/>
  <c r="E73" i="18"/>
  <c r="C73" i="18"/>
  <c r="D72" i="18"/>
  <c r="E72" i="18" s="1"/>
  <c r="C72" i="18"/>
  <c r="D71" i="18"/>
  <c r="D70" i="18"/>
  <c r="C70" i="18"/>
  <c r="D69" i="18"/>
  <c r="C69" i="18"/>
  <c r="E64" i="18"/>
  <c r="E63" i="18"/>
  <c r="E62" i="18"/>
  <c r="E61" i="18"/>
  <c r="D60" i="18"/>
  <c r="C60" i="18"/>
  <c r="E59" i="18"/>
  <c r="E58" i="18"/>
  <c r="D55" i="18"/>
  <c r="E55" i="18" s="1"/>
  <c r="D54" i="18"/>
  <c r="C54" i="18"/>
  <c r="C55" i="18" s="1"/>
  <c r="E53" i="18"/>
  <c r="E52" i="18"/>
  <c r="E51" i="18"/>
  <c r="E50" i="18"/>
  <c r="E49" i="18"/>
  <c r="E48" i="18"/>
  <c r="E47" i="18"/>
  <c r="D42" i="18"/>
  <c r="E42" i="18"/>
  <c r="C42" i="18"/>
  <c r="D41" i="18"/>
  <c r="C41" i="18"/>
  <c r="E41" i="18" s="1"/>
  <c r="D40" i="18"/>
  <c r="E40" i="18"/>
  <c r="C40" i="18"/>
  <c r="D39" i="18"/>
  <c r="E39" i="18" s="1"/>
  <c r="C39" i="18"/>
  <c r="D38" i="18"/>
  <c r="E38" i="18"/>
  <c r="C38" i="18"/>
  <c r="D37" i="18"/>
  <c r="C37" i="18"/>
  <c r="D36" i="18"/>
  <c r="C36" i="18"/>
  <c r="C33" i="18"/>
  <c r="D32" i="18"/>
  <c r="C32" i="18"/>
  <c r="E31" i="18"/>
  <c r="E30" i="18"/>
  <c r="E29" i="18"/>
  <c r="E28" i="18"/>
  <c r="E27" i="18"/>
  <c r="E26" i="18"/>
  <c r="E25" i="18"/>
  <c r="D21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F332" i="17"/>
  <c r="E332" i="17"/>
  <c r="F331" i="17"/>
  <c r="E331" i="17"/>
  <c r="F330" i="17"/>
  <c r="E330" i="17"/>
  <c r="E329" i="17"/>
  <c r="F329" i="17" s="1"/>
  <c r="F316" i="17"/>
  <c r="E316" i="17"/>
  <c r="F311" i="17"/>
  <c r="D311" i="17"/>
  <c r="E311" i="17"/>
  <c r="C311" i="17"/>
  <c r="E308" i="17"/>
  <c r="F308" i="17"/>
  <c r="D307" i="17"/>
  <c r="E307" i="17"/>
  <c r="F307" i="17" s="1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E294" i="17" s="1"/>
  <c r="D250" i="17"/>
  <c r="D306" i="17"/>
  <c r="E306" i="17" s="1"/>
  <c r="C250" i="17"/>
  <c r="C306" i="17" s="1"/>
  <c r="E249" i="17"/>
  <c r="F249" i="17" s="1"/>
  <c r="E248" i="17"/>
  <c r="F248" i="17"/>
  <c r="F245" i="17"/>
  <c r="E245" i="17"/>
  <c r="E244" i="17"/>
  <c r="F244" i="17" s="1"/>
  <c r="E243" i="17"/>
  <c r="F243" i="17" s="1"/>
  <c r="D238" i="17"/>
  <c r="C238" i="17"/>
  <c r="D237" i="17"/>
  <c r="D239" i="17"/>
  <c r="C237" i="17"/>
  <c r="C239" i="17" s="1"/>
  <c r="E234" i="17"/>
  <c r="F234" i="17" s="1"/>
  <c r="E233" i="17"/>
  <c r="F233" i="17"/>
  <c r="D230" i="17"/>
  <c r="E230" i="17" s="1"/>
  <c r="C230" i="17"/>
  <c r="D229" i="17"/>
  <c r="C229" i="17"/>
  <c r="E228" i="17"/>
  <c r="F228" i="17" s="1"/>
  <c r="D226" i="17"/>
  <c r="D227" i="17"/>
  <c r="C226" i="17"/>
  <c r="E225" i="17"/>
  <c r="F225" i="17"/>
  <c r="E224" i="17"/>
  <c r="F224" i="17"/>
  <c r="D223" i="17"/>
  <c r="C223" i="17"/>
  <c r="E222" i="17"/>
  <c r="F222" i="17" s="1"/>
  <c r="E221" i="17"/>
  <c r="F221" i="17"/>
  <c r="D204" i="17"/>
  <c r="D285" i="17"/>
  <c r="E285" i="17" s="1"/>
  <c r="C204" i="17"/>
  <c r="D203" i="17"/>
  <c r="D283" i="17"/>
  <c r="D286" i="17" s="1"/>
  <c r="E286" i="17" s="1"/>
  <c r="F286" i="17" s="1"/>
  <c r="C203" i="17"/>
  <c r="D198" i="17"/>
  <c r="E198" i="17"/>
  <c r="C198" i="17"/>
  <c r="D191" i="17"/>
  <c r="C191" i="17"/>
  <c r="D189" i="17"/>
  <c r="C189" i="17"/>
  <c r="D188" i="17"/>
  <c r="E188" i="17" s="1"/>
  <c r="C188" i="17"/>
  <c r="D180" i="17"/>
  <c r="E180" i="17"/>
  <c r="C180" i="17"/>
  <c r="F180" i="17" s="1"/>
  <c r="D179" i="17"/>
  <c r="C179" i="17"/>
  <c r="D171" i="17"/>
  <c r="D172" i="17"/>
  <c r="D173" i="17" s="1"/>
  <c r="C171" i="17"/>
  <c r="D170" i="17"/>
  <c r="C170" i="17"/>
  <c r="F169" i="17"/>
  <c r="E169" i="17"/>
  <c r="F168" i="17"/>
  <c r="E168" i="17"/>
  <c r="F165" i="17"/>
  <c r="D165" i="17"/>
  <c r="C165" i="17"/>
  <c r="E165" i="17" s="1"/>
  <c r="F164" i="17"/>
  <c r="D164" i="17"/>
  <c r="E164" i="17"/>
  <c r="C164" i="17"/>
  <c r="F163" i="17"/>
  <c r="E163" i="17"/>
  <c r="D158" i="17"/>
  <c r="D159" i="17" s="1"/>
  <c r="C158" i="17"/>
  <c r="F157" i="17"/>
  <c r="E157" i="17"/>
  <c r="F156" i="17"/>
  <c r="E156" i="17"/>
  <c r="D155" i="17"/>
  <c r="E155" i="17" s="1"/>
  <c r="C155" i="17"/>
  <c r="F155" i="17" s="1"/>
  <c r="F154" i="17"/>
  <c r="E154" i="17"/>
  <c r="F153" i="17"/>
  <c r="E153" i="17"/>
  <c r="D145" i="17"/>
  <c r="D146" i="17" s="1"/>
  <c r="C145" i="17"/>
  <c r="D144" i="17"/>
  <c r="C144" i="17"/>
  <c r="D136" i="17"/>
  <c r="D137" i="17"/>
  <c r="C136" i="17"/>
  <c r="C137" i="17"/>
  <c r="D135" i="17"/>
  <c r="C135" i="17"/>
  <c r="E134" i="17"/>
  <c r="F134" i="17" s="1"/>
  <c r="E133" i="17"/>
  <c r="F133" i="17" s="1"/>
  <c r="D130" i="17"/>
  <c r="C130" i="17"/>
  <c r="D129" i="17"/>
  <c r="E129" i="17"/>
  <c r="C129" i="17"/>
  <c r="E128" i="17"/>
  <c r="F128" i="17" s="1"/>
  <c r="D123" i="17"/>
  <c r="D192" i="17" s="1"/>
  <c r="C123" i="17"/>
  <c r="C193" i="17"/>
  <c r="E122" i="17"/>
  <c r="F122" i="17" s="1"/>
  <c r="E121" i="17"/>
  <c r="F121" i="17" s="1"/>
  <c r="D120" i="17"/>
  <c r="E120" i="17"/>
  <c r="F120" i="17"/>
  <c r="C120" i="17"/>
  <c r="E119" i="17"/>
  <c r="F119" i="17" s="1"/>
  <c r="E118" i="17"/>
  <c r="F118" i="17" s="1"/>
  <c r="D110" i="17"/>
  <c r="D111" i="17" s="1"/>
  <c r="C110" i="17"/>
  <c r="D109" i="17"/>
  <c r="C109" i="17"/>
  <c r="D101" i="17"/>
  <c r="D102" i="17"/>
  <c r="C101" i="17"/>
  <c r="D100" i="17"/>
  <c r="E100" i="17"/>
  <c r="C100" i="17"/>
  <c r="E99" i="17"/>
  <c r="F99" i="17" s="1"/>
  <c r="F98" i="17"/>
  <c r="E98" i="17"/>
  <c r="D95" i="17"/>
  <c r="E95" i="17"/>
  <c r="C95" i="17"/>
  <c r="F95" i="17" s="1"/>
  <c r="D94" i="17"/>
  <c r="E94" i="17"/>
  <c r="C94" i="17"/>
  <c r="E93" i="17"/>
  <c r="F93" i="17"/>
  <c r="D88" i="17"/>
  <c r="F88" i="17"/>
  <c r="C88" i="17"/>
  <c r="E88" i="17" s="1"/>
  <c r="E87" i="17"/>
  <c r="F87" i="17" s="1"/>
  <c r="E86" i="17"/>
  <c r="F86" i="17" s="1"/>
  <c r="D85" i="17"/>
  <c r="F85" i="17"/>
  <c r="C85" i="17"/>
  <c r="E85" i="17" s="1"/>
  <c r="F84" i="17"/>
  <c r="E84" i="17"/>
  <c r="F83" i="17"/>
  <c r="E83" i="17"/>
  <c r="D76" i="17"/>
  <c r="C76" i="17"/>
  <c r="C77" i="17" s="1"/>
  <c r="E74" i="17"/>
  <c r="F74" i="17"/>
  <c r="E73" i="17"/>
  <c r="F73" i="17" s="1"/>
  <c r="D67" i="17"/>
  <c r="D68" i="17" s="1"/>
  <c r="C67" i="17"/>
  <c r="D66" i="17"/>
  <c r="C66" i="17"/>
  <c r="D59" i="17"/>
  <c r="D60" i="17"/>
  <c r="D61" i="17"/>
  <c r="D62" i="17" s="1"/>
  <c r="C59" i="17"/>
  <c r="C60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C48" i="17"/>
  <c r="D47" i="17"/>
  <c r="D48" i="17" s="1"/>
  <c r="C47" i="17"/>
  <c r="E46" i="17"/>
  <c r="F46" i="17" s="1"/>
  <c r="E45" i="17"/>
  <c r="F45" i="17"/>
  <c r="D44" i="17"/>
  <c r="C44" i="17"/>
  <c r="E43" i="17"/>
  <c r="F43" i="17" s="1"/>
  <c r="E42" i="17"/>
  <c r="F42" i="17" s="1"/>
  <c r="D36" i="17"/>
  <c r="C36" i="17"/>
  <c r="D35" i="17"/>
  <c r="D37" i="17"/>
  <c r="E37" i="17" s="1"/>
  <c r="C35" i="17"/>
  <c r="D30" i="17"/>
  <c r="D31" i="17" s="1"/>
  <c r="D32" i="17" s="1"/>
  <c r="C30" i="17"/>
  <c r="C31" i="17" s="1"/>
  <c r="D29" i="17"/>
  <c r="E29" i="17"/>
  <c r="F29" i="17" s="1"/>
  <c r="C29" i="17"/>
  <c r="F28" i="17"/>
  <c r="E28" i="17"/>
  <c r="E27" i="17"/>
  <c r="F27" i="17" s="1"/>
  <c r="D24" i="17"/>
  <c r="E24" i="17"/>
  <c r="F24" i="17" s="1"/>
  <c r="C24" i="17"/>
  <c r="D23" i="17"/>
  <c r="C23" i="17"/>
  <c r="F22" i="17"/>
  <c r="E22" i="17"/>
  <c r="D20" i="17"/>
  <c r="E20" i="17" s="1"/>
  <c r="F20" i="17"/>
  <c r="C20" i="17"/>
  <c r="E19" i="17"/>
  <c r="F19" i="17" s="1"/>
  <c r="E18" i="17"/>
  <c r="F18" i="17" s="1"/>
  <c r="D17" i="17"/>
  <c r="E17" i="17" s="1"/>
  <c r="F17" i="17"/>
  <c r="C17" i="17"/>
  <c r="E16" i="17"/>
  <c r="F16" i="17" s="1"/>
  <c r="F15" i="17"/>
  <c r="E15" i="17"/>
  <c r="D21" i="16"/>
  <c r="C21" i="16"/>
  <c r="E20" i="16"/>
  <c r="F20" i="16" s="1"/>
  <c r="D17" i="16"/>
  <c r="E17" i="16" s="1"/>
  <c r="C17" i="16"/>
  <c r="E16" i="16"/>
  <c r="F16" i="16" s="1"/>
  <c r="D13" i="16"/>
  <c r="C13" i="16"/>
  <c r="E13" i="16" s="1"/>
  <c r="F12" i="16"/>
  <c r="E12" i="16"/>
  <c r="D107" i="15"/>
  <c r="E107" i="15"/>
  <c r="C107" i="15"/>
  <c r="E106" i="15"/>
  <c r="F106" i="15" s="1"/>
  <c r="E105" i="15"/>
  <c r="F105" i="15" s="1"/>
  <c r="E104" i="15"/>
  <c r="F104" i="15" s="1"/>
  <c r="D100" i="15"/>
  <c r="E100" i="15" s="1"/>
  <c r="F100" i="15" s="1"/>
  <c r="C100" i="15"/>
  <c r="E99" i="15"/>
  <c r="F99" i="15" s="1"/>
  <c r="E98" i="15"/>
  <c r="F98" i="15" s="1"/>
  <c r="E97" i="15"/>
  <c r="F97" i="15" s="1"/>
  <c r="E96" i="15"/>
  <c r="F96" i="15" s="1"/>
  <c r="F95" i="15"/>
  <c r="E95" i="15"/>
  <c r="D92" i="15"/>
  <c r="E92" i="15"/>
  <c r="C92" i="15"/>
  <c r="F92" i="15" s="1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E73" i="15"/>
  <c r="F73" i="15" s="1"/>
  <c r="D70" i="15"/>
  <c r="E70" i="15"/>
  <c r="C70" i="15"/>
  <c r="E69" i="15"/>
  <c r="F69" i="15" s="1"/>
  <c r="F68" i="15"/>
  <c r="E68" i="15"/>
  <c r="D65" i="15"/>
  <c r="C65" i="15"/>
  <c r="E64" i="15"/>
  <c r="F64" i="15" s="1"/>
  <c r="E63" i="15"/>
  <c r="F63" i="15" s="1"/>
  <c r="F60" i="15"/>
  <c r="D60" i="15"/>
  <c r="C60" i="15"/>
  <c r="F59" i="15"/>
  <c r="E59" i="15"/>
  <c r="F58" i="15"/>
  <c r="E58" i="15"/>
  <c r="E60" i="15"/>
  <c r="D55" i="15"/>
  <c r="E55" i="15" s="1"/>
  <c r="C55" i="15"/>
  <c r="F54" i="15"/>
  <c r="E54" i="15"/>
  <c r="F53" i="15"/>
  <c r="E53" i="15"/>
  <c r="D50" i="15"/>
  <c r="E50" i="15"/>
  <c r="C50" i="15"/>
  <c r="E49" i="15"/>
  <c r="F49" i="15" s="1"/>
  <c r="E48" i="15"/>
  <c r="F48" i="15" s="1"/>
  <c r="D45" i="15"/>
  <c r="C45" i="15"/>
  <c r="F44" i="15"/>
  <c r="E44" i="15"/>
  <c r="E43" i="15"/>
  <c r="F43" i="15" s="1"/>
  <c r="D37" i="15"/>
  <c r="E37" i="15" s="1"/>
  <c r="C37" i="15"/>
  <c r="F36" i="15"/>
  <c r="E36" i="15"/>
  <c r="F35" i="15"/>
  <c r="E35" i="15"/>
  <c r="E34" i="15"/>
  <c r="F34" i="15" s="1"/>
  <c r="E33" i="15"/>
  <c r="F33" i="15" s="1"/>
  <c r="D30" i="15"/>
  <c r="C30" i="15"/>
  <c r="F30" i="15" s="1"/>
  <c r="F29" i="15"/>
  <c r="E29" i="15"/>
  <c r="F28" i="15"/>
  <c r="E28" i="15"/>
  <c r="F27" i="15"/>
  <c r="E27" i="15"/>
  <c r="F26" i="15"/>
  <c r="E26" i="15"/>
  <c r="D23" i="15"/>
  <c r="C23" i="15"/>
  <c r="F22" i="15"/>
  <c r="E22" i="15"/>
  <c r="E21" i="15"/>
  <c r="F21" i="15" s="1"/>
  <c r="F20" i="15"/>
  <c r="E20" i="15"/>
  <c r="E19" i="15"/>
  <c r="F19" i="15" s="1"/>
  <c r="D16" i="15"/>
  <c r="C16" i="15"/>
  <c r="F15" i="15"/>
  <c r="E15" i="15"/>
  <c r="E14" i="15"/>
  <c r="F14" i="15" s="1"/>
  <c r="F13" i="15"/>
  <c r="E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3" i="14" s="1"/>
  <c r="G31" i="14"/>
  <c r="F17" i="14"/>
  <c r="F33" i="14" s="1"/>
  <c r="F36" i="14" s="1"/>
  <c r="E17" i="14"/>
  <c r="E31" i="14"/>
  <c r="D17" i="14"/>
  <c r="D33" i="14" s="1"/>
  <c r="D36" i="14" s="1"/>
  <c r="D38" i="14" s="1"/>
  <c r="D40" i="14" s="1"/>
  <c r="C17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/>
  <c r="D78" i="13"/>
  <c r="D80" i="13" s="1"/>
  <c r="D77" i="13"/>
  <c r="C78" i="13"/>
  <c r="C80" i="13" s="1"/>
  <c r="C77" i="13"/>
  <c r="E75" i="13"/>
  <c r="C75" i="13"/>
  <c r="E73" i="13"/>
  <c r="D73" i="13"/>
  <c r="D75" i="13"/>
  <c r="C73" i="13"/>
  <c r="E71" i="13"/>
  <c r="D71" i="13"/>
  <c r="C71" i="13"/>
  <c r="E66" i="13"/>
  <c r="E65" i="13" s="1"/>
  <c r="D66" i="13"/>
  <c r="C66" i="13"/>
  <c r="C65" i="13" s="1"/>
  <c r="D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 s="1"/>
  <c r="E48" i="13"/>
  <c r="E42" i="13" s="1"/>
  <c r="E46" i="13"/>
  <c r="E59" i="13" s="1"/>
  <c r="E61" i="13" s="1"/>
  <c r="D46" i="13"/>
  <c r="D59" i="13"/>
  <c r="D61" i="13" s="1"/>
  <c r="D57" i="13"/>
  <c r="C46" i="13"/>
  <c r="C59" i="13" s="1"/>
  <c r="E45" i="13"/>
  <c r="D45" i="13"/>
  <c r="C45" i="13"/>
  <c r="E38" i="13"/>
  <c r="D38" i="13"/>
  <c r="C38" i="13"/>
  <c r="E33" i="13"/>
  <c r="E34" i="13" s="1"/>
  <c r="D33" i="13"/>
  <c r="D34" i="13"/>
  <c r="E26" i="13"/>
  <c r="D26" i="13"/>
  <c r="C26" i="13"/>
  <c r="E15" i="13"/>
  <c r="E24" i="13" s="1"/>
  <c r="C15" i="13"/>
  <c r="C24" i="13" s="1"/>
  <c r="E13" i="13"/>
  <c r="E25" i="13" s="1"/>
  <c r="D13" i="13"/>
  <c r="D25" i="13" s="1"/>
  <c r="D27" i="13" s="1"/>
  <c r="C13" i="13"/>
  <c r="C25" i="13" s="1"/>
  <c r="C27" i="13" s="1"/>
  <c r="F47" i="12"/>
  <c r="D47" i="12"/>
  <c r="E47" i="12"/>
  <c r="C47" i="12"/>
  <c r="F46" i="12"/>
  <c r="E46" i="12"/>
  <c r="F45" i="12"/>
  <c r="E45" i="12"/>
  <c r="D40" i="12"/>
  <c r="E40" i="12"/>
  <c r="F40" i="12"/>
  <c r="C40" i="12"/>
  <c r="F39" i="12"/>
  <c r="E39" i="12"/>
  <c r="E38" i="12"/>
  <c r="F38" i="12" s="1"/>
  <c r="F37" i="12"/>
  <c r="E37" i="12"/>
  <c r="D32" i="12"/>
  <c r="E32" i="12" s="1"/>
  <c r="F32" i="12"/>
  <c r="C32" i="12"/>
  <c r="E31" i="12"/>
  <c r="F31" i="12" s="1"/>
  <c r="F30" i="12"/>
  <c r="E30" i="12"/>
  <c r="F29" i="12"/>
  <c r="E29" i="12"/>
  <c r="F28" i="12"/>
  <c r="E28" i="12"/>
  <c r="E27" i="12"/>
  <c r="F27" i="12" s="1"/>
  <c r="E26" i="12"/>
  <c r="F26" i="12" s="1"/>
  <c r="F25" i="12"/>
  <c r="E25" i="12"/>
  <c r="F24" i="12"/>
  <c r="E24" i="12"/>
  <c r="E23" i="12"/>
  <c r="F23" i="12" s="1"/>
  <c r="F19" i="12"/>
  <c r="E19" i="12"/>
  <c r="F18" i="12"/>
  <c r="E18" i="12"/>
  <c r="F16" i="12"/>
  <c r="E16" i="12"/>
  <c r="D15" i="12"/>
  <c r="D17" i="12"/>
  <c r="C15" i="12"/>
  <c r="C17" i="12" s="1"/>
  <c r="F14" i="12"/>
  <c r="E14" i="12"/>
  <c r="F13" i="12"/>
  <c r="E13" i="12"/>
  <c r="E12" i="12"/>
  <c r="F12" i="12" s="1"/>
  <c r="E11" i="12"/>
  <c r="F11" i="12" s="1"/>
  <c r="D73" i="11"/>
  <c r="E73" i="11" s="1"/>
  <c r="F73" i="11"/>
  <c r="C73" i="11"/>
  <c r="E72" i="11"/>
  <c r="F72" i="11" s="1"/>
  <c r="E71" i="11"/>
  <c r="F71" i="11" s="1"/>
  <c r="F70" i="11"/>
  <c r="E70" i="11"/>
  <c r="F67" i="11"/>
  <c r="E67" i="11"/>
  <c r="E64" i="11"/>
  <c r="F64" i="11" s="1"/>
  <c r="F63" i="11"/>
  <c r="E63" i="11"/>
  <c r="D61" i="11"/>
  <c r="D65" i="11" s="1"/>
  <c r="E65" i="11"/>
  <c r="C61" i="11"/>
  <c r="C65" i="11" s="1"/>
  <c r="E60" i="11"/>
  <c r="F60" i="11" s="1"/>
  <c r="F59" i="11"/>
  <c r="E59" i="11"/>
  <c r="D56" i="11"/>
  <c r="D75" i="11"/>
  <c r="E75" i="11" s="1"/>
  <c r="C56" i="11"/>
  <c r="C75" i="11"/>
  <c r="E55" i="11"/>
  <c r="F55" i="11" s="1"/>
  <c r="F54" i="11"/>
  <c r="E54" i="11"/>
  <c r="F53" i="11"/>
  <c r="E53" i="11"/>
  <c r="E52" i="11"/>
  <c r="F52" i="11"/>
  <c r="E51" i="11"/>
  <c r="F51" i="11" s="1"/>
  <c r="E50" i="11"/>
  <c r="F50" i="11"/>
  <c r="A50" i="11"/>
  <c r="A51" i="11" s="1"/>
  <c r="A52" i="11" s="1"/>
  <c r="A53" i="11" s="1"/>
  <c r="A54" i="11" s="1"/>
  <c r="A55" i="11" s="1"/>
  <c r="F49" i="11"/>
  <c r="E49" i="11"/>
  <c r="F40" i="11"/>
  <c r="E40" i="11"/>
  <c r="D38" i="11"/>
  <c r="D41" i="11"/>
  <c r="C38" i="11"/>
  <c r="E38" i="11" s="1"/>
  <c r="E37" i="11"/>
  <c r="F37" i="11" s="1"/>
  <c r="E36" i="11"/>
  <c r="F36" i="11" s="1"/>
  <c r="F33" i="11"/>
  <c r="E33" i="11"/>
  <c r="E32" i="11"/>
  <c r="F32" i="11" s="1"/>
  <c r="F31" i="11"/>
  <c r="E31" i="11"/>
  <c r="D29" i="11"/>
  <c r="C29" i="11"/>
  <c r="F28" i="11"/>
  <c r="E28" i="11"/>
  <c r="F27" i="11"/>
  <c r="E27" i="11"/>
  <c r="F26" i="11"/>
  <c r="E26" i="11"/>
  <c r="F25" i="11"/>
  <c r="E25" i="11"/>
  <c r="D22" i="11"/>
  <c r="D43" i="11" s="1"/>
  <c r="C22" i="11"/>
  <c r="E21" i="11"/>
  <c r="F21" i="11" s="1"/>
  <c r="F20" i="11"/>
  <c r="E20" i="11"/>
  <c r="F19" i="11"/>
  <c r="E19" i="11"/>
  <c r="F18" i="11"/>
  <c r="E18" i="11"/>
  <c r="E17" i="11"/>
  <c r="F17" i="11" s="1"/>
  <c r="F16" i="11"/>
  <c r="E16" i="11"/>
  <c r="F15" i="11"/>
  <c r="E15" i="11"/>
  <c r="F14" i="11"/>
  <c r="E14" i="11"/>
  <c r="E13" i="11"/>
  <c r="F13" i="11" s="1"/>
  <c r="D120" i="10"/>
  <c r="E120" i="10"/>
  <c r="F120" i="10"/>
  <c r="C120" i="10"/>
  <c r="D119" i="10"/>
  <c r="E119" i="10" s="1"/>
  <c r="C119" i="10"/>
  <c r="D118" i="10"/>
  <c r="E118" i="10" s="1"/>
  <c r="F118" i="10"/>
  <c r="C118" i="10"/>
  <c r="D117" i="10"/>
  <c r="E117" i="10" s="1"/>
  <c r="C117" i="10"/>
  <c r="D116" i="10"/>
  <c r="E116" i="10"/>
  <c r="F116" i="10" s="1"/>
  <c r="C116" i="10"/>
  <c r="D115" i="10"/>
  <c r="C115" i="10"/>
  <c r="C122" i="10" s="1"/>
  <c r="D114" i="10"/>
  <c r="E114" i="10" s="1"/>
  <c r="F114" i="10"/>
  <c r="C114" i="10"/>
  <c r="D113" i="10"/>
  <c r="C113" i="10"/>
  <c r="D112" i="10"/>
  <c r="D121" i="10"/>
  <c r="E121" i="10" s="1"/>
  <c r="C112" i="10"/>
  <c r="C121" i="10" s="1"/>
  <c r="D108" i="10"/>
  <c r="E108" i="10"/>
  <c r="F108" i="10" s="1"/>
  <c r="C108" i="10"/>
  <c r="D107" i="10"/>
  <c r="E107" i="10" s="1"/>
  <c r="F107" i="10" s="1"/>
  <c r="C107" i="10"/>
  <c r="E106" i="10"/>
  <c r="F106" i="10" s="1"/>
  <c r="E105" i="10"/>
  <c r="F105" i="10" s="1"/>
  <c r="F104" i="10"/>
  <c r="E104" i="10"/>
  <c r="F103" i="10"/>
  <c r="E103" i="10"/>
  <c r="E102" i="10"/>
  <c r="F102" i="10" s="1"/>
  <c r="E101" i="10"/>
  <c r="F101" i="10" s="1"/>
  <c r="F100" i="10"/>
  <c r="E100" i="10"/>
  <c r="F99" i="10"/>
  <c r="E99" i="10"/>
  <c r="E98" i="10"/>
  <c r="F98" i="10" s="1"/>
  <c r="D96" i="10"/>
  <c r="E96" i="10" s="1"/>
  <c r="F96" i="10" s="1"/>
  <c r="C96" i="10"/>
  <c r="D95" i="10"/>
  <c r="E95" i="10" s="1"/>
  <c r="C95" i="10"/>
  <c r="E94" i="10"/>
  <c r="F94" i="10" s="1"/>
  <c r="F93" i="10"/>
  <c r="E93" i="10"/>
  <c r="F92" i="10"/>
  <c r="E92" i="10"/>
  <c r="E91" i="10"/>
  <c r="F91" i="10" s="1"/>
  <c r="E90" i="10"/>
  <c r="F90" i="10" s="1"/>
  <c r="F89" i="10"/>
  <c r="E89" i="10"/>
  <c r="F88" i="10"/>
  <c r="E88" i="10"/>
  <c r="E87" i="10"/>
  <c r="F87" i="10" s="1"/>
  <c r="F86" i="10"/>
  <c r="E86" i="10"/>
  <c r="F84" i="10"/>
  <c r="D84" i="10"/>
  <c r="E84" i="10"/>
  <c r="C84" i="10"/>
  <c r="D83" i="10"/>
  <c r="E83" i="10" s="1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 s="1"/>
  <c r="C72" i="10"/>
  <c r="F71" i="10"/>
  <c r="D71" i="10"/>
  <c r="E71" i="10" s="1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D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F36" i="10"/>
  <c r="C36" i="10"/>
  <c r="D35" i="10"/>
  <c r="E35" i="10"/>
  <c r="F35" i="10"/>
  <c r="C35" i="10"/>
  <c r="F34" i="10"/>
  <c r="E34" i="10"/>
  <c r="F33" i="10"/>
  <c r="E33" i="10"/>
  <c r="E32" i="10"/>
  <c r="F32" i="10" s="1"/>
  <c r="E31" i="10"/>
  <c r="F31" i="10" s="1"/>
  <c r="F30" i="10"/>
  <c r="E30" i="10"/>
  <c r="F29" i="10"/>
  <c r="E29" i="10"/>
  <c r="E28" i="10"/>
  <c r="F28" i="10" s="1"/>
  <c r="E27" i="10"/>
  <c r="F27" i="10" s="1"/>
  <c r="F26" i="10"/>
  <c r="E26" i="10"/>
  <c r="D24" i="10"/>
  <c r="C24" i="10"/>
  <c r="F24" i="10" s="1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E205" i="9"/>
  <c r="C205" i="9"/>
  <c r="D204" i="9"/>
  <c r="E204" i="9" s="1"/>
  <c r="F204" i="9" s="1"/>
  <c r="C204" i="9"/>
  <c r="D203" i="9"/>
  <c r="E203" i="9"/>
  <c r="C203" i="9"/>
  <c r="D202" i="9"/>
  <c r="E202" i="9" s="1"/>
  <c r="F202" i="9"/>
  <c r="C202" i="9"/>
  <c r="D201" i="9"/>
  <c r="F201" i="9"/>
  <c r="C201" i="9"/>
  <c r="E201" i="9" s="1"/>
  <c r="D200" i="9"/>
  <c r="E200" i="9" s="1"/>
  <c r="F200" i="9" s="1"/>
  <c r="C200" i="9"/>
  <c r="D199" i="9"/>
  <c r="D208" i="9"/>
  <c r="C199" i="9"/>
  <c r="C208" i="9" s="1"/>
  <c r="D198" i="9"/>
  <c r="C198" i="9"/>
  <c r="C207" i="9"/>
  <c r="F193" i="9"/>
  <c r="D193" i="9"/>
  <c r="E193" i="9"/>
  <c r="C193" i="9"/>
  <c r="D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D179" i="9"/>
  <c r="E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C167" i="9"/>
  <c r="E167" i="9" s="1"/>
  <c r="F166" i="9"/>
  <c r="D166" i="9"/>
  <c r="E166" i="9" s="1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D153" i="9"/>
  <c r="E153" i="9" s="1"/>
  <c r="F153" i="9"/>
  <c r="C153" i="9"/>
  <c r="E152" i="9"/>
  <c r="F152" i="9" s="1"/>
  <c r="F151" i="9"/>
  <c r="E151" i="9"/>
  <c r="F150" i="9"/>
  <c r="E150" i="9"/>
  <c r="F149" i="9"/>
  <c r="E149" i="9"/>
  <c r="E148" i="9"/>
  <c r="F148" i="9" s="1"/>
  <c r="E147" i="9"/>
  <c r="F147" i="9" s="1"/>
  <c r="F146" i="9"/>
  <c r="E146" i="9"/>
  <c r="F145" i="9"/>
  <c r="E145" i="9"/>
  <c r="E144" i="9"/>
  <c r="F144" i="9" s="1"/>
  <c r="F141" i="9"/>
  <c r="D141" i="9"/>
  <c r="E141" i="9"/>
  <c r="C141" i="9"/>
  <c r="D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 s="1"/>
  <c r="F128" i="9"/>
  <c r="C128" i="9"/>
  <c r="D127" i="9"/>
  <c r="E127" i="9"/>
  <c r="F127" i="9"/>
  <c r="C127" i="9"/>
  <c r="F126" i="9"/>
  <c r="E126" i="9"/>
  <c r="F125" i="9"/>
  <c r="E125" i="9"/>
  <c r="E124" i="9"/>
  <c r="F124" i="9" s="1"/>
  <c r="E123" i="9"/>
  <c r="F123" i="9" s="1"/>
  <c r="F122" i="9"/>
  <c r="E122" i="9"/>
  <c r="F121" i="9"/>
  <c r="E121" i="9"/>
  <c r="E120" i="9"/>
  <c r="F120" i="9" s="1"/>
  <c r="E119" i="9"/>
  <c r="F119" i="9" s="1"/>
  <c r="F118" i="9"/>
  <c r="E118" i="9"/>
  <c r="D115" i="9"/>
  <c r="C115" i="9"/>
  <c r="D114" i="9"/>
  <c r="E114" i="9" s="1"/>
  <c r="F114" i="9" s="1"/>
  <c r="C114" i="9"/>
  <c r="F113" i="9"/>
  <c r="E113" i="9"/>
  <c r="E112" i="9"/>
  <c r="F112" i="9" s="1"/>
  <c r="F111" i="9"/>
  <c r="E111" i="9"/>
  <c r="F110" i="9"/>
  <c r="E110" i="9"/>
  <c r="F109" i="9"/>
  <c r="E109" i="9"/>
  <c r="E108" i="9"/>
  <c r="F108" i="9" s="1"/>
  <c r="F107" i="9"/>
  <c r="E107" i="9"/>
  <c r="F106" i="9"/>
  <c r="E106" i="9"/>
  <c r="F105" i="9"/>
  <c r="E105" i="9"/>
  <c r="F102" i="9"/>
  <c r="D102" i="9"/>
  <c r="E102" i="9" s="1"/>
  <c r="C102" i="9"/>
  <c r="F101" i="9"/>
  <c r="D101" i="9"/>
  <c r="E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 s="1"/>
  <c r="C89" i="9"/>
  <c r="F88" i="9"/>
  <c r="D88" i="9"/>
  <c r="C88" i="9"/>
  <c r="E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E75" i="9" s="1"/>
  <c r="C75" i="9"/>
  <c r="F75" i="9" s="1"/>
  <c r="F74" i="9"/>
  <c r="E74" i="9"/>
  <c r="F73" i="9"/>
  <c r="E73" i="9"/>
  <c r="F72" i="9"/>
  <c r="E72" i="9"/>
  <c r="E71" i="9"/>
  <c r="F71" i="9" s="1"/>
  <c r="F70" i="9"/>
  <c r="E70" i="9"/>
  <c r="F69" i="9"/>
  <c r="E69" i="9"/>
  <c r="F68" i="9"/>
  <c r="E68" i="9"/>
  <c r="E67" i="9"/>
  <c r="F67" i="9" s="1"/>
  <c r="F66" i="9"/>
  <c r="E66" i="9"/>
  <c r="F63" i="9"/>
  <c r="D63" i="9"/>
  <c r="E63" i="9" s="1"/>
  <c r="C63" i="9"/>
  <c r="F62" i="9"/>
  <c r="D62" i="9"/>
  <c r="E62" i="9" s="1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C50" i="9"/>
  <c r="D49" i="9"/>
  <c r="C49" i="9"/>
  <c r="F48" i="9"/>
  <c r="E48" i="9"/>
  <c r="E47" i="9"/>
  <c r="F47" i="9" s="1"/>
  <c r="F46" i="9"/>
  <c r="E46" i="9"/>
  <c r="E45" i="9"/>
  <c r="F45" i="9" s="1"/>
  <c r="E44" i="9"/>
  <c r="F44" i="9" s="1"/>
  <c r="E43" i="9"/>
  <c r="F43" i="9" s="1"/>
  <c r="F42" i="9"/>
  <c r="E42" i="9"/>
  <c r="E41" i="9"/>
  <c r="F41" i="9" s="1"/>
  <c r="E40" i="9"/>
  <c r="F40" i="9" s="1"/>
  <c r="D37" i="9"/>
  <c r="E37" i="9"/>
  <c r="F37" i="9"/>
  <c r="C37" i="9"/>
  <c r="D36" i="9"/>
  <c r="C36" i="9"/>
  <c r="F35" i="9"/>
  <c r="E35" i="9"/>
  <c r="F34" i="9"/>
  <c r="E34" i="9"/>
  <c r="E33" i="9"/>
  <c r="F33" i="9" s="1"/>
  <c r="F32" i="9"/>
  <c r="E32" i="9"/>
  <c r="F31" i="9"/>
  <c r="E31" i="9"/>
  <c r="F30" i="9"/>
  <c r="E30" i="9"/>
  <c r="E29" i="9"/>
  <c r="F29" i="9" s="1"/>
  <c r="F28" i="9"/>
  <c r="E28" i="9"/>
  <c r="F27" i="9"/>
  <c r="E27" i="9"/>
  <c r="D24" i="9"/>
  <c r="E24" i="9" s="1"/>
  <c r="F24" i="9" s="1"/>
  <c r="C24" i="9"/>
  <c r="D23" i="9"/>
  <c r="E23" i="9" s="1"/>
  <c r="F23" i="9" s="1"/>
  <c r="C23" i="9"/>
  <c r="E22" i="9"/>
  <c r="F22" i="9" s="1"/>
  <c r="F21" i="9"/>
  <c r="E21" i="9"/>
  <c r="E20" i="9"/>
  <c r="F20" i="9" s="1"/>
  <c r="F19" i="9"/>
  <c r="E19" i="9"/>
  <c r="E18" i="9"/>
  <c r="F18" i="9" s="1"/>
  <c r="F17" i="9"/>
  <c r="E17" i="9"/>
  <c r="F16" i="9"/>
  <c r="E16" i="9"/>
  <c r="F15" i="9"/>
  <c r="E15" i="9"/>
  <c r="E14" i="9"/>
  <c r="F14" i="9" s="1"/>
  <c r="E191" i="8"/>
  <c r="D191" i="8"/>
  <c r="C191" i="8"/>
  <c r="E176" i="8"/>
  <c r="D176" i="8"/>
  <c r="C176" i="8"/>
  <c r="E164" i="8"/>
  <c r="E160" i="8" s="1"/>
  <c r="D164" i="8"/>
  <c r="D160" i="8" s="1"/>
  <c r="C164" i="8"/>
  <c r="E162" i="8"/>
  <c r="D162" i="8"/>
  <c r="C162" i="8"/>
  <c r="E161" i="8"/>
  <c r="E166" i="8" s="1"/>
  <c r="D161" i="8"/>
  <c r="C161" i="8"/>
  <c r="C160" i="8"/>
  <c r="C166" i="8"/>
  <c r="C152" i="8" s="1"/>
  <c r="E147" i="8"/>
  <c r="E143" i="8" s="1"/>
  <c r="E149" i="8" s="1"/>
  <c r="E136" i="8" s="1"/>
  <c r="D147" i="8"/>
  <c r="D143" i="8"/>
  <c r="D149" i="8" s="1"/>
  <c r="D136" i="8" s="1"/>
  <c r="C147" i="8"/>
  <c r="E145" i="8"/>
  <c r="D145" i="8"/>
  <c r="C145" i="8"/>
  <c r="E144" i="8"/>
  <c r="D144" i="8"/>
  <c r="C144" i="8"/>
  <c r="C143" i="8"/>
  <c r="C149" i="8" s="1"/>
  <c r="E126" i="8"/>
  <c r="D126" i="8"/>
  <c r="C126" i="8"/>
  <c r="E119" i="8"/>
  <c r="D119" i="8"/>
  <c r="C119" i="8"/>
  <c r="E108" i="8"/>
  <c r="E109" i="8" s="1"/>
  <c r="E106" i="8" s="1"/>
  <c r="D108" i="8"/>
  <c r="C108" i="8"/>
  <c r="E107" i="8"/>
  <c r="D107" i="8"/>
  <c r="C107" i="8"/>
  <c r="C109" i="8"/>
  <c r="C106" i="8" s="1"/>
  <c r="E104" i="8"/>
  <c r="C104" i="8"/>
  <c r="E102" i="8"/>
  <c r="D102" i="8"/>
  <c r="D104" i="8"/>
  <c r="C102" i="8"/>
  <c r="E100" i="8"/>
  <c r="D100" i="8"/>
  <c r="C100" i="8"/>
  <c r="E95" i="8"/>
  <c r="E94" i="8" s="1"/>
  <c r="D95" i="8"/>
  <c r="C95" i="8"/>
  <c r="C94" i="8"/>
  <c r="D94" i="8"/>
  <c r="E89" i="8"/>
  <c r="D89" i="8"/>
  <c r="D90" i="8" s="1"/>
  <c r="D86" i="8" s="1"/>
  <c r="C89" i="8"/>
  <c r="E87" i="8"/>
  <c r="D87" i="8"/>
  <c r="C87" i="8"/>
  <c r="E84" i="8"/>
  <c r="E79" i="8" s="1"/>
  <c r="D84" i="8"/>
  <c r="D79" i="8" s="1"/>
  <c r="C84" i="8"/>
  <c r="E83" i="8"/>
  <c r="D83" i="8"/>
  <c r="C83" i="8"/>
  <c r="C79" i="8"/>
  <c r="E77" i="8"/>
  <c r="E71" i="8" s="1"/>
  <c r="C77" i="8"/>
  <c r="C71" i="8"/>
  <c r="E75" i="8"/>
  <c r="E88" i="8" s="1"/>
  <c r="E90" i="8"/>
  <c r="E86" i="8" s="1"/>
  <c r="D75" i="8"/>
  <c r="D88" i="8" s="1"/>
  <c r="C75" i="8"/>
  <c r="C88" i="8" s="1"/>
  <c r="C90" i="8" s="1"/>
  <c r="C86" i="8" s="1"/>
  <c r="E74" i="8"/>
  <c r="D74" i="8"/>
  <c r="C74" i="8"/>
  <c r="E67" i="8"/>
  <c r="D67" i="8"/>
  <c r="C67" i="8"/>
  <c r="D43" i="8"/>
  <c r="E38" i="8"/>
  <c r="E57" i="8"/>
  <c r="E62" i="8" s="1"/>
  <c r="D38" i="8"/>
  <c r="D53" i="8"/>
  <c r="C38" i="8"/>
  <c r="C57" i="8" s="1"/>
  <c r="C62" i="8"/>
  <c r="E33" i="8"/>
  <c r="E34" i="8"/>
  <c r="D33" i="8"/>
  <c r="D34" i="8"/>
  <c r="E26" i="8"/>
  <c r="D26" i="8"/>
  <c r="C26" i="8"/>
  <c r="E25" i="8"/>
  <c r="E27" i="8" s="1"/>
  <c r="C25" i="8"/>
  <c r="C27" i="8" s="1"/>
  <c r="E15" i="8"/>
  <c r="E24" i="8"/>
  <c r="E13" i="8"/>
  <c r="D13" i="8"/>
  <c r="D25" i="8"/>
  <c r="D27" i="8" s="1"/>
  <c r="C13" i="8"/>
  <c r="C15" i="8" s="1"/>
  <c r="C24" i="8" s="1"/>
  <c r="F186" i="7"/>
  <c r="E186" i="7"/>
  <c r="D183" i="7"/>
  <c r="D188" i="7"/>
  <c r="C183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E176" i="7"/>
  <c r="F176" i="7" s="1"/>
  <c r="F175" i="7"/>
  <c r="E175" i="7"/>
  <c r="E174" i="7"/>
  <c r="F174" i="7" s="1"/>
  <c r="F173" i="7"/>
  <c r="E173" i="7"/>
  <c r="F172" i="7"/>
  <c r="E172" i="7"/>
  <c r="F171" i="7"/>
  <c r="E171" i="7"/>
  <c r="E170" i="7"/>
  <c r="F170" i="7" s="1"/>
  <c r="D167" i="7"/>
  <c r="E167" i="7" s="1"/>
  <c r="F167" i="7" s="1"/>
  <c r="C167" i="7"/>
  <c r="F166" i="7"/>
  <c r="E166" i="7"/>
  <c r="F165" i="7"/>
  <c r="E165" i="7"/>
  <c r="F164" i="7"/>
  <c r="E164" i="7"/>
  <c r="F163" i="7"/>
  <c r="E163" i="7"/>
  <c r="F162" i="7"/>
  <c r="E162" i="7"/>
  <c r="E161" i="7"/>
  <c r="F161" i="7" s="1"/>
  <c r="F160" i="7"/>
  <c r="E160" i="7"/>
  <c r="F159" i="7"/>
  <c r="E159" i="7"/>
  <c r="F158" i="7"/>
  <c r="E158" i="7"/>
  <c r="E157" i="7"/>
  <c r="F157" i="7" s="1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E141" i="7"/>
  <c r="F141" i="7" s="1"/>
  <c r="F140" i="7"/>
  <c r="E140" i="7"/>
  <c r="F139" i="7"/>
  <c r="E139" i="7"/>
  <c r="F138" i="7"/>
  <c r="E138" i="7"/>
  <c r="E137" i="7"/>
  <c r="F137" i="7" s="1"/>
  <c r="F136" i="7"/>
  <c r="E136" i="7"/>
  <c r="F135" i="7"/>
  <c r="E135" i="7"/>
  <c r="F134" i="7"/>
  <c r="E134" i="7"/>
  <c r="E133" i="7"/>
  <c r="F133" i="7" s="1"/>
  <c r="D130" i="7"/>
  <c r="C130" i="7"/>
  <c r="F129" i="7"/>
  <c r="E129" i="7"/>
  <c r="E128" i="7"/>
  <c r="F128" i="7" s="1"/>
  <c r="F127" i="7"/>
  <c r="E127" i="7"/>
  <c r="E126" i="7"/>
  <c r="F126" i="7" s="1"/>
  <c r="F125" i="7"/>
  <c r="E125" i="7"/>
  <c r="E124" i="7"/>
  <c r="F124" i="7" s="1"/>
  <c r="D121" i="7"/>
  <c r="E121" i="7" s="1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C90" i="7"/>
  <c r="F89" i="7"/>
  <c r="E89" i="7"/>
  <c r="E88" i="7"/>
  <c r="F88" i="7" s="1"/>
  <c r="E87" i="7"/>
  <c r="F87" i="7" s="1"/>
  <c r="E86" i="7"/>
  <c r="F86" i="7" s="1"/>
  <c r="F85" i="7"/>
  <c r="E85" i="7"/>
  <c r="E84" i="7"/>
  <c r="F84" i="7" s="1"/>
  <c r="E83" i="7"/>
  <c r="F83" i="7" s="1"/>
  <c r="E82" i="7"/>
  <c r="F82" i="7" s="1"/>
  <c r="F81" i="7"/>
  <c r="E81" i="7"/>
  <c r="E80" i="7"/>
  <c r="F80" i="7" s="1"/>
  <c r="F79" i="7"/>
  <c r="E79" i="7"/>
  <c r="E78" i="7"/>
  <c r="F78" i="7" s="1"/>
  <c r="F77" i="7"/>
  <c r="E77" i="7"/>
  <c r="E76" i="7"/>
  <c r="F76" i="7" s="1"/>
  <c r="E75" i="7"/>
  <c r="F75" i="7" s="1"/>
  <c r="E74" i="7"/>
  <c r="F74" i="7" s="1"/>
  <c r="F73" i="7"/>
  <c r="E73" i="7"/>
  <c r="E72" i="7"/>
  <c r="F72" i="7" s="1"/>
  <c r="F71" i="7"/>
  <c r="E71" i="7"/>
  <c r="F70" i="7"/>
  <c r="E70" i="7"/>
  <c r="F69" i="7"/>
  <c r="E69" i="7"/>
  <c r="E68" i="7"/>
  <c r="F68" i="7" s="1"/>
  <c r="E67" i="7"/>
  <c r="F67" i="7" s="1"/>
  <c r="E66" i="7"/>
  <c r="F66" i="7" s="1"/>
  <c r="F65" i="7"/>
  <c r="E65" i="7"/>
  <c r="E64" i="7"/>
  <c r="F64" i="7" s="1"/>
  <c r="F63" i="7"/>
  <c r="E63" i="7"/>
  <c r="F62" i="7"/>
  <c r="E62" i="7"/>
  <c r="D59" i="7"/>
  <c r="E59" i="7" s="1"/>
  <c r="C59" i="7"/>
  <c r="F58" i="7"/>
  <c r="E58" i="7"/>
  <c r="F57" i="7"/>
  <c r="E57" i="7"/>
  <c r="F56" i="7"/>
  <c r="E56" i="7"/>
  <c r="E55" i="7"/>
  <c r="F55" i="7" s="1"/>
  <c r="E54" i="7"/>
  <c r="F54" i="7" s="1"/>
  <c r="F53" i="7"/>
  <c r="E53" i="7"/>
  <c r="F50" i="7"/>
  <c r="E50" i="7"/>
  <c r="E47" i="7"/>
  <c r="F47" i="7" s="1"/>
  <c r="F44" i="7"/>
  <c r="E44" i="7"/>
  <c r="D41" i="7"/>
  <c r="E41" i="7" s="1"/>
  <c r="F41" i="7" s="1"/>
  <c r="C41" i="7"/>
  <c r="F40" i="7"/>
  <c r="E40" i="7"/>
  <c r="F39" i="7"/>
  <c r="E39" i="7"/>
  <c r="F38" i="7"/>
  <c r="E38" i="7"/>
  <c r="D35" i="7"/>
  <c r="C35" i="7"/>
  <c r="F34" i="7"/>
  <c r="E34" i="7"/>
  <c r="F33" i="7"/>
  <c r="E33" i="7"/>
  <c r="D30" i="7"/>
  <c r="E30" i="7" s="1"/>
  <c r="C30" i="7"/>
  <c r="E29" i="7"/>
  <c r="F29" i="7" s="1"/>
  <c r="F28" i="7"/>
  <c r="E28" i="7"/>
  <c r="F27" i="7"/>
  <c r="E27" i="7"/>
  <c r="D24" i="7"/>
  <c r="E24" i="7"/>
  <c r="C24" i="7"/>
  <c r="F23" i="7"/>
  <c r="E23" i="7"/>
  <c r="F22" i="7"/>
  <c r="E22" i="7"/>
  <c r="E21" i="7"/>
  <c r="F21" i="7" s="1"/>
  <c r="D18" i="7"/>
  <c r="E18" i="7" s="1"/>
  <c r="F18" i="7"/>
  <c r="C18" i="7"/>
  <c r="F17" i="7"/>
  <c r="E17" i="7"/>
  <c r="E16" i="7"/>
  <c r="F16" i="7" s="1"/>
  <c r="F15" i="7"/>
  <c r="E15" i="7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E173" i="6"/>
  <c r="F173" i="6" s="1"/>
  <c r="F172" i="6"/>
  <c r="E172" i="6"/>
  <c r="E171" i="6"/>
  <c r="F171" i="6" s="1"/>
  <c r="F170" i="6"/>
  <c r="E170" i="6"/>
  <c r="E169" i="6"/>
  <c r="F169" i="6" s="1"/>
  <c r="F168" i="6"/>
  <c r="E168" i="6"/>
  <c r="D166" i="6"/>
  <c r="E166" i="6" s="1"/>
  <c r="F166" i="6" s="1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C153" i="6"/>
  <c r="F152" i="6"/>
  <c r="E152" i="6"/>
  <c r="F151" i="6"/>
  <c r="E151" i="6"/>
  <c r="F150" i="6"/>
  <c r="E150" i="6"/>
  <c r="E149" i="6"/>
  <c r="F149" i="6" s="1"/>
  <c r="E148" i="6"/>
  <c r="F148" i="6" s="1"/>
  <c r="E147" i="6"/>
  <c r="F147" i="6" s="1"/>
  <c r="F146" i="6"/>
  <c r="E146" i="6"/>
  <c r="E145" i="6"/>
  <c r="F145" i="6" s="1"/>
  <c r="E144" i="6"/>
  <c r="F144" i="6" s="1"/>
  <c r="E143" i="6"/>
  <c r="F143" i="6" s="1"/>
  <c r="F142" i="6"/>
  <c r="E142" i="6"/>
  <c r="D137" i="6"/>
  <c r="E137" i="6"/>
  <c r="C137" i="6"/>
  <c r="F136" i="6"/>
  <c r="E136" i="6"/>
  <c r="F135" i="6"/>
  <c r="E135" i="6"/>
  <c r="E134" i="6"/>
  <c r="F134" i="6" s="1"/>
  <c r="E133" i="6"/>
  <c r="F133" i="6" s="1"/>
  <c r="F132" i="6"/>
  <c r="E132" i="6"/>
  <c r="F131" i="6"/>
  <c r="E131" i="6"/>
  <c r="E130" i="6"/>
  <c r="F130" i="6" s="1"/>
  <c r="E129" i="6"/>
  <c r="F129" i="6" s="1"/>
  <c r="E128" i="6"/>
  <c r="F128" i="6" s="1"/>
  <c r="F127" i="6"/>
  <c r="E127" i="6"/>
  <c r="E126" i="6"/>
  <c r="F126" i="6" s="1"/>
  <c r="D124" i="6"/>
  <c r="E124" i="6"/>
  <c r="C124" i="6"/>
  <c r="F123" i="6"/>
  <c r="E123" i="6"/>
  <c r="F122" i="6"/>
  <c r="E122" i="6"/>
  <c r="E121" i="6"/>
  <c r="F121" i="6" s="1"/>
  <c r="F120" i="6"/>
  <c r="E120" i="6"/>
  <c r="F119" i="6"/>
  <c r="E119" i="6"/>
  <c r="E118" i="6"/>
  <c r="F118" i="6" s="1"/>
  <c r="E117" i="6"/>
  <c r="F117" i="6" s="1"/>
  <c r="F116" i="6"/>
  <c r="E116" i="6"/>
  <c r="F115" i="6"/>
  <c r="E115" i="6"/>
  <c r="E114" i="6"/>
  <c r="F114" i="6" s="1"/>
  <c r="E113" i="6"/>
  <c r="F113" i="6" s="1"/>
  <c r="D111" i="6"/>
  <c r="E111" i="6"/>
  <c r="F111" i="6" s="1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D94" i="6"/>
  <c r="E94" i="6"/>
  <c r="C94" i="6"/>
  <c r="F94" i="6" s="1"/>
  <c r="D93" i="6"/>
  <c r="E93" i="6" s="1"/>
  <c r="C93" i="6"/>
  <c r="F93" i="6" s="1"/>
  <c r="D92" i="6"/>
  <c r="C92" i="6"/>
  <c r="D91" i="6"/>
  <c r="E91" i="6" s="1"/>
  <c r="F91" i="6"/>
  <c r="C91" i="6"/>
  <c r="D90" i="6"/>
  <c r="E90" i="6" s="1"/>
  <c r="C90" i="6"/>
  <c r="F90" i="6" s="1"/>
  <c r="D89" i="6"/>
  <c r="E89" i="6" s="1"/>
  <c r="C89" i="6"/>
  <c r="D88" i="6"/>
  <c r="C88" i="6"/>
  <c r="D87" i="6"/>
  <c r="E87" i="6"/>
  <c r="F87" i="6"/>
  <c r="C87" i="6"/>
  <c r="D86" i="6"/>
  <c r="E86" i="6" s="1"/>
  <c r="C86" i="6"/>
  <c r="D85" i="6"/>
  <c r="E85" i="6"/>
  <c r="C85" i="6"/>
  <c r="F85" i="6" s="1"/>
  <c r="D84" i="6"/>
  <c r="C84" i="6"/>
  <c r="D81" i="6"/>
  <c r="E81" i="6"/>
  <c r="F81" i="6" s="1"/>
  <c r="C81" i="6"/>
  <c r="F80" i="6"/>
  <c r="E80" i="6"/>
  <c r="F79" i="6"/>
  <c r="E79" i="6"/>
  <c r="E78" i="6"/>
  <c r="F78" i="6" s="1"/>
  <c r="F77" i="6"/>
  <c r="E77" i="6"/>
  <c r="E76" i="6"/>
  <c r="F76" i="6" s="1"/>
  <c r="F75" i="6"/>
  <c r="E75" i="6"/>
  <c r="F74" i="6"/>
  <c r="E74" i="6"/>
  <c r="F73" i="6"/>
  <c r="E73" i="6"/>
  <c r="E72" i="6"/>
  <c r="F72" i="6" s="1"/>
  <c r="E71" i="6"/>
  <c r="F71" i="6" s="1"/>
  <c r="E70" i="6"/>
  <c r="F70" i="6" s="1"/>
  <c r="D68" i="6"/>
  <c r="C68" i="6"/>
  <c r="F67" i="6"/>
  <c r="E67" i="6"/>
  <c r="F66" i="6"/>
  <c r="E66" i="6"/>
  <c r="F65" i="6"/>
  <c r="E65" i="6"/>
  <c r="E64" i="6"/>
  <c r="F64" i="6" s="1"/>
  <c r="F63" i="6"/>
  <c r="E63" i="6"/>
  <c r="F62" i="6"/>
  <c r="E62" i="6"/>
  <c r="F61" i="6"/>
  <c r="E61" i="6"/>
  <c r="E60" i="6"/>
  <c r="F60" i="6" s="1"/>
  <c r="E59" i="6"/>
  <c r="F59" i="6" s="1"/>
  <c r="E58" i="6"/>
  <c r="F58" i="6" s="1"/>
  <c r="F57" i="6"/>
  <c r="E57" i="6"/>
  <c r="D51" i="6"/>
  <c r="C51" i="6"/>
  <c r="F51" i="6" s="1"/>
  <c r="F50" i="6"/>
  <c r="D50" i="6"/>
  <c r="E50" i="6"/>
  <c r="C50" i="6"/>
  <c r="D49" i="6"/>
  <c r="F49" i="6"/>
  <c r="C49" i="6"/>
  <c r="E49" i="6" s="1"/>
  <c r="D48" i="6"/>
  <c r="E48" i="6" s="1"/>
  <c r="F48" i="6" s="1"/>
  <c r="C48" i="6"/>
  <c r="D47" i="6"/>
  <c r="C47" i="6"/>
  <c r="D46" i="6"/>
  <c r="E46" i="6"/>
  <c r="F46" i="6" s="1"/>
  <c r="C46" i="6"/>
  <c r="D45" i="6"/>
  <c r="C45" i="6"/>
  <c r="E45" i="6" s="1"/>
  <c r="D44" i="6"/>
  <c r="E44" i="6" s="1"/>
  <c r="F44" i="6" s="1"/>
  <c r="C44" i="6"/>
  <c r="D43" i="6"/>
  <c r="F43" i="6"/>
  <c r="C43" i="6"/>
  <c r="E43" i="6" s="1"/>
  <c r="D42" i="6"/>
  <c r="E42" i="6"/>
  <c r="F42" i="6" s="1"/>
  <c r="C42" i="6"/>
  <c r="D41" i="6"/>
  <c r="C41" i="6"/>
  <c r="D38" i="6"/>
  <c r="E38" i="6"/>
  <c r="F38" i="6" s="1"/>
  <c r="C38" i="6"/>
  <c r="F37" i="6"/>
  <c r="E37" i="6"/>
  <c r="F36" i="6"/>
  <c r="E36" i="6"/>
  <c r="E35" i="6"/>
  <c r="F35" i="6" s="1"/>
  <c r="F34" i="6"/>
  <c r="E34" i="6"/>
  <c r="F33" i="6"/>
  <c r="E33" i="6"/>
  <c r="E32" i="6"/>
  <c r="F32" i="6" s="1"/>
  <c r="E31" i="6"/>
  <c r="F31" i="6" s="1"/>
  <c r="F30" i="6"/>
  <c r="E30" i="6"/>
  <c r="F29" i="6"/>
  <c r="E29" i="6"/>
  <c r="E28" i="6"/>
  <c r="F28" i="6" s="1"/>
  <c r="E27" i="6"/>
  <c r="F27" i="6" s="1"/>
  <c r="D25" i="6"/>
  <c r="E25" i="6" s="1"/>
  <c r="C25" i="6"/>
  <c r="F24" i="6"/>
  <c r="E24" i="6"/>
  <c r="F23" i="6"/>
  <c r="E23" i="6"/>
  <c r="F22" i="6"/>
  <c r="E22" i="6"/>
  <c r="E21" i="6"/>
  <c r="F21" i="6" s="1"/>
  <c r="E20" i="6"/>
  <c r="F20" i="6" s="1"/>
  <c r="E19" i="6"/>
  <c r="F19" i="6" s="1"/>
  <c r="F18" i="6"/>
  <c r="E18" i="6"/>
  <c r="E17" i="6"/>
  <c r="F17" i="6" s="1"/>
  <c r="E16" i="6"/>
  <c r="F16" i="6" s="1"/>
  <c r="F15" i="6"/>
  <c r="E15" i="6"/>
  <c r="F14" i="6"/>
  <c r="E14" i="6"/>
  <c r="E51" i="5"/>
  <c r="F51" i="5" s="1"/>
  <c r="D48" i="5"/>
  <c r="E48" i="5" s="1"/>
  <c r="C48" i="5"/>
  <c r="F48" i="5" s="1"/>
  <c r="F47" i="5"/>
  <c r="E47" i="5"/>
  <c r="F46" i="5"/>
  <c r="E46" i="5"/>
  <c r="D41" i="5"/>
  <c r="E41" i="5"/>
  <c r="C41" i="5"/>
  <c r="F40" i="5"/>
  <c r="E40" i="5"/>
  <c r="E39" i="5"/>
  <c r="F39" i="5" s="1"/>
  <c r="E38" i="5"/>
  <c r="F38" i="5" s="1"/>
  <c r="D33" i="5"/>
  <c r="E33" i="5"/>
  <c r="F33" i="5" s="1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 s="1"/>
  <c r="C16" i="5"/>
  <c r="F15" i="5"/>
  <c r="E15" i="5"/>
  <c r="F14" i="5"/>
  <c r="E14" i="5"/>
  <c r="F13" i="5"/>
  <c r="E13" i="5"/>
  <c r="F12" i="5"/>
  <c r="E12" i="5"/>
  <c r="D73" i="4"/>
  <c r="C73" i="4"/>
  <c r="E72" i="4"/>
  <c r="F72" i="4" s="1"/>
  <c r="E71" i="4"/>
  <c r="F71" i="4" s="1"/>
  <c r="E70" i="4"/>
  <c r="F70" i="4" s="1"/>
  <c r="F67" i="4"/>
  <c r="E67" i="4"/>
  <c r="F64" i="4"/>
  <c r="E64" i="4"/>
  <c r="E63" i="4"/>
  <c r="F63" i="4" s="1"/>
  <c r="D61" i="4"/>
  <c r="D65" i="4" s="1"/>
  <c r="E61" i="4"/>
  <c r="F61" i="4"/>
  <c r="C61" i="4"/>
  <c r="C65" i="4"/>
  <c r="F60" i="4"/>
  <c r="E60" i="4"/>
  <c r="F59" i="4"/>
  <c r="E59" i="4"/>
  <c r="D56" i="4"/>
  <c r="E56" i="4"/>
  <c r="C56" i="4"/>
  <c r="C75" i="4"/>
  <c r="F55" i="4"/>
  <c r="E55" i="4"/>
  <c r="F54" i="4"/>
  <c r="E54" i="4"/>
  <c r="F53" i="4"/>
  <c r="E53" i="4"/>
  <c r="E52" i="4"/>
  <c r="F52" i="4"/>
  <c r="F51" i="4"/>
  <c r="E51" i="4"/>
  <c r="E50" i="4"/>
  <c r="F50" i="4"/>
  <c r="A50" i="4"/>
  <c r="A51" i="4" s="1"/>
  <c r="A52" i="4" s="1"/>
  <c r="A53" i="4" s="1"/>
  <c r="A54" i="4" s="1"/>
  <c r="A55" i="4" s="1"/>
  <c r="E49" i="4"/>
  <c r="F49" i="4" s="1"/>
  <c r="F40" i="4"/>
  <c r="E40" i="4"/>
  <c r="D38" i="4"/>
  <c r="C38" i="4"/>
  <c r="C41" i="4"/>
  <c r="C43" i="4" s="1"/>
  <c r="E37" i="4"/>
  <c r="F37" i="4" s="1"/>
  <c r="F36" i="4"/>
  <c r="E36" i="4"/>
  <c r="E33" i="4"/>
  <c r="F33" i="4" s="1"/>
  <c r="E32" i="4"/>
  <c r="F32" i="4" s="1"/>
  <c r="F31" i="4"/>
  <c r="E31" i="4"/>
  <c r="D29" i="4"/>
  <c r="C29" i="4"/>
  <c r="F28" i="4"/>
  <c r="E28" i="4"/>
  <c r="F27" i="4"/>
  <c r="E27" i="4"/>
  <c r="F26" i="4"/>
  <c r="E26" i="4"/>
  <c r="F25" i="4"/>
  <c r="E25" i="4"/>
  <c r="D22" i="4"/>
  <c r="E22" i="4" s="1"/>
  <c r="F22" i="4"/>
  <c r="C22" i="4"/>
  <c r="E21" i="4"/>
  <c r="F21" i="4" s="1"/>
  <c r="F20" i="4"/>
  <c r="E20" i="4"/>
  <c r="F19" i="4"/>
  <c r="E19" i="4"/>
  <c r="F18" i="4"/>
  <c r="E18" i="4"/>
  <c r="E17" i="4"/>
  <c r="F17" i="4" s="1"/>
  <c r="F16" i="4"/>
  <c r="E16" i="4"/>
  <c r="E15" i="4"/>
  <c r="F15" i="4" s="1"/>
  <c r="F14" i="4"/>
  <c r="E14" i="4"/>
  <c r="E13" i="4"/>
  <c r="F13" i="4" s="1"/>
  <c r="E109" i="22"/>
  <c r="E108" i="22"/>
  <c r="D22" i="22"/>
  <c r="C23" i="22"/>
  <c r="C30" i="22" s="1"/>
  <c r="E23" i="22"/>
  <c r="E46" i="22" s="1"/>
  <c r="D33" i="22"/>
  <c r="C34" i="22"/>
  <c r="E34" i="22"/>
  <c r="D101" i="22"/>
  <c r="E102" i="22"/>
  <c r="C22" i="22"/>
  <c r="C35" i="22" s="1"/>
  <c r="E22" i="22"/>
  <c r="E110" i="22" s="1"/>
  <c r="D30" i="22"/>
  <c r="D40" i="22"/>
  <c r="D46" i="22"/>
  <c r="F20" i="20"/>
  <c r="F40" i="20"/>
  <c r="D41" i="20"/>
  <c r="E19" i="20"/>
  <c r="F19" i="20" s="1"/>
  <c r="C38" i="19"/>
  <c r="C127" i="19" s="1"/>
  <c r="C129" i="19"/>
  <c r="C133" i="19" s="1"/>
  <c r="C22" i="19"/>
  <c r="C49" i="19"/>
  <c r="E229" i="17"/>
  <c r="E238" i="17"/>
  <c r="E295" i="17"/>
  <c r="E296" i="17"/>
  <c r="F296" i="17" s="1"/>
  <c r="E297" i="17"/>
  <c r="E298" i="17"/>
  <c r="E299" i="17"/>
  <c r="C22" i="18"/>
  <c r="C284" i="18" s="1"/>
  <c r="E32" i="18"/>
  <c r="D33" i="18"/>
  <c r="E36" i="18"/>
  <c r="E54" i="18"/>
  <c r="C289" i="18"/>
  <c r="C71" i="18"/>
  <c r="E71" i="18"/>
  <c r="C65" i="18"/>
  <c r="C294" i="18" s="1"/>
  <c r="E60" i="18"/>
  <c r="D157" i="18"/>
  <c r="E157" i="18" s="1"/>
  <c r="E156" i="18"/>
  <c r="E37" i="18"/>
  <c r="E69" i="18"/>
  <c r="D145" i="18"/>
  <c r="E151" i="18"/>
  <c r="D163" i="18"/>
  <c r="C175" i="18"/>
  <c r="E175" i="18" s="1"/>
  <c r="E188" i="18"/>
  <c r="C261" i="18"/>
  <c r="C189" i="18"/>
  <c r="D241" i="18"/>
  <c r="E245" i="18"/>
  <c r="D252" i="18"/>
  <c r="C303" i="18"/>
  <c r="C306" i="18" s="1"/>
  <c r="C310" i="18" s="1"/>
  <c r="E261" i="18"/>
  <c r="C253" i="18"/>
  <c r="D320" i="18"/>
  <c r="E316" i="18"/>
  <c r="E195" i="18"/>
  <c r="C210" i="18"/>
  <c r="C234" i="18" s="1"/>
  <c r="E215" i="18"/>
  <c r="E219" i="18"/>
  <c r="E221" i="18"/>
  <c r="D222" i="18"/>
  <c r="D223" i="18"/>
  <c r="D229" i="18"/>
  <c r="E229" i="18"/>
  <c r="D242" i="18"/>
  <c r="E242" i="18"/>
  <c r="D244" i="18"/>
  <c r="E265" i="18"/>
  <c r="E314" i="18"/>
  <c r="D326" i="18"/>
  <c r="E205" i="18"/>
  <c r="E216" i="18"/>
  <c r="E231" i="18"/>
  <c r="E251" i="18"/>
  <c r="C266" i="17"/>
  <c r="C21" i="17"/>
  <c r="E30" i="17"/>
  <c r="F30" i="17"/>
  <c r="E31" i="17"/>
  <c r="F31" i="17"/>
  <c r="E36" i="17"/>
  <c r="F36" i="17" s="1"/>
  <c r="E47" i="17"/>
  <c r="F47" i="17" s="1"/>
  <c r="E52" i="17"/>
  <c r="F52" i="17"/>
  <c r="E58" i="17"/>
  <c r="F58" i="17" s="1"/>
  <c r="E66" i="17"/>
  <c r="F66" i="17" s="1"/>
  <c r="D103" i="17"/>
  <c r="D105" i="17" s="1"/>
  <c r="D21" i="17"/>
  <c r="C32" i="17"/>
  <c r="C140" i="17" s="1"/>
  <c r="E35" i="17"/>
  <c r="F35" i="17" s="1"/>
  <c r="C37" i="17"/>
  <c r="E44" i="17"/>
  <c r="F44" i="17" s="1"/>
  <c r="E53" i="17"/>
  <c r="E59" i="17"/>
  <c r="F59" i="17" s="1"/>
  <c r="D89" i="17"/>
  <c r="C138" i="17"/>
  <c r="E101" i="17"/>
  <c r="E109" i="17"/>
  <c r="F109" i="17" s="1"/>
  <c r="E123" i="17"/>
  <c r="F123" i="17" s="1"/>
  <c r="C124" i="17"/>
  <c r="C125" i="17" s="1"/>
  <c r="E136" i="17"/>
  <c r="F136" i="17" s="1"/>
  <c r="E144" i="17"/>
  <c r="F144" i="17" s="1"/>
  <c r="E158" i="17"/>
  <c r="C277" i="17"/>
  <c r="C261" i="17"/>
  <c r="C268" i="17" s="1"/>
  <c r="C254" i="17"/>
  <c r="C264" i="17"/>
  <c r="C192" i="17"/>
  <c r="E192" i="17"/>
  <c r="F192" i="17" s="1"/>
  <c r="C290" i="17"/>
  <c r="C274" i="17"/>
  <c r="C300" i="17" s="1"/>
  <c r="F198" i="17"/>
  <c r="C285" i="17"/>
  <c r="C286" i="17" s="1"/>
  <c r="C269" i="17"/>
  <c r="E204" i="17"/>
  <c r="F204" i="17"/>
  <c r="E239" i="17"/>
  <c r="F239" i="17" s="1"/>
  <c r="D124" i="17"/>
  <c r="D261" i="17"/>
  <c r="E261" i="17" s="1"/>
  <c r="D278" i="17"/>
  <c r="D262" i="17"/>
  <c r="D263" i="17" s="1"/>
  <c r="D215" i="17"/>
  <c r="D280" i="17"/>
  <c r="D264" i="17"/>
  <c r="D300" i="17" s="1"/>
  <c r="E300" i="17" s="1"/>
  <c r="F300" i="17" s="1"/>
  <c r="D200" i="17"/>
  <c r="D193" i="17"/>
  <c r="D290" i="17"/>
  <c r="D274" i="17"/>
  <c r="E274" i="17"/>
  <c r="F274" i="17" s="1"/>
  <c r="D199" i="17"/>
  <c r="C283" i="17"/>
  <c r="C267" i="17"/>
  <c r="E203" i="17"/>
  <c r="F203" i="17"/>
  <c r="C205" i="17"/>
  <c r="E205" i="17" s="1"/>
  <c r="C206" i="17"/>
  <c r="C214" i="17"/>
  <c r="D205" i="17"/>
  <c r="F229" i="17"/>
  <c r="F230" i="17"/>
  <c r="F238" i="17"/>
  <c r="E237" i="17"/>
  <c r="F237" i="17"/>
  <c r="E250" i="17"/>
  <c r="F250" i="17" s="1"/>
  <c r="D267" i="17"/>
  <c r="E267" i="17" s="1"/>
  <c r="F267" i="17" s="1"/>
  <c r="D269" i="17"/>
  <c r="E269" i="17" s="1"/>
  <c r="F294" i="17"/>
  <c r="F295" i="17"/>
  <c r="F297" i="17"/>
  <c r="F298" i="17"/>
  <c r="F299" i="17"/>
  <c r="F38" i="14"/>
  <c r="F40" i="14" s="1"/>
  <c r="I17" i="14"/>
  <c r="D31" i="14"/>
  <c r="F31" i="14"/>
  <c r="E33" i="14"/>
  <c r="E36" i="14" s="1"/>
  <c r="E38" i="14" s="1"/>
  <c r="E40" i="14" s="1"/>
  <c r="H17" i="14"/>
  <c r="D21" i="13"/>
  <c r="C20" i="13"/>
  <c r="C21" i="13"/>
  <c r="D15" i="13"/>
  <c r="C17" i="13"/>
  <c r="C28" i="13" s="1"/>
  <c r="E17" i="13"/>
  <c r="E28" i="13"/>
  <c r="E70" i="13" s="1"/>
  <c r="E72" i="13"/>
  <c r="E69" i="13"/>
  <c r="D48" i="13"/>
  <c r="D42" i="13"/>
  <c r="D20" i="12"/>
  <c r="E15" i="12"/>
  <c r="F15" i="12" s="1"/>
  <c r="F75" i="11"/>
  <c r="F65" i="11"/>
  <c r="E22" i="11"/>
  <c r="E56" i="11"/>
  <c r="F56" i="11" s="1"/>
  <c r="E61" i="11"/>
  <c r="F61" i="11"/>
  <c r="F121" i="10"/>
  <c r="E112" i="10"/>
  <c r="F112" i="10" s="1"/>
  <c r="E113" i="10"/>
  <c r="F113" i="10" s="1"/>
  <c r="F203" i="9"/>
  <c r="F205" i="9"/>
  <c r="F206" i="9"/>
  <c r="E198" i="9"/>
  <c r="F198" i="9"/>
  <c r="E199" i="9"/>
  <c r="F199" i="9" s="1"/>
  <c r="C140" i="8"/>
  <c r="E157" i="8"/>
  <c r="E153" i="8"/>
  <c r="E156" i="8"/>
  <c r="E152" i="8"/>
  <c r="D21" i="8"/>
  <c r="E140" i="8"/>
  <c r="E138" i="8"/>
  <c r="E139" i="8"/>
  <c r="E137" i="8"/>
  <c r="E135" i="8"/>
  <c r="E141" i="8"/>
  <c r="C157" i="8"/>
  <c r="C155" i="8"/>
  <c r="C153" i="8"/>
  <c r="C158" i="8" s="1"/>
  <c r="C156" i="8"/>
  <c r="C154" i="8"/>
  <c r="D15" i="8"/>
  <c r="D17" i="8" s="1"/>
  <c r="C17" i="8"/>
  <c r="C28" i="8" s="1"/>
  <c r="C99" i="8" s="1"/>
  <c r="E17" i="8"/>
  <c r="C43" i="8"/>
  <c r="E43" i="8"/>
  <c r="D49" i="8"/>
  <c r="C53" i="8"/>
  <c r="E53" i="8"/>
  <c r="D57" i="8"/>
  <c r="D62" i="8" s="1"/>
  <c r="D77" i="8"/>
  <c r="D71" i="8" s="1"/>
  <c r="C49" i="8"/>
  <c r="E49" i="8"/>
  <c r="E183" i="7"/>
  <c r="F183" i="7" s="1"/>
  <c r="E84" i="6"/>
  <c r="F84" i="6" s="1"/>
  <c r="D21" i="5"/>
  <c r="E53" i="22"/>
  <c r="E45" i="22"/>
  <c r="E39" i="22"/>
  <c r="C54" i="22"/>
  <c r="C46" i="22"/>
  <c r="C40" i="22"/>
  <c r="C36" i="22"/>
  <c r="D56" i="22"/>
  <c r="D48" i="22"/>
  <c r="D38" i="22"/>
  <c r="D113" i="22"/>
  <c r="C53" i="22"/>
  <c r="C45" i="22"/>
  <c r="C39" i="22"/>
  <c r="C29" i="22"/>
  <c r="C110" i="22"/>
  <c r="E54" i="22"/>
  <c r="D53" i="22"/>
  <c r="D45" i="22"/>
  <c r="D39" i="22"/>
  <c r="D35" i="22"/>
  <c r="D29" i="22"/>
  <c r="D47" i="22" s="1"/>
  <c r="D90" i="17"/>
  <c r="D330" i="18"/>
  <c r="C211" i="18"/>
  <c r="C235" i="18"/>
  <c r="D169" i="18"/>
  <c r="E33" i="18"/>
  <c r="D106" i="17"/>
  <c r="D270" i="17"/>
  <c r="D194" i="17"/>
  <c r="D195" i="17" s="1"/>
  <c r="E193" i="17"/>
  <c r="F193" i="17" s="1"/>
  <c r="C270" i="17"/>
  <c r="D255" i="17"/>
  <c r="D288" i="17"/>
  <c r="F269" i="17"/>
  <c r="C265" i="17"/>
  <c r="C284" i="17"/>
  <c r="C304" i="17"/>
  <c r="D175" i="17"/>
  <c r="D176" i="17" s="1"/>
  <c r="D196" i="17"/>
  <c r="D197" i="17" s="1"/>
  <c r="D126" i="17"/>
  <c r="D49" i="17"/>
  <c r="E49" i="17" s="1"/>
  <c r="D91" i="17"/>
  <c r="D282" i="17"/>
  <c r="C126" i="17"/>
  <c r="C49" i="17"/>
  <c r="F205" i="17"/>
  <c r="D271" i="17"/>
  <c r="E271" i="17" s="1"/>
  <c r="F271" i="17" s="1"/>
  <c r="D268" i="17"/>
  <c r="E268" i="17" s="1"/>
  <c r="F268" i="17" s="1"/>
  <c r="F261" i="17"/>
  <c r="F285" i="17"/>
  <c r="C271" i="17"/>
  <c r="F37" i="17"/>
  <c r="D63" i="17"/>
  <c r="D266" i="17"/>
  <c r="E266" i="17"/>
  <c r="D104" i="17"/>
  <c r="D174" i="17"/>
  <c r="G36" i="14"/>
  <c r="G38" i="14" s="1"/>
  <c r="G40" i="14" s="1"/>
  <c r="D24" i="13"/>
  <c r="D20" i="13"/>
  <c r="D17" i="13"/>
  <c r="D28" i="13" s="1"/>
  <c r="D22" i="13" s="1"/>
  <c r="D34" i="12"/>
  <c r="C112" i="8"/>
  <c r="C111" i="8" s="1"/>
  <c r="E112" i="8"/>
  <c r="E111" i="8" s="1"/>
  <c r="E28" i="8"/>
  <c r="E99" i="8" s="1"/>
  <c r="D35" i="5"/>
  <c r="D43" i="5" s="1"/>
  <c r="D50" i="5" s="1"/>
  <c r="D37" i="22"/>
  <c r="C56" i="22"/>
  <c r="C48" i="22"/>
  <c r="C38" i="22"/>
  <c r="D304" i="17"/>
  <c r="E304" i="17" s="1"/>
  <c r="D50" i="17"/>
  <c r="D70" i="17" s="1"/>
  <c r="E270" i="17"/>
  <c r="F270" i="17" s="1"/>
  <c r="C127" i="17"/>
  <c r="D92" i="17"/>
  <c r="D127" i="17"/>
  <c r="E126" i="17"/>
  <c r="F126" i="17"/>
  <c r="D70" i="13"/>
  <c r="D72" i="13" s="1"/>
  <c r="D69" i="13" s="1"/>
  <c r="D42" i="12"/>
  <c r="D49" i="12" s="1"/>
  <c r="D28" i="8"/>
  <c r="D99" i="8" s="1"/>
  <c r="D101" i="8" s="1"/>
  <c r="D112" i="8"/>
  <c r="D111" i="8"/>
  <c r="E101" i="8"/>
  <c r="E98" i="8"/>
  <c r="E22" i="8"/>
  <c r="C101" i="8"/>
  <c r="C98" i="8"/>
  <c r="C22" i="8"/>
  <c r="D324" i="17"/>
  <c r="F304" i="17"/>
  <c r="D22" i="8"/>
  <c r="D98" i="8" l="1"/>
  <c r="C141" i="17"/>
  <c r="C148" i="17" s="1"/>
  <c r="F75" i="4"/>
  <c r="C70" i="13"/>
  <c r="C72" i="13" s="1"/>
  <c r="C69" i="13" s="1"/>
  <c r="C22" i="13"/>
  <c r="C109" i="22"/>
  <c r="C108" i="22"/>
  <c r="C111" i="22"/>
  <c r="C68" i="17"/>
  <c r="E67" i="17"/>
  <c r="F67" i="17" s="1"/>
  <c r="D161" i="17"/>
  <c r="C172" i="17"/>
  <c r="E171" i="17"/>
  <c r="F171" i="17"/>
  <c r="E302" i="18"/>
  <c r="D303" i="18"/>
  <c r="C113" i="22"/>
  <c r="F38" i="11"/>
  <c r="C66" i="18"/>
  <c r="F137" i="6"/>
  <c r="F24" i="7"/>
  <c r="F30" i="7"/>
  <c r="C244" i="18"/>
  <c r="E220" i="18"/>
  <c r="C181" i="17"/>
  <c r="F181" i="17" s="1"/>
  <c r="F179" i="17"/>
  <c r="C47" i="22"/>
  <c r="C37" i="22"/>
  <c r="C95" i="6"/>
  <c r="C138" i="8"/>
  <c r="C139" i="8"/>
  <c r="C137" i="8"/>
  <c r="C163" i="18"/>
  <c r="E163" i="18" s="1"/>
  <c r="C144" i="18"/>
  <c r="E139" i="18"/>
  <c r="D109" i="22"/>
  <c r="D110" i="22"/>
  <c r="D111" i="22"/>
  <c r="D113" i="17"/>
  <c r="C55" i="22"/>
  <c r="D55" i="22"/>
  <c r="D24" i="8"/>
  <c r="D20" i="8" s="1"/>
  <c r="E65" i="4"/>
  <c r="F65" i="4" s="1"/>
  <c r="C52" i="6"/>
  <c r="E41" i="6"/>
  <c r="F41" i="6" s="1"/>
  <c r="E32" i="17"/>
  <c r="F32" i="17" s="1"/>
  <c r="E30" i="22"/>
  <c r="E40" i="22"/>
  <c r="E36" i="22"/>
  <c r="E111" i="22"/>
  <c r="D140" i="8"/>
  <c r="D139" i="8"/>
  <c r="D135" i="8"/>
  <c r="D181" i="17"/>
  <c r="E181" i="17" s="1"/>
  <c r="E179" i="17"/>
  <c r="D234" i="18"/>
  <c r="E234" i="18" s="1"/>
  <c r="E210" i="18"/>
  <c r="D180" i="18"/>
  <c r="D211" i="18"/>
  <c r="F127" i="17"/>
  <c r="D112" i="22"/>
  <c r="D272" i="17"/>
  <c r="E283" i="17"/>
  <c r="F283" i="17" s="1"/>
  <c r="D138" i="8"/>
  <c r="C135" i="8"/>
  <c r="E124" i="17"/>
  <c r="F124" i="17" s="1"/>
  <c r="D125" i="17"/>
  <c r="E125" i="17" s="1"/>
  <c r="C287" i="17"/>
  <c r="E73" i="4"/>
  <c r="F73" i="4" s="1"/>
  <c r="D75" i="4"/>
  <c r="E75" i="4" s="1"/>
  <c r="E51" i="6"/>
  <c r="F124" i="6"/>
  <c r="C20" i="8"/>
  <c r="C21" i="8"/>
  <c r="C20" i="12"/>
  <c r="E17" i="12"/>
  <c r="F17" i="12" s="1"/>
  <c r="E76" i="17"/>
  <c r="F76" i="17" s="1"/>
  <c r="D77" i="17"/>
  <c r="E77" i="17" s="1"/>
  <c r="C111" i="17"/>
  <c r="E110" i="17"/>
  <c r="F110" i="17" s="1"/>
  <c r="F125" i="17"/>
  <c r="C215" i="17"/>
  <c r="E189" i="17"/>
  <c r="F189" i="17"/>
  <c r="C255" i="17"/>
  <c r="E255" i="17" s="1"/>
  <c r="C190" i="17"/>
  <c r="C262" i="17"/>
  <c r="C278" i="17"/>
  <c r="D95" i="7"/>
  <c r="E90" i="7"/>
  <c r="F90" i="7" s="1"/>
  <c r="C112" i="22"/>
  <c r="E35" i="22"/>
  <c r="E29" i="22"/>
  <c r="E127" i="17"/>
  <c r="F49" i="17"/>
  <c r="C50" i="17"/>
  <c r="E50" i="17" s="1"/>
  <c r="D137" i="8"/>
  <c r="C136" i="8"/>
  <c r="E223" i="17"/>
  <c r="F223" i="17" s="1"/>
  <c r="E264" i="17"/>
  <c r="F264" i="17" s="1"/>
  <c r="D265" i="17"/>
  <c r="E265" i="17" s="1"/>
  <c r="F265" i="17" s="1"/>
  <c r="E290" i="17"/>
  <c r="F290" i="17" s="1"/>
  <c r="F266" i="17"/>
  <c r="C102" i="22"/>
  <c r="C103" i="22" s="1"/>
  <c r="C18" i="5"/>
  <c r="F16" i="5"/>
  <c r="E16" i="5"/>
  <c r="C95" i="7"/>
  <c r="E21" i="8"/>
  <c r="E20" i="8"/>
  <c r="C41" i="11"/>
  <c r="E280" i="17"/>
  <c r="F56" i="4"/>
  <c r="F41" i="5"/>
  <c r="E68" i="6"/>
  <c r="F68" i="6" s="1"/>
  <c r="E155" i="8"/>
  <c r="E154" i="8"/>
  <c r="E158" i="8" s="1"/>
  <c r="E140" i="9"/>
  <c r="F140" i="9"/>
  <c r="F17" i="16"/>
  <c r="E324" i="18"/>
  <c r="C326" i="18"/>
  <c r="C330" i="18" s="1"/>
  <c r="E330" i="18" s="1"/>
  <c r="E74" i="18"/>
  <c r="C76" i="18"/>
  <c r="C77" i="18" s="1"/>
  <c r="E88" i="22"/>
  <c r="D22" i="18"/>
  <c r="E21" i="18"/>
  <c r="D283" i="18"/>
  <c r="E283" i="18" s="1"/>
  <c r="E280" i="18"/>
  <c r="D281" i="17"/>
  <c r="E21" i="17"/>
  <c r="F21" i="17" s="1"/>
  <c r="E244" i="18"/>
  <c r="E43" i="20"/>
  <c r="F25" i="6"/>
  <c r="F86" i="6"/>
  <c r="F89" i="6"/>
  <c r="E192" i="9"/>
  <c r="F192" i="9"/>
  <c r="F122" i="10"/>
  <c r="E48" i="17"/>
  <c r="F48" i="17" s="1"/>
  <c r="D160" i="17"/>
  <c r="C227" i="17"/>
  <c r="E226" i="17"/>
  <c r="F226" i="17" s="1"/>
  <c r="D41" i="4"/>
  <c r="E38" i="4"/>
  <c r="F38" i="4" s="1"/>
  <c r="E47" i="6"/>
  <c r="F47" i="6"/>
  <c r="D109" i="8"/>
  <c r="D106" i="8" s="1"/>
  <c r="F50" i="9"/>
  <c r="E135" i="17"/>
  <c r="F135" i="17" s="1"/>
  <c r="D214" i="17"/>
  <c r="D277" i="17"/>
  <c r="D190" i="17"/>
  <c r="E190" i="17" s="1"/>
  <c r="D206" i="17"/>
  <c r="E206" i="17" s="1"/>
  <c r="F206" i="17" s="1"/>
  <c r="C295" i="18"/>
  <c r="C243" i="18"/>
  <c r="C222" i="18"/>
  <c r="C217" i="18"/>
  <c r="E153" i="6"/>
  <c r="F153" i="6" s="1"/>
  <c r="E35" i="7"/>
  <c r="F35" i="7" s="1"/>
  <c r="E130" i="7"/>
  <c r="F130" i="7" s="1"/>
  <c r="D166" i="8"/>
  <c r="F119" i="10"/>
  <c r="C31" i="14"/>
  <c r="C33" i="14"/>
  <c r="E173" i="18"/>
  <c r="E228" i="18"/>
  <c r="D253" i="18"/>
  <c r="E253" i="18" s="1"/>
  <c r="D52" i="6"/>
  <c r="E52" i="6" s="1"/>
  <c r="E92" i="6"/>
  <c r="F92" i="6" s="1"/>
  <c r="E188" i="7"/>
  <c r="E208" i="9"/>
  <c r="F208" i="9" s="1"/>
  <c r="F23" i="15"/>
  <c r="F53" i="17"/>
  <c r="C61" i="17"/>
  <c r="C62" i="17" s="1"/>
  <c r="E60" i="17"/>
  <c r="F60" i="17" s="1"/>
  <c r="E130" i="17"/>
  <c r="F130" i="17" s="1"/>
  <c r="D138" i="17"/>
  <c r="E137" i="17"/>
  <c r="F137" i="17" s="1"/>
  <c r="D207" i="17"/>
  <c r="F44" i="20"/>
  <c r="F45" i="6"/>
  <c r="F179" i="6"/>
  <c r="E36" i="9"/>
  <c r="F36" i="9" s="1"/>
  <c r="E154" i="9"/>
  <c r="F154" i="9" s="1"/>
  <c r="E60" i="10"/>
  <c r="F115" i="10"/>
  <c r="E27" i="13"/>
  <c r="C61" i="13"/>
  <c r="C57" i="13" s="1"/>
  <c r="E16" i="15"/>
  <c r="F16" i="15" s="1"/>
  <c r="E23" i="15"/>
  <c r="F13" i="16"/>
  <c r="C102" i="17"/>
  <c r="F101" i="17"/>
  <c r="C282" i="17"/>
  <c r="C194" i="17"/>
  <c r="D95" i="6"/>
  <c r="E95" i="6" s="1"/>
  <c r="E47" i="10"/>
  <c r="E115" i="10"/>
  <c r="F74" i="15"/>
  <c r="E75" i="15"/>
  <c r="F75" i="15" s="1"/>
  <c r="F23" i="17"/>
  <c r="F94" i="17"/>
  <c r="C199" i="17"/>
  <c r="C283" i="18"/>
  <c r="C43" i="18"/>
  <c r="C60" i="19"/>
  <c r="C64" i="19"/>
  <c r="C65" i="19" s="1"/>
  <c r="C114" i="19" s="1"/>
  <c r="C116" i="19" s="1"/>
  <c r="C119" i="19" s="1"/>
  <c r="C123" i="19" s="1"/>
  <c r="F21" i="21"/>
  <c r="C98" i="22"/>
  <c r="C188" i="7"/>
  <c r="F49" i="9"/>
  <c r="E57" i="13"/>
  <c r="D50" i="13"/>
  <c r="F158" i="17"/>
  <c r="C159" i="17"/>
  <c r="E170" i="17"/>
  <c r="F170" i="17"/>
  <c r="C200" i="17"/>
  <c r="C280" i="17"/>
  <c r="D76" i="18"/>
  <c r="E70" i="18"/>
  <c r="E282" i="18"/>
  <c r="E44" i="20"/>
  <c r="F19" i="21"/>
  <c r="D54" i="22"/>
  <c r="D36" i="22"/>
  <c r="E326" i="18"/>
  <c r="E29" i="4"/>
  <c r="F29" i="4" s="1"/>
  <c r="E88" i="6"/>
  <c r="F88" i="6" s="1"/>
  <c r="F59" i="7"/>
  <c r="E24" i="10"/>
  <c r="F22" i="11"/>
  <c r="E30" i="15"/>
  <c r="E45" i="15"/>
  <c r="F45" i="15" s="1"/>
  <c r="E65" i="15"/>
  <c r="F65" i="15" s="1"/>
  <c r="C146" i="17"/>
  <c r="E191" i="17"/>
  <c r="F191" i="17" s="1"/>
  <c r="E179" i="18"/>
  <c r="C39" i="20"/>
  <c r="F25" i="20"/>
  <c r="F45" i="20"/>
  <c r="E115" i="9"/>
  <c r="F115" i="9" s="1"/>
  <c r="F117" i="10"/>
  <c r="E29" i="11"/>
  <c r="F29" i="11" s="1"/>
  <c r="F37" i="15"/>
  <c r="F70" i="15"/>
  <c r="F129" i="17"/>
  <c r="F188" i="17"/>
  <c r="D43" i="18"/>
  <c r="E161" i="18"/>
  <c r="E240" i="18"/>
  <c r="E76" i="9"/>
  <c r="F76" i="9" s="1"/>
  <c r="D207" i="9"/>
  <c r="E207" i="9" s="1"/>
  <c r="F207" i="9" s="1"/>
  <c r="F95" i="10"/>
  <c r="F55" i="15"/>
  <c r="E21" i="16"/>
  <c r="F21" i="16" s="1"/>
  <c r="E23" i="17"/>
  <c r="C89" i="17"/>
  <c r="E145" i="17"/>
  <c r="F145" i="17" s="1"/>
  <c r="E49" i="9"/>
  <c r="D122" i="10"/>
  <c r="E122" i="10" s="1"/>
  <c r="F50" i="15"/>
  <c r="F107" i="15"/>
  <c r="F100" i="17"/>
  <c r="D65" i="18"/>
  <c r="D289" i="18"/>
  <c r="E289" i="18" s="1"/>
  <c r="D102" i="22"/>
  <c r="D103" i="22" s="1"/>
  <c r="C48" i="13"/>
  <c r="C42" i="13" s="1"/>
  <c r="C63" i="17" l="1"/>
  <c r="E62" i="17"/>
  <c r="F62" i="17" s="1"/>
  <c r="E146" i="17"/>
  <c r="F146" i="17"/>
  <c r="E282" i="17"/>
  <c r="F282" i="17"/>
  <c r="E111" i="17"/>
  <c r="F111" i="17" s="1"/>
  <c r="E89" i="17"/>
  <c r="F89" i="17" s="1"/>
  <c r="E76" i="18"/>
  <c r="D77" i="18"/>
  <c r="E199" i="17"/>
  <c r="F199" i="17" s="1"/>
  <c r="C246" i="18"/>
  <c r="E222" i="18"/>
  <c r="C223" i="18"/>
  <c r="E227" i="17"/>
  <c r="F227" i="17" s="1"/>
  <c r="F262" i="17"/>
  <c r="C263" i="17"/>
  <c r="C272" i="17"/>
  <c r="E20" i="12"/>
  <c r="F20" i="12" s="1"/>
  <c r="C34" i="12"/>
  <c r="C291" i="17"/>
  <c r="C289" i="17"/>
  <c r="E161" i="17"/>
  <c r="D162" i="17"/>
  <c r="F159" i="17"/>
  <c r="C160" i="17"/>
  <c r="F188" i="7"/>
  <c r="C195" i="17"/>
  <c r="C196" i="17"/>
  <c r="E194" i="17"/>
  <c r="F194" i="17" s="1"/>
  <c r="D157" i="8"/>
  <c r="D154" i="8"/>
  <c r="D152" i="8"/>
  <c r="D153" i="8"/>
  <c r="D156" i="8"/>
  <c r="D155" i="8"/>
  <c r="C252" i="18"/>
  <c r="E243" i="18"/>
  <c r="C161" i="17"/>
  <c r="F190" i="17"/>
  <c r="E159" i="17"/>
  <c r="D284" i="18"/>
  <c r="E284" i="18" s="1"/>
  <c r="E22" i="18"/>
  <c r="E37" i="22"/>
  <c r="E47" i="22"/>
  <c r="E112" i="22"/>
  <c r="E55" i="22"/>
  <c r="C21" i="5"/>
  <c r="C141" i="8"/>
  <c r="D44" i="18"/>
  <c r="D259" i="18"/>
  <c r="E43" i="18"/>
  <c r="F280" i="17"/>
  <c r="C281" i="17"/>
  <c r="F102" i="17"/>
  <c r="C103" i="17"/>
  <c r="E102" i="17"/>
  <c r="D284" i="17"/>
  <c r="E284" i="17" s="1"/>
  <c r="F284" i="17" s="1"/>
  <c r="E277" i="17"/>
  <c r="F277" i="17" s="1"/>
  <c r="D287" i="17"/>
  <c r="D279" i="17"/>
  <c r="C91" i="17"/>
  <c r="C70" i="17"/>
  <c r="F50" i="17"/>
  <c r="E215" i="17"/>
  <c r="F215" i="17"/>
  <c r="C216" i="17"/>
  <c r="F52" i="6"/>
  <c r="E262" i="17"/>
  <c r="E21" i="13"/>
  <c r="E20" i="13"/>
  <c r="E22" i="13"/>
  <c r="E61" i="17"/>
  <c r="F61" i="17"/>
  <c r="C139" i="17"/>
  <c r="F43" i="20"/>
  <c r="E46" i="20"/>
  <c r="F46" i="20" s="1"/>
  <c r="E56" i="22"/>
  <c r="E48" i="22"/>
  <c r="E38" i="22"/>
  <c r="E113" i="22"/>
  <c r="D66" i="18"/>
  <c r="D246" i="18"/>
  <c r="E246" i="18" s="1"/>
  <c r="D294" i="18"/>
  <c r="E294" i="18" s="1"/>
  <c r="E65" i="18"/>
  <c r="C125" i="18"/>
  <c r="C110" i="18"/>
  <c r="C116" i="18" s="1"/>
  <c r="C122" i="18"/>
  <c r="C123" i="18"/>
  <c r="C111" i="18"/>
  <c r="C109" i="18"/>
  <c r="C121" i="18"/>
  <c r="C115" i="18"/>
  <c r="C112" i="18"/>
  <c r="C126" i="18"/>
  <c r="C114" i="18"/>
  <c r="C113" i="18"/>
  <c r="C127" i="18"/>
  <c r="C124" i="18"/>
  <c r="D141" i="8"/>
  <c r="F95" i="6"/>
  <c r="E68" i="17"/>
  <c r="F68" i="17" s="1"/>
  <c r="C322" i="17"/>
  <c r="E200" i="17"/>
  <c r="F200" i="17"/>
  <c r="C41" i="20"/>
  <c r="E39" i="20"/>
  <c r="E41" i="20" s="1"/>
  <c r="C44" i="18"/>
  <c r="C259" i="18"/>
  <c r="C263" i="18" s="1"/>
  <c r="D140" i="17"/>
  <c r="E138" i="17"/>
  <c r="F138" i="17" s="1"/>
  <c r="D139" i="17"/>
  <c r="E139" i="17" s="1"/>
  <c r="C36" i="14"/>
  <c r="C38" i="14" s="1"/>
  <c r="C40" i="14" s="1"/>
  <c r="I33" i="14"/>
  <c r="I36" i="14" s="1"/>
  <c r="I38" i="14" s="1"/>
  <c r="I40" i="14" s="1"/>
  <c r="H33" i="14"/>
  <c r="H36" i="14" s="1"/>
  <c r="H38" i="14" s="1"/>
  <c r="H40" i="14" s="1"/>
  <c r="D254" i="17"/>
  <c r="D216" i="17"/>
  <c r="E216" i="17" s="1"/>
  <c r="E214" i="17"/>
  <c r="F214" i="17" s="1"/>
  <c r="D43" i="4"/>
  <c r="E43" i="4" s="1"/>
  <c r="F43" i="4" s="1"/>
  <c r="E41" i="4"/>
  <c r="F41" i="4" s="1"/>
  <c r="E281" i="17"/>
  <c r="E95" i="7"/>
  <c r="F95" i="7" s="1"/>
  <c r="D181" i="18"/>
  <c r="E211" i="18"/>
  <c r="D235" i="18"/>
  <c r="E235" i="18" s="1"/>
  <c r="F255" i="17"/>
  <c r="C90" i="17"/>
  <c r="E303" i="18"/>
  <c r="D306" i="18"/>
  <c r="E207" i="17"/>
  <c r="D208" i="17"/>
  <c r="E41" i="11"/>
  <c r="F41" i="11" s="1"/>
  <c r="D254" i="18"/>
  <c r="C43" i="11"/>
  <c r="I31" i="14"/>
  <c r="H31" i="14"/>
  <c r="C241" i="18"/>
  <c r="E241" i="18" s="1"/>
  <c r="E217" i="18"/>
  <c r="E18" i="5"/>
  <c r="F18" i="5" s="1"/>
  <c r="D273" i="17"/>
  <c r="C288" i="17"/>
  <c r="F278" i="17"/>
  <c r="E278" i="17"/>
  <c r="C279" i="17"/>
  <c r="C168" i="18"/>
  <c r="E168" i="18" s="1"/>
  <c r="E144" i="18"/>
  <c r="C180" i="18"/>
  <c r="E180" i="18" s="1"/>
  <c r="C145" i="18"/>
  <c r="F172" i="17"/>
  <c r="E172" i="17"/>
  <c r="C173" i="17"/>
  <c r="C174" i="17" s="1"/>
  <c r="C207" i="17"/>
  <c r="F174" i="17" l="1"/>
  <c r="E174" i="17"/>
  <c r="E103" i="17"/>
  <c r="F103" i="17"/>
  <c r="C105" i="17"/>
  <c r="F288" i="17"/>
  <c r="E288" i="17"/>
  <c r="F139" i="17"/>
  <c r="D291" i="17"/>
  <c r="E287" i="17"/>
  <c r="F287" i="17" s="1"/>
  <c r="D289" i="17"/>
  <c r="E289" i="17" s="1"/>
  <c r="C273" i="17"/>
  <c r="F207" i="17"/>
  <c r="C208" i="17"/>
  <c r="D210" i="17"/>
  <c r="D209" i="17"/>
  <c r="E254" i="17"/>
  <c r="F254" i="17" s="1"/>
  <c r="C100" i="18"/>
  <c r="C99" i="18"/>
  <c r="C98" i="18"/>
  <c r="C95" i="18"/>
  <c r="C101" i="18"/>
  <c r="C89" i="18"/>
  <c r="C258" i="18"/>
  <c r="C86" i="18"/>
  <c r="C96" i="18"/>
  <c r="C97" i="18"/>
  <c r="C83" i="18"/>
  <c r="C85" i="18"/>
  <c r="C87" i="18"/>
  <c r="C88" i="18"/>
  <c r="C84" i="18"/>
  <c r="C128" i="18"/>
  <c r="C129" i="18" s="1"/>
  <c r="F216" i="17"/>
  <c r="D263" i="18"/>
  <c r="E263" i="18" s="1"/>
  <c r="E259" i="18"/>
  <c r="C254" i="18"/>
  <c r="E252" i="18"/>
  <c r="E196" i="17"/>
  <c r="F196" i="17" s="1"/>
  <c r="E272" i="17"/>
  <c r="F272" i="17" s="1"/>
  <c r="F263" i="17"/>
  <c r="E263" i="17"/>
  <c r="F279" i="17"/>
  <c r="D101" i="18"/>
  <c r="E101" i="18" s="1"/>
  <c r="D84" i="18"/>
  <c r="D85" i="18"/>
  <c r="D97" i="18"/>
  <c r="D96" i="18"/>
  <c r="D99" i="18"/>
  <c r="E99" i="18" s="1"/>
  <c r="D98" i="18"/>
  <c r="E98" i="18" s="1"/>
  <c r="D258" i="18"/>
  <c r="D83" i="18"/>
  <c r="D100" i="18"/>
  <c r="D88" i="18"/>
  <c r="E88" i="18" s="1"/>
  <c r="D87" i="18"/>
  <c r="E87" i="18" s="1"/>
  <c r="D86" i="18"/>
  <c r="E86" i="18" s="1"/>
  <c r="E44" i="18"/>
  <c r="D89" i="18"/>
  <c r="E89" i="18" s="1"/>
  <c r="D95" i="18"/>
  <c r="F195" i="17"/>
  <c r="E195" i="17"/>
  <c r="F289" i="17"/>
  <c r="D109" i="18"/>
  <c r="E77" i="18"/>
  <c r="D113" i="18"/>
  <c r="E113" i="18" s="1"/>
  <c r="D110" i="18"/>
  <c r="D122" i="18"/>
  <c r="D112" i="18"/>
  <c r="E112" i="18" s="1"/>
  <c r="D115" i="18"/>
  <c r="E115" i="18" s="1"/>
  <c r="D123" i="18"/>
  <c r="E123" i="18" s="1"/>
  <c r="D125" i="18"/>
  <c r="E125" i="18" s="1"/>
  <c r="D126" i="18"/>
  <c r="E126" i="18" s="1"/>
  <c r="D121" i="18"/>
  <c r="D114" i="18"/>
  <c r="E114" i="18" s="1"/>
  <c r="D124" i="18"/>
  <c r="E124" i="18" s="1"/>
  <c r="D111" i="18"/>
  <c r="E111" i="18" s="1"/>
  <c r="D127" i="18"/>
  <c r="E127" i="18" s="1"/>
  <c r="D310" i="18"/>
  <c r="E310" i="18" s="1"/>
  <c r="E306" i="18"/>
  <c r="F39" i="20"/>
  <c r="F173" i="17"/>
  <c r="E173" i="17"/>
  <c r="C175" i="17"/>
  <c r="E21" i="5"/>
  <c r="F21" i="5"/>
  <c r="C35" i="5"/>
  <c r="C305" i="17"/>
  <c r="F160" i="17"/>
  <c r="E254" i="18"/>
  <c r="C117" i="18"/>
  <c r="F281" i="17"/>
  <c r="C162" i="17"/>
  <c r="F161" i="17"/>
  <c r="F63" i="17"/>
  <c r="E63" i="17"/>
  <c r="F41" i="20"/>
  <c r="E145" i="18"/>
  <c r="C169" i="18"/>
  <c r="E169" i="18" s="1"/>
  <c r="C181" i="18"/>
  <c r="E181" i="18" s="1"/>
  <c r="E43" i="11"/>
  <c r="F43" i="11" s="1"/>
  <c r="F90" i="17"/>
  <c r="E90" i="17"/>
  <c r="F70" i="17"/>
  <c r="E70" i="17"/>
  <c r="D158" i="8"/>
  <c r="C42" i="12"/>
  <c r="E34" i="12"/>
  <c r="F34" i="12" s="1"/>
  <c r="E223" i="18"/>
  <c r="C247" i="18"/>
  <c r="E273" i="17"/>
  <c r="E91" i="17"/>
  <c r="F91" i="17" s="1"/>
  <c r="C92" i="17"/>
  <c r="D141" i="17"/>
  <c r="E140" i="17"/>
  <c r="F140" i="17" s="1"/>
  <c r="E66" i="18"/>
  <c r="D247" i="18"/>
  <c r="E247" i="18" s="1"/>
  <c r="D295" i="18"/>
  <c r="E295" i="18" s="1"/>
  <c r="C104" i="17"/>
  <c r="E279" i="17"/>
  <c r="E160" i="17"/>
  <c r="D183" i="17"/>
  <c r="E162" i="17"/>
  <c r="D323" i="17"/>
  <c r="C309" i="17" l="1"/>
  <c r="C176" i="17"/>
  <c r="E175" i="17"/>
  <c r="F175" i="17" s="1"/>
  <c r="D128" i="18"/>
  <c r="E128" i="18" s="1"/>
  <c r="E122" i="18"/>
  <c r="D103" i="18"/>
  <c r="E95" i="18"/>
  <c r="D264" i="18"/>
  <c r="E258" i="18"/>
  <c r="E210" i="17"/>
  <c r="D211" i="17"/>
  <c r="E110" i="18"/>
  <c r="D116" i="18"/>
  <c r="E116" i="18" s="1"/>
  <c r="C210" i="17"/>
  <c r="C209" i="17"/>
  <c r="E209" i="17" s="1"/>
  <c r="E96" i="18"/>
  <c r="D102" i="18"/>
  <c r="E183" i="17"/>
  <c r="E109" i="18"/>
  <c r="F273" i="17"/>
  <c r="C49" i="12"/>
  <c r="E42" i="12"/>
  <c r="F42" i="12" s="1"/>
  <c r="E85" i="18"/>
  <c r="C90" i="18"/>
  <c r="C91" i="18" s="1"/>
  <c r="C105" i="18" s="1"/>
  <c r="C264" i="18"/>
  <c r="C266" i="18" s="1"/>
  <c r="C267" i="18" s="1"/>
  <c r="E121" i="18"/>
  <c r="C102" i="18"/>
  <c r="C103" i="18" s="1"/>
  <c r="C106" i="17"/>
  <c r="E105" i="17"/>
  <c r="F105" i="17" s="1"/>
  <c r="F162" i="17"/>
  <c r="C323" i="17"/>
  <c r="F323" i="17" s="1"/>
  <c r="C183" i="17"/>
  <c r="F183" i="17" s="1"/>
  <c r="C197" i="17"/>
  <c r="E97" i="18"/>
  <c r="F92" i="17"/>
  <c r="C324" i="17"/>
  <c r="E92" i="17"/>
  <c r="C131" i="18"/>
  <c r="E100" i="18"/>
  <c r="E84" i="18"/>
  <c r="D90" i="18"/>
  <c r="E90" i="18" s="1"/>
  <c r="E141" i="17"/>
  <c r="F141" i="17" s="1"/>
  <c r="D322" i="17"/>
  <c r="D148" i="17"/>
  <c r="E148" i="17" s="1"/>
  <c r="F148" i="17" s="1"/>
  <c r="C43" i="5"/>
  <c r="E35" i="5"/>
  <c r="F35" i="5" s="1"/>
  <c r="F104" i="17"/>
  <c r="E104" i="17"/>
  <c r="E83" i="18"/>
  <c r="E208" i="17"/>
  <c r="F208" i="17" s="1"/>
  <c r="E291" i="17"/>
  <c r="F291" i="17" s="1"/>
  <c r="D305" i="17"/>
  <c r="C269" i="18" l="1"/>
  <c r="C268" i="18"/>
  <c r="D91" i="18"/>
  <c r="C325" i="17"/>
  <c r="F324" i="17"/>
  <c r="E324" i="17"/>
  <c r="E103" i="18"/>
  <c r="F106" i="17"/>
  <c r="E106" i="17"/>
  <c r="E102" i="18"/>
  <c r="E49" i="12"/>
  <c r="F49" i="12" s="1"/>
  <c r="E305" i="17"/>
  <c r="F305" i="17" s="1"/>
  <c r="D309" i="17"/>
  <c r="D129" i="18"/>
  <c r="E129" i="18" s="1"/>
  <c r="E323" i="17"/>
  <c r="F176" i="17"/>
  <c r="E176" i="17"/>
  <c r="C211" i="17"/>
  <c r="E211" i="17" s="1"/>
  <c r="E197" i="17"/>
  <c r="F197" i="17" s="1"/>
  <c r="F209" i="17"/>
  <c r="D117" i="18"/>
  <c r="D266" i="18"/>
  <c r="E264" i="18"/>
  <c r="C50" i="5"/>
  <c r="E43" i="5"/>
  <c r="F43" i="5" s="1"/>
  <c r="F210" i="17"/>
  <c r="E322" i="17"/>
  <c r="F322" i="17" s="1"/>
  <c r="D325" i="17"/>
  <c r="E325" i="17" s="1"/>
  <c r="C113" i="17"/>
  <c r="C310" i="17"/>
  <c r="D131" i="18" l="1"/>
  <c r="E131" i="18" s="1"/>
  <c r="E117" i="18"/>
  <c r="E50" i="5"/>
  <c r="F50" i="5" s="1"/>
  <c r="D105" i="18"/>
  <c r="E105" i="18" s="1"/>
  <c r="E91" i="18"/>
  <c r="E309" i="17"/>
  <c r="F309" i="17" s="1"/>
  <c r="D310" i="17"/>
  <c r="F325" i="17"/>
  <c r="C312" i="17"/>
  <c r="C271" i="18"/>
  <c r="F211" i="17"/>
  <c r="E113" i="17"/>
  <c r="F113" i="17" s="1"/>
  <c r="E266" i="18"/>
  <c r="D267" i="18"/>
  <c r="C313" i="17" l="1"/>
  <c r="D312" i="17"/>
  <c r="E310" i="17"/>
  <c r="F310" i="17" s="1"/>
  <c r="E267" i="18"/>
  <c r="D268" i="18"/>
  <c r="D269" i="18"/>
  <c r="E269" i="18" s="1"/>
  <c r="E312" i="17" l="1"/>
  <c r="F312" i="17" s="1"/>
  <c r="D313" i="17"/>
  <c r="C251" i="17"/>
  <c r="C315" i="17"/>
  <c r="C314" i="17"/>
  <c r="C256" i="17"/>
  <c r="D271" i="18"/>
  <c r="E271" i="18" s="1"/>
  <c r="E268" i="18"/>
  <c r="C257" i="17" l="1"/>
  <c r="C318" i="17"/>
  <c r="D314" i="17"/>
  <c r="E313" i="17"/>
  <c r="F313" i="17" s="1"/>
  <c r="D251" i="17"/>
  <c r="E251" i="17" s="1"/>
  <c r="F251" i="17" s="1"/>
  <c r="D315" i="17"/>
  <c r="E315" i="17" s="1"/>
  <c r="D256" i="17"/>
  <c r="F315" i="17"/>
  <c r="D257" i="17" l="1"/>
  <c r="E257" i="17" s="1"/>
  <c r="F257" i="17" s="1"/>
  <c r="E256" i="17"/>
  <c r="F256" i="17" s="1"/>
  <c r="D318" i="17"/>
  <c r="E318" i="17" s="1"/>
  <c r="F318" i="17" s="1"/>
  <c r="E314" i="17"/>
  <c r="F314" i="17" s="1"/>
</calcChain>
</file>

<file path=xl/sharedStrings.xml><?xml version="1.0" encoding="utf-8"?>
<sst xmlns="http://schemas.openxmlformats.org/spreadsheetml/2006/main" count="2333" uniqueCount="1008">
  <si>
    <t>THE HOSPITAL OF CENTRAL CONNECTICUT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</si>
  <si>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</si>
  <si>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</si>
  <si>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</si>
  <si>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</si>
  <si>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</si>
  <si>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</si>
  <si>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</si>
  <si>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</si>
  <si>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</si>
  <si>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</si>
  <si>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</si>
  <si>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</si>
  <si>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</si>
  <si>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</si>
  <si>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</si>
  <si>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</si>
  <si>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</si>
  <si>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</si>
  <si>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</si>
  <si>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</si>
  <si>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</si>
  <si>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</si>
  <si>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</si>
  <si>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</si>
  <si>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</si>
  <si>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</si>
  <si>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</si>
  <si>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</si>
  <si>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</si>
  <si>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</si>
  <si>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</si>
  <si>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</si>
  <si>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</si>
  <si>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</si>
  <si>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</si>
  <si>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</si>
  <si>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</si>
  <si>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</si>
  <si>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</si>
  <si>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</si>
  <si>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</si>
  <si>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</si>
  <si>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</si>
  <si>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</si>
  <si>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</si>
  <si>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</si>
  <si>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</si>
  <si>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</si>
  <si>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</si>
  <si>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</si>
  <si>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</si>
  <si>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</si>
  <si>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</si>
  <si>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</si>
  <si>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</si>
  <si>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</si>
  <si>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</si>
  <si>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</si>
  <si>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</si>
  <si>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</si>
  <si>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</si>
  <si>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</si>
  <si>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</si>
  <si>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</si>
  <si>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</si>
  <si>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</si>
  <si>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</si>
  <si>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</si>
  <si>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</si>
  <si>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</si>
  <si>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</si>
  <si>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</si>
  <si>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</si>
  <si>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</si>
  <si>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</si>
  <si>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</si>
  <si>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</si>
  <si>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</si>
  <si>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</si>
  <si>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</si>
  <si>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</si>
  <si>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</si>
  <si>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</si>
  <si>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</si>
  <si>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</si>
  <si>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</si>
  <si>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</si>
  <si>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</si>
  <si>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</si>
  <si>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</si>
  <si>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</si>
  <si>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</si>
  <si>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</si>
  <si>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</si>
  <si>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</si>
  <si>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</si>
  <si>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</si>
  <si>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</si>
  <si>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</si>
  <si>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</si>
  <si>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</si>
  <si>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</si>
  <si>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</si>
  <si>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</si>
  <si>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</si>
  <si>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</si>
  <si>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</si>
  <si>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</si>
  <si>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</si>
  <si>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</si>
  <si>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</si>
  <si>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</si>
  <si>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</si>
  <si>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</si>
  <si>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</si>
  <si>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</si>
  <si>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</si>
  <si>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</si>
  <si>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</si>
  <si>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</si>
  <si>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</si>
  <si>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</si>
  <si>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</si>
  <si>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</si>
  <si>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</si>
  <si>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</si>
  <si>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</si>
  <si>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</si>
  <si>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</si>
  <si>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</si>
  <si>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</si>
  <si>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</si>
  <si>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</si>
  <si>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</si>
  <si>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</si>
  <si>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</si>
  <si>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</si>
  <si>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</si>
  <si>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</si>
  <si>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</si>
  <si>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</si>
  <si>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</si>
  <si>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</si>
  <si>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</si>
  <si>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</si>
  <si>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</si>
  <si>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</si>
  <si>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</si>
  <si>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</si>
  <si>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</si>
  <si>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</si>
  <si>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</si>
  <si>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</si>
  <si>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</si>
  <si>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</si>
  <si>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</si>
  <si>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</si>
  <si>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</si>
  <si>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</si>
  <si>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</si>
  <si>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</si>
  <si>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</si>
  <si>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</si>
  <si>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</si>
  <si>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</si>
  <si>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</si>
  <si>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</si>
  <si>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</si>
  <si>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</si>
  <si>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</si>
  <si>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</si>
  <si>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</si>
  <si>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</si>
  <si>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</si>
  <si>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</si>
  <si>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</si>
  <si>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</si>
  <si>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</si>
  <si>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</si>
  <si>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</si>
  <si>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</si>
  <si>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</si>
  <si>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</si>
  <si>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</si>
  <si>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</si>
  <si>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</si>
  <si>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</si>
  <si>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</si>
  <si>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</si>
  <si>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</si>
  <si>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</si>
  <si>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</si>
  <si>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</si>
  <si>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</si>
  <si>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</si>
  <si>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</si>
  <si>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</si>
  <si>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</si>
  <si>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</si>
  <si>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</si>
  <si>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</si>
  <si>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</si>
  <si>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</si>
  <si>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</si>
  <si>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</si>
  <si>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</si>
  <si>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</si>
  <si>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</si>
  <si>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</si>
  <si>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</si>
  <si>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</si>
  <si>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</si>
  <si>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</si>
  <si>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</si>
  <si>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</si>
  <si>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</si>
  <si>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</si>
  <si>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</si>
  <si>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</si>
  <si>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</si>
  <si>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</si>
  <si>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</si>
  <si>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</si>
  <si>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</si>
  <si>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</si>
  <si>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</si>
  <si>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</si>
  <si>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</si>
  <si>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</si>
  <si>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</si>
  <si>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</si>
  <si>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</si>
  <si>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</si>
  <si>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</si>
  <si>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</si>
  <si>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</si>
  <si>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</si>
  <si>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</si>
  <si>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</si>
  <si>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</si>
  <si>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</si>
  <si>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</si>
  <si>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</si>
  <si>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</si>
  <si>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</si>
  <si>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</si>
  <si>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</si>
  <si>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</si>
  <si>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</si>
  <si>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</si>
  <si>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</si>
  <si>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</si>
  <si>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</si>
  <si>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</si>
  <si>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</si>
  <si>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</si>
  <si>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</si>
  <si>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</si>
  <si>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</si>
  <si>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</si>
  <si>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</si>
  <si>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</si>
  <si>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</si>
  <si>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</si>
  <si>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</si>
  <si>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</si>
  <si>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</si>
  <si>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</si>
  <si>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</si>
  <si>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</si>
  <si>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</si>
  <si>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</si>
  <si>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</si>
  <si>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</si>
  <si>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</si>
  <si>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</si>
  <si>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</si>
  <si>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</si>
  <si>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</si>
  <si>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</si>
  <si>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</si>
  <si>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</si>
  <si>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</si>
  <si>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</si>
  <si>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</si>
  <si>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</si>
  <si>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</si>
  <si>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</si>
  <si>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</si>
  <si>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</si>
  <si>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</si>
  <si>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</si>
  <si>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</si>
  <si>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</si>
  <si>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</si>
  <si>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</si>
  <si>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</si>
  <si>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</si>
  <si>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</si>
  <si>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</si>
  <si>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</si>
  <si>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</si>
  <si>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</si>
  <si>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</si>
  <si>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</si>
  <si>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</si>
  <si>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</si>
  <si>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</si>
  <si>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</si>
  <si>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</si>
  <si>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</si>
  <si>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</si>
  <si>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</si>
  <si>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</si>
  <si>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</si>
  <si>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</si>
  <si>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</si>
  <si>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</si>
  <si>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</si>
  <si>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</si>
  <si>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</si>
  <si>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</si>
  <si>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</si>
  <si>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</si>
  <si>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</si>
  <si>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</si>
  <si>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</si>
  <si>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</si>
  <si>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</si>
  <si>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</si>
  <si>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</si>
  <si>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</si>
  <si>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</si>
  <si>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</si>
  <si>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</si>
  <si>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</si>
  <si>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</si>
  <si>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</si>
  <si>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</si>
  <si>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</si>
  <si>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</si>
  <si>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</si>
  <si>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</si>
  <si>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</si>
  <si>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</si>
  <si>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</si>
  <si>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</si>
  <si>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</si>
  <si>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</si>
  <si>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</si>
  <si>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</si>
  <si>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</si>
  <si>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</si>
  <si>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</si>
  <si>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</si>
  <si>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</si>
  <si>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</si>
  <si>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</si>
  <si>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</si>
  <si>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</si>
  <si>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</si>
  <si>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</si>
  <si>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</si>
  <si>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</si>
  <si>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</si>
  <si>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</si>
  <si>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</si>
  <si>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</si>
  <si>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</si>
  <si>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</si>
  <si>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</si>
  <si>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</si>
  <si>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</si>
  <si>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</si>
  <si>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</si>
  <si>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</si>
  <si>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</si>
  <si>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</si>
  <si>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</si>
  <si>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</si>
  <si>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</si>
  <si>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</si>
  <si>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</si>
  <si>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</si>
  <si>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</si>
  <si>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</si>
  <si>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</si>
  <si>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</si>
  <si>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</si>
  <si>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</si>
  <si>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</si>
  <si>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</si>
  <si>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</si>
  <si>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</si>
  <si>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</si>
  <si>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</si>
  <si>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</si>
  <si>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</si>
  <si>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</si>
  <si>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</si>
  <si>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</si>
  <si>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</si>
  <si>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</si>
  <si>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</si>
  <si>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</si>
  <si>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</si>
  <si>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</si>
  <si>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</si>
  <si>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</si>
  <si>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</si>
  <si>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</si>
  <si>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</si>
  <si>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</si>
  <si>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</si>
  <si>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</si>
  <si>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</si>
  <si>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</si>
  <si>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</si>
  <si>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</si>
  <si>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</si>
  <si>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</si>
  <si>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</si>
  <si>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</si>
  <si>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</si>
  <si>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</si>
  <si>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</si>
  <si>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</si>
  <si>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</si>
  <si>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</si>
  <si>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</si>
  <si>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</si>
  <si>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</si>
  <si>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</si>
  <si>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</si>
  <si>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</si>
  <si>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</si>
  <si>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</si>
  <si>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</si>
  <si>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</si>
  <si>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</si>
  <si>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</si>
  <si>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</si>
  <si>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</si>
  <si>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</si>
  <si>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</si>
  <si>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</si>
  <si>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</si>
  <si>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</si>
  <si>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</si>
  <si>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</si>
  <si>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</si>
  <si>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</si>
  <si>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</si>
  <si>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</si>
  <si>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</si>
  <si>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</si>
  <si>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</si>
  <si>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</si>
  <si>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</si>
  <si>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</si>
  <si>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</si>
  <si>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</si>
  <si>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</si>
  <si>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</si>
  <si>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</si>
  <si>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</si>
  <si>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</si>
  <si>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</si>
  <si>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</si>
  <si>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</si>
  <si>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</si>
  <si>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</si>
  <si>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</si>
  <si>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</si>
  <si>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</si>
  <si>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</si>
  <si>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</si>
  <si>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</si>
  <si>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</si>
  <si>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</si>
  <si>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</si>
  <si>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</si>
  <si>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</si>
  <si>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</si>
  <si>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</si>
  <si>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</si>
  <si>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</si>
  <si>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</si>
  <si>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</si>
  <si>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</si>
  <si>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</si>
  <si>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</si>
  <si>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</si>
  <si>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</si>
  <si>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</si>
  <si>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</si>
  <si>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</si>
  <si>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</si>
  <si>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</si>
  <si>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HARTFORD HEALTH CARE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</si>
  <si>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</si>
  <si>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</si>
  <si>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</si>
  <si>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</si>
  <si>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</si>
  <si>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</si>
  <si>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</si>
  <si>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</si>
  <si>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</si>
  <si>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</si>
  <si>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</si>
  <si>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</si>
  <si>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</si>
  <si>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</si>
  <si>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</si>
  <si>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</si>
  <si>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</si>
  <si>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</si>
  <si>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</si>
  <si>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</si>
  <si>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</si>
  <si>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</si>
  <si>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</si>
  <si>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</si>
  <si>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</si>
  <si>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</si>
  <si>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</si>
  <si>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</si>
  <si>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</si>
  <si>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</si>
  <si>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</si>
  <si>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</si>
  <si>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</si>
  <si>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</si>
  <si>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</si>
  <si>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</si>
  <si>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</si>
  <si>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</si>
  <si>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</si>
  <si>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</si>
  <si>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</si>
  <si>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</si>
  <si>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</si>
  <si>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</si>
  <si>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</si>
  <si>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</si>
  <si>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</si>
  <si>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</si>
  <si>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</si>
  <si>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</si>
  <si>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</si>
  <si>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</si>
  <si>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</si>
  <si>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</si>
  <si>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</si>
  <si>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</si>
  <si>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</si>
  <si>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</si>
  <si>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</si>
  <si>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</si>
  <si>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</si>
  <si>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</si>
  <si>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</si>
  <si>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</si>
  <si>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</si>
  <si>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</si>
  <si>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</si>
  <si>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</si>
  <si>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</si>
  <si>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</si>
  <si>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</si>
  <si>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</si>
  <si>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</si>
  <si>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</si>
  <si>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</si>
  <si>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</si>
  <si>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</si>
  <si>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</si>
  <si>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</si>
  <si>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</si>
  <si>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</si>
  <si>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</si>
  <si>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</si>
  <si>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</si>
  <si>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</si>
  <si>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</si>
  <si>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</si>
  <si>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</si>
  <si>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</si>
  <si>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</si>
  <si>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</si>
  <si>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</si>
  <si>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</si>
  <si>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</si>
  <si>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</si>
  <si>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</si>
  <si>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</si>
  <si>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</si>
  <si>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</si>
  <si>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</si>
  <si>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</si>
  <si>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</si>
  <si>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</si>
  <si>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</si>
  <si>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</si>
  <si>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</si>
  <si>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</si>
  <si>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</si>
  <si>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</si>
  <si>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</si>
  <si>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</si>
  <si>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</si>
  <si>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</si>
  <si>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</si>
  <si>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</si>
  <si>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</si>
  <si>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</si>
  <si>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</si>
  <si>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</si>
  <si>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</si>
  <si>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The Hospital of Central Connecticut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</si>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</sst>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27153802</v>
      </c>
      <c r="D13" s="22">
        <v>23728929</v>
      </c>
      <c r="E13" s="22">
        <f t="shared" ref="E13:E22" si="0">D13-C13</f>
        <v>-3424873</v>
      </c>
      <c r="F13" s="23">
        <f t="shared" ref="F13:F22" si="1">IF(C13=0,0,E13/C13)</f>
        <v>-0.12612867251517854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48473300</v>
      </c>
      <c r="D15" s="22">
        <v>45274226</v>
      </c>
      <c r="E15" s="22">
        <f t="shared" si="0"/>
        <v>-3199074</v>
      </c>
      <c r="F15" s="23">
        <f t="shared" si="1"/>
        <v>-6.5996620820121588E-2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156589</v>
      </c>
      <c r="D17" s="22">
        <v>5024941</v>
      </c>
      <c r="E17" s="22">
        <f t="shared" si="0"/>
        <v>4868352</v>
      </c>
      <c r="F17" s="23">
        <f t="shared" si="1"/>
        <v>31.089999936138554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5943030</v>
      </c>
      <c r="D19" s="22">
        <v>5420384</v>
      </c>
      <c r="E19" s="22">
        <f t="shared" si="0"/>
        <v>-522646</v>
      </c>
      <c r="F19" s="23">
        <f t="shared" si="1"/>
        <v>-8.7942682436400285E-2</v>
      </c>
    </row>
    <row r="20" spans="1:11" ht="24" customHeight="1" x14ac:dyDescent="0.2">
      <c r="A20" s="20">
        <v>8</v>
      </c>
      <c r="B20" s="21" t="s">
        <v>23</v>
      </c>
      <c r="C20" s="22">
        <v>3609849</v>
      </c>
      <c r="D20" s="22">
        <v>3466789</v>
      </c>
      <c r="E20" s="22">
        <f t="shared" si="0"/>
        <v>-143060</v>
      </c>
      <c r="F20" s="23">
        <f t="shared" si="1"/>
        <v>-3.963046653751999E-2</v>
      </c>
    </row>
    <row r="21" spans="1:11" ht="24" customHeight="1" x14ac:dyDescent="0.2">
      <c r="A21" s="20">
        <v>9</v>
      </c>
      <c r="B21" s="21" t="s">
        <v>24</v>
      </c>
      <c r="C21" s="22">
        <v>6782147</v>
      </c>
      <c r="D21" s="22">
        <v>8075041</v>
      </c>
      <c r="E21" s="22">
        <f t="shared" si="0"/>
        <v>1292894</v>
      </c>
      <c r="F21" s="23">
        <f t="shared" si="1"/>
        <v>0.19063196359500909</v>
      </c>
    </row>
    <row r="22" spans="1:11" ht="24" customHeight="1" x14ac:dyDescent="0.25">
      <c r="A22" s="24"/>
      <c r="B22" s="25" t="s">
        <v>25</v>
      </c>
      <c r="C22" s="26">
        <f>SUM(C13:C21)</f>
        <v>92118717</v>
      </c>
      <c r="D22" s="26">
        <f>SUM(D13:D21)</f>
        <v>90990310</v>
      </c>
      <c r="E22" s="26">
        <f t="shared" si="0"/>
        <v>-1128407</v>
      </c>
      <c r="F22" s="27">
        <f t="shared" si="1"/>
        <v>-1.2249486713975835E-2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15192304</v>
      </c>
      <c r="D25" s="22">
        <v>15974359</v>
      </c>
      <c r="E25" s="22">
        <f>D25-C25</f>
        <v>782055</v>
      </c>
      <c r="F25" s="23">
        <f>IF(C25=0,0,E25/C25)</f>
        <v>5.1477050485561636E-2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15192304</v>
      </c>
      <c r="D29" s="26">
        <f>SUM(D25:D28)</f>
        <v>15974359</v>
      </c>
      <c r="E29" s="26">
        <f>D29-C29</f>
        <v>782055</v>
      </c>
      <c r="F29" s="27">
        <f>IF(C29=0,0,E29/C29)</f>
        <v>5.1477050485561636E-2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125811092</v>
      </c>
      <c r="D32" s="22">
        <v>141918020</v>
      </c>
      <c r="E32" s="22">
        <f>D32-C32</f>
        <v>16106928</v>
      </c>
      <c r="F32" s="23">
        <f>IF(C32=0,0,E32/C32)</f>
        <v>0.12802470548463246</v>
      </c>
    </row>
    <row r="33" spans="1:8" ht="24" customHeight="1" x14ac:dyDescent="0.2">
      <c r="A33" s="20">
        <v>7</v>
      </c>
      <c r="B33" s="21" t="s">
        <v>35</v>
      </c>
      <c r="C33" s="22">
        <v>16271962</v>
      </c>
      <c r="D33" s="22">
        <v>18290966</v>
      </c>
      <c r="E33" s="22">
        <f>D33-C33</f>
        <v>2019004</v>
      </c>
      <c r="F33" s="23">
        <f>IF(C33=0,0,E33/C33)</f>
        <v>0.1240787066734792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422527772</v>
      </c>
      <c r="D36" s="22">
        <v>374739793</v>
      </c>
      <c r="E36" s="22">
        <f>D36-C36</f>
        <v>-47787979</v>
      </c>
      <c r="F36" s="23">
        <f>IF(C36=0,0,E36/C36)</f>
        <v>-0.11310020823909298</v>
      </c>
    </row>
    <row r="37" spans="1:8" ht="24" customHeight="1" x14ac:dyDescent="0.2">
      <c r="A37" s="20">
        <v>2</v>
      </c>
      <c r="B37" s="21" t="s">
        <v>39</v>
      </c>
      <c r="C37" s="22">
        <v>274632798</v>
      </c>
      <c r="D37" s="22">
        <v>230869746</v>
      </c>
      <c r="E37" s="22">
        <f>D37-C37</f>
        <v>-43763052</v>
      </c>
      <c r="F37" s="23">
        <f>IF(C37=0,0,E37/C37)</f>
        <v>-0.15935114931174391</v>
      </c>
    </row>
    <row r="38" spans="1:8" ht="24" customHeight="1" x14ac:dyDescent="0.25">
      <c r="A38" s="24"/>
      <c r="B38" s="25" t="s">
        <v>40</v>
      </c>
      <c r="C38" s="26">
        <f>C36-C37</f>
        <v>147894974</v>
      </c>
      <c r="D38" s="26">
        <f>D36-D37</f>
        <v>143870047</v>
      </c>
      <c r="E38" s="26">
        <f>D38-C38</f>
        <v>-4024927</v>
      </c>
      <c r="F38" s="27">
        <f>IF(C38=0,0,E38/C38)</f>
        <v>-2.7214765256323045E-2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2535320</v>
      </c>
      <c r="D40" s="22">
        <v>19940168</v>
      </c>
      <c r="E40" s="22">
        <f>D40-C40</f>
        <v>17404848</v>
      </c>
      <c r="F40" s="23">
        <f>IF(C40=0,0,E40/C40)</f>
        <v>6.8649511698720476</v>
      </c>
    </row>
    <row r="41" spans="1:8" ht="24" customHeight="1" x14ac:dyDescent="0.25">
      <c r="A41" s="24"/>
      <c r="B41" s="25" t="s">
        <v>42</v>
      </c>
      <c r="C41" s="26">
        <f>+C38+C40</f>
        <v>150430294</v>
      </c>
      <c r="D41" s="26">
        <f>+D38+D40</f>
        <v>163810215</v>
      </c>
      <c r="E41" s="26">
        <f>D41-C41</f>
        <v>13379921</v>
      </c>
      <c r="F41" s="27">
        <f>IF(C41=0,0,E41/C41)</f>
        <v>8.8944325270015098E-2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399824369</v>
      </c>
      <c r="D43" s="26">
        <f>D22+D29+D31+D32+D33+D41</f>
        <v>430983870</v>
      </c>
      <c r="E43" s="26">
        <f>D43-C43</f>
        <v>31159501</v>
      </c>
      <c r="F43" s="27">
        <f>IF(C43=0,0,E43/C43)</f>
        <v>7.7932971114124366E-2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24789697</v>
      </c>
      <c r="D49" s="22">
        <v>24176418</v>
      </c>
      <c r="E49" s="22">
        <f t="shared" ref="E49:E56" si="2">D49-C49</f>
        <v>-613279</v>
      </c>
      <c r="F49" s="23">
        <f t="shared" ref="F49:F56" si="3">IF(C49=0,0,E49/C49)</f>
        <v>-2.4739269705474819E-2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14266850</v>
      </c>
      <c r="D50" s="22">
        <v>14042968</v>
      </c>
      <c r="E50" s="22">
        <f t="shared" si="2"/>
        <v>-223882</v>
      </c>
      <c r="F50" s="23">
        <f t="shared" si="3"/>
        <v>-1.5692461895933579E-2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19307101</v>
      </c>
      <c r="D51" s="22">
        <v>11976659</v>
      </c>
      <c r="E51" s="22">
        <f t="shared" si="2"/>
        <v>-7330442</v>
      </c>
      <c r="F51" s="23">
        <f t="shared" si="3"/>
        <v>-0.37967595445841401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1644937</v>
      </c>
      <c r="D52" s="22">
        <v>1174351</v>
      </c>
      <c r="E52" s="22">
        <f t="shared" si="2"/>
        <v>-470586</v>
      </c>
      <c r="F52" s="23">
        <f t="shared" si="3"/>
        <v>-0.28608147302905823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2165699</v>
      </c>
      <c r="D53" s="22">
        <v>2329243</v>
      </c>
      <c r="E53" s="22">
        <f t="shared" si="2"/>
        <v>163544</v>
      </c>
      <c r="F53" s="23">
        <f t="shared" si="3"/>
        <v>7.5515572570334102E-2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15150261</v>
      </c>
      <c r="D55" s="22">
        <v>11922233</v>
      </c>
      <c r="E55" s="22">
        <f t="shared" si="2"/>
        <v>-3228028</v>
      </c>
      <c r="F55" s="23">
        <f t="shared" si="3"/>
        <v>-0.2130674844479577</v>
      </c>
    </row>
    <row r="56" spans="1:6" ht="24" customHeight="1" x14ac:dyDescent="0.25">
      <c r="A56" s="24"/>
      <c r="B56" s="25" t="s">
        <v>54</v>
      </c>
      <c r="C56" s="26">
        <f>SUM(C49:C55)</f>
        <v>77324545</v>
      </c>
      <c r="D56" s="26">
        <f>SUM(D49:D55)</f>
        <v>65621872</v>
      </c>
      <c r="E56" s="26">
        <f t="shared" si="2"/>
        <v>-11702673</v>
      </c>
      <c r="F56" s="27">
        <f t="shared" si="3"/>
        <v>-0.15134486727338647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1367741</v>
      </c>
      <c r="D60" s="22">
        <v>652997</v>
      </c>
      <c r="E60" s="22">
        <f>D60-C60</f>
        <v>-714744</v>
      </c>
      <c r="F60" s="23">
        <f>IF(C60=0,0,E60/C60)</f>
        <v>-0.52257262157089679</v>
      </c>
    </row>
    <row r="61" spans="1:6" ht="24" customHeight="1" x14ac:dyDescent="0.25">
      <c r="A61" s="24"/>
      <c r="B61" s="25" t="s">
        <v>58</v>
      </c>
      <c r="C61" s="26">
        <f>SUM(C59:C60)</f>
        <v>1367741</v>
      </c>
      <c r="D61" s="26">
        <f>SUM(D59:D60)</f>
        <v>652997</v>
      </c>
      <c r="E61" s="26">
        <f>D61-C61</f>
        <v>-714744</v>
      </c>
      <c r="F61" s="27">
        <f>IF(C61=0,0,E61/C61)</f>
        <v>-0.52257262157089679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141985877</v>
      </c>
      <c r="D63" s="22">
        <v>65894053</v>
      </c>
      <c r="E63" s="22">
        <f>D63-C63</f>
        <v>-76091824</v>
      </c>
      <c r="F63" s="23">
        <f>IF(C63=0,0,E63/C63)</f>
        <v>-0.53591121601481528</v>
      </c>
    </row>
    <row r="64" spans="1:6" ht="24" customHeight="1" x14ac:dyDescent="0.2">
      <c r="A64" s="20">
        <v>4</v>
      </c>
      <c r="B64" s="21" t="s">
        <v>60</v>
      </c>
      <c r="C64" s="22">
        <v>44135219</v>
      </c>
      <c r="D64" s="22">
        <v>57103385</v>
      </c>
      <c r="E64" s="22">
        <f>D64-C64</f>
        <v>12968166</v>
      </c>
      <c r="F64" s="23">
        <f>IF(C64=0,0,E64/C64)</f>
        <v>0.29382806506522602</v>
      </c>
    </row>
    <row r="65" spans="1:6" ht="24" customHeight="1" x14ac:dyDescent="0.25">
      <c r="A65" s="24"/>
      <c r="B65" s="25" t="s">
        <v>61</v>
      </c>
      <c r="C65" s="26">
        <f>SUM(C61:C64)</f>
        <v>187488837</v>
      </c>
      <c r="D65" s="26">
        <f>SUM(D61:D64)</f>
        <v>123650435</v>
      </c>
      <c r="E65" s="26">
        <f>D65-C65</f>
        <v>-63838402</v>
      </c>
      <c r="F65" s="27">
        <f>IF(C65=0,0,E65/C65)</f>
        <v>-0.34049174885009287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93203114</v>
      </c>
      <c r="D70" s="22">
        <v>194567882</v>
      </c>
      <c r="E70" s="22">
        <f>D70-C70</f>
        <v>101364768</v>
      </c>
      <c r="F70" s="23">
        <f>IF(C70=0,0,E70/C70)</f>
        <v>1.0875684690105956</v>
      </c>
    </row>
    <row r="71" spans="1:6" ht="24" customHeight="1" x14ac:dyDescent="0.2">
      <c r="A71" s="20">
        <v>2</v>
      </c>
      <c r="B71" s="21" t="s">
        <v>65</v>
      </c>
      <c r="C71" s="22">
        <v>20015125</v>
      </c>
      <c r="D71" s="22">
        <v>24361771</v>
      </c>
      <c r="E71" s="22">
        <f>D71-C71</f>
        <v>4346646</v>
      </c>
      <c r="F71" s="23">
        <f>IF(C71=0,0,E71/C71)</f>
        <v>0.21716806664959623</v>
      </c>
    </row>
    <row r="72" spans="1:6" ht="24" customHeight="1" x14ac:dyDescent="0.2">
      <c r="A72" s="20">
        <v>3</v>
      </c>
      <c r="B72" s="21" t="s">
        <v>66</v>
      </c>
      <c r="C72" s="22">
        <v>21792748</v>
      </c>
      <c r="D72" s="22">
        <v>22781910</v>
      </c>
      <c r="E72" s="22">
        <f>D72-C72</f>
        <v>989162</v>
      </c>
      <c r="F72" s="23">
        <f>IF(C72=0,0,E72/C72)</f>
        <v>4.5389502966766741E-2</v>
      </c>
    </row>
    <row r="73" spans="1:6" ht="24" customHeight="1" x14ac:dyDescent="0.25">
      <c r="A73" s="20"/>
      <c r="B73" s="25" t="s">
        <v>67</v>
      </c>
      <c r="C73" s="26">
        <f>SUM(C70:C72)</f>
        <v>135010987</v>
      </c>
      <c r="D73" s="26">
        <f>SUM(D70:D72)</f>
        <v>241711563</v>
      </c>
      <c r="E73" s="26">
        <f>D73-C73</f>
        <v>106700576</v>
      </c>
      <c r="F73" s="27">
        <f>IF(C73=0,0,E73/C73)</f>
        <v>0.79031031748549474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399824369</v>
      </c>
      <c r="D75" s="26">
        <f>D56+D65+D67+D73</f>
        <v>430983870</v>
      </c>
      <c r="E75" s="26">
        <f>D75-C75</f>
        <v>31159501</v>
      </c>
      <c r="F75" s="27">
        <f>IF(C75=0,0,E75/C75)</f>
        <v>7.7932971114124366E-2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400559051</v>
      </c>
      <c r="D11" s="76">
        <v>413610005</v>
      </c>
      <c r="E11" s="76">
        <v>392524293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29000792</v>
      </c>
      <c r="D12" s="185">
        <v>53671333</v>
      </c>
      <c r="E12" s="185">
        <v>49382685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429559843</v>
      </c>
      <c r="D13" s="76">
        <f>+D11+D12</f>
        <v>467281338</v>
      </c>
      <c r="E13" s="76">
        <f>+E11+E12</f>
        <v>441906978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397511022</v>
      </c>
      <c r="D14" s="185">
        <v>439424090</v>
      </c>
      <c r="E14" s="185">
        <v>429066872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32048821</v>
      </c>
      <c r="D15" s="76">
        <f>+D13-D14</f>
        <v>27857248</v>
      </c>
      <c r="E15" s="76">
        <f>+E13-E14</f>
        <v>12840106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-550975</v>
      </c>
      <c r="D16" s="185">
        <v>9964042</v>
      </c>
      <c r="E16" s="185">
        <v>11820994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31497846</v>
      </c>
      <c r="D17" s="76">
        <f>D15+D16</f>
        <v>37821290</v>
      </c>
      <c r="E17" s="76">
        <f>E15+E16</f>
        <v>24661100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7.4704332219071981E-2</v>
      </c>
      <c r="D20" s="189">
        <f>IF(+D27=0,0,+D24/+D27)</f>
        <v>5.8370911835752083E-2</v>
      </c>
      <c r="E20" s="189">
        <f>IF(+E27=0,0,+E24/+E27)</f>
        <v>2.8299128095192687E-2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-1.2842974611890774E-3</v>
      </c>
      <c r="D21" s="189">
        <f>IF(+D27=0,0,+D26/+D27)</f>
        <v>2.0878236684030341E-2</v>
      </c>
      <c r="E21" s="189">
        <f>IF(+E27=0,0,+E26/+E27)</f>
        <v>2.60530421959526E-2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7.3420034757882904E-2</v>
      </c>
      <c r="D22" s="189">
        <f>IF(+D27=0,0,+D28/+D27)</f>
        <v>7.9249148519782417E-2</v>
      </c>
      <c r="E22" s="189">
        <f>IF(+E27=0,0,+E28/+E27)</f>
        <v>5.4352170291145287E-2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32048821</v>
      </c>
      <c r="D24" s="76">
        <f>+D15</f>
        <v>27857248</v>
      </c>
      <c r="E24" s="76">
        <f>+E15</f>
        <v>12840106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429559843</v>
      </c>
      <c r="D25" s="76">
        <f>+D13</f>
        <v>467281338</v>
      </c>
      <c r="E25" s="76">
        <f>+E13</f>
        <v>441906978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-550975</v>
      </c>
      <c r="D26" s="76">
        <f>+D16</f>
        <v>9964042</v>
      </c>
      <c r="E26" s="76">
        <f>+E16</f>
        <v>11820994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429008868</v>
      </c>
      <c r="D27" s="76">
        <f>SUM(D25:D26)</f>
        <v>477245380</v>
      </c>
      <c r="E27" s="76">
        <f>SUM(E25:E26)</f>
        <v>453727972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31497846</v>
      </c>
      <c r="D28" s="76">
        <f>+D17</f>
        <v>37821290</v>
      </c>
      <c r="E28" s="76">
        <f>+E17</f>
        <v>24661100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159071285</v>
      </c>
      <c r="D31" s="76">
        <v>123899268</v>
      </c>
      <c r="E31" s="76">
        <v>223258476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196058904</v>
      </c>
      <c r="D32" s="76">
        <v>165850149</v>
      </c>
      <c r="E32" s="76">
        <v>270558323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41065086</v>
      </c>
      <c r="D33" s="76">
        <f>+D32-C32</f>
        <v>-30208755</v>
      </c>
      <c r="E33" s="76">
        <f>+E32-D32</f>
        <v>104708174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1.2648999999999999</v>
      </c>
      <c r="D34" s="193">
        <f>IF(C32=0,0,+D33/C32)</f>
        <v>-0.15407999526509644</v>
      </c>
      <c r="E34" s="193">
        <f>IF(D32=0,0,+E33/D32)</f>
        <v>0.63134205565290147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1.2417681573439663</v>
      </c>
      <c r="D38" s="338">
        <f>IF(+D40=0,0,+D39/+D40)</f>
        <v>1.4628825660261895</v>
      </c>
      <c r="E38" s="338">
        <f>IF(+E40=0,0,+E39/+E40)</f>
        <v>1.7397898854815241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113084898</v>
      </c>
      <c r="D39" s="341">
        <v>130656268</v>
      </c>
      <c r="E39" s="341">
        <v>134832928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91067642</v>
      </c>
      <c r="D40" s="341">
        <v>89314256</v>
      </c>
      <c r="E40" s="341">
        <v>77499547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36.326544702087396</v>
      </c>
      <c r="D42" s="343">
        <f>IF((D48/365)=0,0,+D45/(D48/365))</f>
        <v>43.023095539889361</v>
      </c>
      <c r="E42" s="343">
        <f>IF((E48/365)=0,0,+E45/(E48/365))</f>
        <v>51.038417684322141</v>
      </c>
    </row>
    <row r="43" spans="1:14" ht="24" customHeight="1" x14ac:dyDescent="0.2">
      <c r="A43" s="339">
        <v>5</v>
      </c>
      <c r="B43" s="344" t="s">
        <v>16</v>
      </c>
      <c r="C43" s="345">
        <v>37567453</v>
      </c>
      <c r="D43" s="345">
        <v>49255986</v>
      </c>
      <c r="E43" s="345">
        <v>56052328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900393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37567453</v>
      </c>
      <c r="D45" s="341">
        <f>+D43+D44</f>
        <v>49255986</v>
      </c>
      <c r="E45" s="341">
        <f>+E43+E44</f>
        <v>56952721</v>
      </c>
    </row>
    <row r="46" spans="1:14" ht="24" customHeight="1" x14ac:dyDescent="0.2">
      <c r="A46" s="339">
        <v>8</v>
      </c>
      <c r="B46" s="340" t="s">
        <v>334</v>
      </c>
      <c r="C46" s="341">
        <f>+C14</f>
        <v>397511022</v>
      </c>
      <c r="D46" s="341">
        <f>+D14</f>
        <v>439424090</v>
      </c>
      <c r="E46" s="341">
        <f>+E14</f>
        <v>429066872</v>
      </c>
    </row>
    <row r="47" spans="1:14" ht="24" customHeight="1" x14ac:dyDescent="0.2">
      <c r="A47" s="339">
        <v>9</v>
      </c>
      <c r="B47" s="340" t="s">
        <v>356</v>
      </c>
      <c r="C47" s="341">
        <v>20042687</v>
      </c>
      <c r="D47" s="341">
        <v>21545398</v>
      </c>
      <c r="E47" s="341">
        <v>21770876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377468335</v>
      </c>
      <c r="D48" s="341">
        <f>+D46-D47</f>
        <v>417878692</v>
      </c>
      <c r="E48" s="341">
        <f>+E46-E47</f>
        <v>407295996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25.293419983162487</v>
      </c>
      <c r="D50" s="350">
        <f>IF((D55/365)=0,0,+D54/(D55/365))</f>
        <v>27.538991543495182</v>
      </c>
      <c r="E50" s="350">
        <f>IF((E55/365)=0,0,+E54/(E55/365))</f>
        <v>32.589282111005545</v>
      </c>
    </row>
    <row r="51" spans="1:5" ht="24" customHeight="1" x14ac:dyDescent="0.2">
      <c r="A51" s="339">
        <v>12</v>
      </c>
      <c r="B51" s="344" t="s">
        <v>359</v>
      </c>
      <c r="C51" s="351">
        <v>52214808</v>
      </c>
      <c r="D51" s="351">
        <v>51017877</v>
      </c>
      <c r="E51" s="351">
        <v>47943669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24457251</v>
      </c>
      <c r="D53" s="341">
        <v>19811295</v>
      </c>
      <c r="E53" s="341">
        <v>12896861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27757557</v>
      </c>
      <c r="D54" s="352">
        <f>+D51+D52-D53</f>
        <v>31206582</v>
      </c>
      <c r="E54" s="352">
        <f>+E51+E52-E53</f>
        <v>35046808</v>
      </c>
    </row>
    <row r="55" spans="1:5" ht="24" customHeight="1" x14ac:dyDescent="0.2">
      <c r="A55" s="339">
        <v>16</v>
      </c>
      <c r="B55" s="340" t="s">
        <v>75</v>
      </c>
      <c r="C55" s="341">
        <f>+C11</f>
        <v>400559051</v>
      </c>
      <c r="D55" s="341">
        <f>+D11</f>
        <v>413610005</v>
      </c>
      <c r="E55" s="341">
        <f>+E11</f>
        <v>392524293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88.059543670067043</v>
      </c>
      <c r="D57" s="355">
        <f>IF((D61/365)=0,0,+D58/(D61/365))</f>
        <v>78.012361156715798</v>
      </c>
      <c r="E57" s="355">
        <f>IF((E61/365)=0,0,+E58/(E61/365))</f>
        <v>69.451541220159697</v>
      </c>
    </row>
    <row r="58" spans="1:5" ht="24" customHeight="1" x14ac:dyDescent="0.2">
      <c r="A58" s="339">
        <v>18</v>
      </c>
      <c r="B58" s="340" t="s">
        <v>54</v>
      </c>
      <c r="C58" s="353">
        <f>+C40</f>
        <v>91067642</v>
      </c>
      <c r="D58" s="353">
        <f>+D40</f>
        <v>89314256</v>
      </c>
      <c r="E58" s="353">
        <f>+E40</f>
        <v>77499547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397511022</v>
      </c>
      <c r="D59" s="353">
        <f t="shared" si="0"/>
        <v>439424090</v>
      </c>
      <c r="E59" s="353">
        <f t="shared" si="0"/>
        <v>429066872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20042687</v>
      </c>
      <c r="D60" s="356">
        <f t="shared" si="0"/>
        <v>21545398</v>
      </c>
      <c r="E60" s="356">
        <f t="shared" si="0"/>
        <v>21770876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377468335</v>
      </c>
      <c r="D61" s="353">
        <f>+D59-D60</f>
        <v>417878692</v>
      </c>
      <c r="E61" s="353">
        <f>+E59-E60</f>
        <v>407295996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42.19015859361955</v>
      </c>
      <c r="D65" s="357">
        <f>IF(D67=0,0,(D66/D67)*100)</f>
        <v>34.171539743287425</v>
      </c>
      <c r="E65" s="357">
        <f>IF(E67=0,0,(E66/E67)*100)</f>
        <v>53.594901487955106</v>
      </c>
    </row>
    <row r="66" spans="1:5" ht="24" customHeight="1" x14ac:dyDescent="0.2">
      <c r="A66" s="339">
        <v>2</v>
      </c>
      <c r="B66" s="340" t="s">
        <v>67</v>
      </c>
      <c r="C66" s="353">
        <f>+C32</f>
        <v>196058904</v>
      </c>
      <c r="D66" s="353">
        <f>+D32</f>
        <v>165850149</v>
      </c>
      <c r="E66" s="353">
        <f>+E32</f>
        <v>270558323</v>
      </c>
    </row>
    <row r="67" spans="1:5" ht="24" customHeight="1" x14ac:dyDescent="0.2">
      <c r="A67" s="339">
        <v>3</v>
      </c>
      <c r="B67" s="340" t="s">
        <v>43</v>
      </c>
      <c r="C67" s="353">
        <v>464702932</v>
      </c>
      <c r="D67" s="353">
        <v>485345847</v>
      </c>
      <c r="E67" s="353">
        <v>504821010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54.420459930066947</v>
      </c>
      <c r="D69" s="357">
        <f>IF(D75=0,0,(D72/D75)*100)</f>
        <v>65.466895264778955</v>
      </c>
      <c r="E69" s="357">
        <f>IF(E75=0,0,(E72/E75)*100)</f>
        <v>59.411982801225264</v>
      </c>
    </row>
    <row r="70" spans="1:5" ht="24" customHeight="1" x14ac:dyDescent="0.2">
      <c r="A70" s="339">
        <v>5</v>
      </c>
      <c r="B70" s="340" t="s">
        <v>366</v>
      </c>
      <c r="C70" s="353">
        <f>+C28</f>
        <v>31497846</v>
      </c>
      <c r="D70" s="353">
        <f>+D28</f>
        <v>37821290</v>
      </c>
      <c r="E70" s="353">
        <f>+E28</f>
        <v>24661100</v>
      </c>
    </row>
    <row r="71" spans="1:5" ht="24" customHeight="1" x14ac:dyDescent="0.2">
      <c r="A71" s="339">
        <v>6</v>
      </c>
      <c r="B71" s="340" t="s">
        <v>356</v>
      </c>
      <c r="C71" s="356">
        <f>+C47</f>
        <v>20042687</v>
      </c>
      <c r="D71" s="356">
        <f>+D47</f>
        <v>21545398</v>
      </c>
      <c r="E71" s="356">
        <f>+E47</f>
        <v>21770876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51540533</v>
      </c>
      <c r="D72" s="353">
        <f>+D70+D71</f>
        <v>59366688</v>
      </c>
      <c r="E72" s="353">
        <f>+E70+E71</f>
        <v>46431976</v>
      </c>
    </row>
    <row r="73" spans="1:5" ht="24" customHeight="1" x14ac:dyDescent="0.2">
      <c r="A73" s="339">
        <v>8</v>
      </c>
      <c r="B73" s="340" t="s">
        <v>54</v>
      </c>
      <c r="C73" s="341">
        <f>+C40</f>
        <v>91067642</v>
      </c>
      <c r="D73" s="341">
        <f>+D40</f>
        <v>89314256</v>
      </c>
      <c r="E73" s="341">
        <f>+E40</f>
        <v>77499547</v>
      </c>
    </row>
    <row r="74" spans="1:5" ht="24" customHeight="1" x14ac:dyDescent="0.2">
      <c r="A74" s="339">
        <v>9</v>
      </c>
      <c r="B74" s="340" t="s">
        <v>58</v>
      </c>
      <c r="C74" s="353">
        <v>3640365</v>
      </c>
      <c r="D74" s="353">
        <v>1367741</v>
      </c>
      <c r="E74" s="353">
        <v>652997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94708007</v>
      </c>
      <c r="D75" s="341">
        <f>+D73+D74</f>
        <v>90681997</v>
      </c>
      <c r="E75" s="341">
        <f>+E73+E74</f>
        <v>78152544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1.8229235481077299</v>
      </c>
      <c r="D77" s="359">
        <f>IF(D80=0,0,(D78/D80)*100)</f>
        <v>0.81793939631698498</v>
      </c>
      <c r="E77" s="359">
        <f>IF(E80=0,0,(E78/E80)*100)</f>
        <v>0.24077055485737098</v>
      </c>
    </row>
    <row r="78" spans="1:5" ht="24" customHeight="1" x14ac:dyDescent="0.2">
      <c r="A78" s="339">
        <v>12</v>
      </c>
      <c r="B78" s="340" t="s">
        <v>58</v>
      </c>
      <c r="C78" s="341">
        <f>+C74</f>
        <v>3640365</v>
      </c>
      <c r="D78" s="341">
        <f>+D74</f>
        <v>1367741</v>
      </c>
      <c r="E78" s="341">
        <f>+E74</f>
        <v>652997</v>
      </c>
    </row>
    <row r="79" spans="1:5" ht="24" customHeight="1" x14ac:dyDescent="0.2">
      <c r="A79" s="339">
        <v>13</v>
      </c>
      <c r="B79" s="340" t="s">
        <v>67</v>
      </c>
      <c r="C79" s="341">
        <f>+C32</f>
        <v>196058904</v>
      </c>
      <c r="D79" s="341">
        <f>+D32</f>
        <v>165850149</v>
      </c>
      <c r="E79" s="341">
        <f>+E32</f>
        <v>270558323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199699269</v>
      </c>
      <c r="D80" s="341">
        <f>+D78+D79</f>
        <v>167217890</v>
      </c>
      <c r="E80" s="341">
        <f>+E78+E79</f>
        <v>271211320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51024</v>
      </c>
      <c r="D11" s="376">
        <v>13540</v>
      </c>
      <c r="E11" s="376">
        <v>13508</v>
      </c>
      <c r="F11" s="377">
        <v>187</v>
      </c>
      <c r="G11" s="377">
        <v>251</v>
      </c>
      <c r="H11" s="378">
        <f>IF(F11=0,0,$C11/(F11*365))</f>
        <v>0.74754963006373154</v>
      </c>
      <c r="I11" s="378">
        <f>IF(G11=0,0,$C11/(G11*365))</f>
        <v>0.55693936582437376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6594</v>
      </c>
      <c r="D13" s="376">
        <v>1954</v>
      </c>
      <c r="E13" s="376">
        <v>0</v>
      </c>
      <c r="F13" s="377">
        <v>24</v>
      </c>
      <c r="G13" s="377">
        <v>24</v>
      </c>
      <c r="H13" s="378">
        <f>IF(F13=0,0,$C13/(F13*365))</f>
        <v>0.75273972602739725</v>
      </c>
      <c r="I13" s="378">
        <f>IF(G13=0,0,$C13/(G13*365))</f>
        <v>0.75273972602739725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7153</v>
      </c>
      <c r="D16" s="376">
        <v>751</v>
      </c>
      <c r="E16" s="376">
        <v>755</v>
      </c>
      <c r="F16" s="377">
        <v>22</v>
      </c>
      <c r="G16" s="377">
        <v>24</v>
      </c>
      <c r="H16" s="378">
        <f t="shared" si="0"/>
        <v>0.89078455790784561</v>
      </c>
      <c r="I16" s="378">
        <f t="shared" si="0"/>
        <v>0.8165525114155251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7153</v>
      </c>
      <c r="D17" s="381">
        <f>SUM(D15:D16)</f>
        <v>751</v>
      </c>
      <c r="E17" s="381">
        <f>SUM(E15:E16)</f>
        <v>755</v>
      </c>
      <c r="F17" s="381">
        <f>SUM(F15:F16)</f>
        <v>22</v>
      </c>
      <c r="G17" s="381">
        <f>SUM(G15:G16)</f>
        <v>24</v>
      </c>
      <c r="H17" s="382">
        <f t="shared" si="0"/>
        <v>0.89078455790784561</v>
      </c>
      <c r="I17" s="382">
        <f t="shared" si="0"/>
        <v>0.8165525114155251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4586</v>
      </c>
      <c r="D21" s="376">
        <v>1670</v>
      </c>
      <c r="E21" s="376">
        <v>1677</v>
      </c>
      <c r="F21" s="377">
        <v>25</v>
      </c>
      <c r="G21" s="377">
        <v>27</v>
      </c>
      <c r="H21" s="378">
        <f>IF(F21=0,0,$C21/(F21*365))</f>
        <v>0.50257534246575342</v>
      </c>
      <c r="I21" s="378">
        <f>IF(G21=0,0,$C21/(G21*365))</f>
        <v>0.46534753932014206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3398</v>
      </c>
      <c r="D23" s="376">
        <v>1308</v>
      </c>
      <c r="E23" s="376">
        <v>1321</v>
      </c>
      <c r="F23" s="377">
        <v>20</v>
      </c>
      <c r="G23" s="377">
        <v>20</v>
      </c>
      <c r="H23" s="378">
        <f>IF(F23=0,0,$C23/(F23*365))</f>
        <v>0.46547945205479452</v>
      </c>
      <c r="I23" s="378">
        <f>IF(G23=0,0,$C23/(G23*365))</f>
        <v>0.46547945205479452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1923</v>
      </c>
      <c r="D25" s="376">
        <v>264</v>
      </c>
      <c r="E25" s="376">
        <v>0</v>
      </c>
      <c r="F25" s="377">
        <v>12</v>
      </c>
      <c r="G25" s="377">
        <v>12</v>
      </c>
      <c r="H25" s="378">
        <f>IF(F25=0,0,$C25/(F25*365))</f>
        <v>0.43904109589041096</v>
      </c>
      <c r="I25" s="378">
        <f>IF(G25=0,0,$C25/(G25*365))</f>
        <v>0.43904109589041096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789</v>
      </c>
      <c r="D27" s="376">
        <v>374</v>
      </c>
      <c r="E27" s="376">
        <v>270</v>
      </c>
      <c r="F27" s="377">
        <v>14</v>
      </c>
      <c r="G27" s="377">
        <v>15</v>
      </c>
      <c r="H27" s="378">
        <f>IF(F27=0,0,$C27/(F27*365))</f>
        <v>0.15440313111545989</v>
      </c>
      <c r="I27" s="378">
        <f>IF(G27=0,0,$C27/(G27*365))</f>
        <v>0.14410958904109589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72069</v>
      </c>
      <c r="D31" s="384">
        <f>SUM(D10:D29)-D13-D17-D23</f>
        <v>16599</v>
      </c>
      <c r="E31" s="384">
        <f>SUM(E10:E29)-E17-E23</f>
        <v>16210</v>
      </c>
      <c r="F31" s="384">
        <f>SUM(F10:F29)-F17-F23</f>
        <v>284</v>
      </c>
      <c r="G31" s="384">
        <f>SUM(G10:G29)-G17-G23</f>
        <v>353</v>
      </c>
      <c r="H31" s="385">
        <f>IF(F31=0,0,$C31/(F31*365))</f>
        <v>0.69524406714258147</v>
      </c>
      <c r="I31" s="385">
        <f>IF(G31=0,0,$C31/(G31*365))</f>
        <v>0.55934650161046218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75467</v>
      </c>
      <c r="D33" s="384">
        <f>SUM(D10:D29)-D13-D17</f>
        <v>17907</v>
      </c>
      <c r="E33" s="384">
        <f>SUM(E10:E29)-E17</f>
        <v>17531</v>
      </c>
      <c r="F33" s="384">
        <f>SUM(F10:F29)-F17</f>
        <v>304</v>
      </c>
      <c r="G33" s="384">
        <f>SUM(G10:G29)-G17</f>
        <v>373</v>
      </c>
      <c r="H33" s="385">
        <f>IF(F33=0,0,$C33/(F33*365))</f>
        <v>0.68012797404470082</v>
      </c>
      <c r="I33" s="385">
        <f>IF(G33=0,0,$C33/(G33*365))</f>
        <v>0.55431341584340221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75467</v>
      </c>
      <c r="D36" s="384">
        <f t="shared" si="1"/>
        <v>17907</v>
      </c>
      <c r="E36" s="384">
        <f t="shared" si="1"/>
        <v>17531</v>
      </c>
      <c r="F36" s="384">
        <f t="shared" si="1"/>
        <v>304</v>
      </c>
      <c r="G36" s="384">
        <f t="shared" si="1"/>
        <v>373</v>
      </c>
      <c r="H36" s="387">
        <f t="shared" si="1"/>
        <v>0.68012797404470082</v>
      </c>
      <c r="I36" s="387">
        <f t="shared" si="1"/>
        <v>0.55431341584340221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76771</v>
      </c>
      <c r="D37" s="384">
        <v>18252</v>
      </c>
      <c r="E37" s="384">
        <v>17963</v>
      </c>
      <c r="F37" s="386">
        <v>356</v>
      </c>
      <c r="G37" s="386">
        <v>383</v>
      </c>
      <c r="H37" s="385">
        <f>IF(F37=0,0,$C37/(F37*365))</f>
        <v>0.5908188394643682</v>
      </c>
      <c r="I37" s="385">
        <f>IF(G37=0,0,$C37/(G37*365))</f>
        <v>0.54916842519403408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-1304</v>
      </c>
      <c r="D38" s="384">
        <f t="shared" si="2"/>
        <v>-345</v>
      </c>
      <c r="E38" s="384">
        <f t="shared" si="2"/>
        <v>-432</v>
      </c>
      <c r="F38" s="384">
        <f t="shared" si="2"/>
        <v>-52</v>
      </c>
      <c r="G38" s="384">
        <f t="shared" si="2"/>
        <v>-10</v>
      </c>
      <c r="H38" s="387">
        <f t="shared" si="2"/>
        <v>8.9309134580332628E-2</v>
      </c>
      <c r="I38" s="387">
        <f t="shared" si="2"/>
        <v>5.1449906493681308E-3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-1.6985580492633937E-2</v>
      </c>
      <c r="D40" s="389">
        <f t="shared" si="3"/>
        <v>-1.8902038132807365E-2</v>
      </c>
      <c r="E40" s="389">
        <f t="shared" si="3"/>
        <v>-2.4049434949618659E-2</v>
      </c>
      <c r="F40" s="389">
        <f t="shared" si="3"/>
        <v>-0.14606741573033707</v>
      </c>
      <c r="G40" s="389">
        <f t="shared" si="3"/>
        <v>-2.6109660574412531E-2</v>
      </c>
      <c r="H40" s="389">
        <f t="shared" si="3"/>
        <v>0.15116162284415235</v>
      </c>
      <c r="I40" s="389">
        <f t="shared" si="3"/>
        <v>9.3686934887967834E-3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446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7073</v>
      </c>
      <c r="D12" s="409">
        <v>7622</v>
      </c>
      <c r="E12" s="409">
        <f>+D12-C12</f>
        <v>549</v>
      </c>
      <c r="F12" s="410">
        <f>IF(C12=0,0,+E12/C12)</f>
        <v>7.7619114944153828E-2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6740</v>
      </c>
      <c r="D13" s="409">
        <v>7041</v>
      </c>
      <c r="E13" s="409">
        <f>+D13-C13</f>
        <v>301</v>
      </c>
      <c r="F13" s="410">
        <f>IF(C13=0,0,+E13/C13)</f>
        <v>4.4658753709198813E-2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12844</v>
      </c>
      <c r="D14" s="409">
        <v>13462</v>
      </c>
      <c r="E14" s="409">
        <f>+D14-C14</f>
        <v>618</v>
      </c>
      <c r="F14" s="410">
        <f>IF(C14=0,0,+E14/C14)</f>
        <v>4.8115851759576458E-2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26657</v>
      </c>
      <c r="D16" s="401">
        <f>SUM(D12:D15)</f>
        <v>28125</v>
      </c>
      <c r="E16" s="401">
        <f>+D16-C16</f>
        <v>1468</v>
      </c>
      <c r="F16" s="402">
        <f>IF(C16=0,0,+E16/C16)</f>
        <v>5.5069962861537307E-2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320</v>
      </c>
      <c r="D19" s="409">
        <v>242</v>
      </c>
      <c r="E19" s="409">
        <f>+D19-C19</f>
        <v>-78</v>
      </c>
      <c r="F19" s="410">
        <f>IF(C19=0,0,+E19/C19)</f>
        <v>-0.24374999999999999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3563</v>
      </c>
      <c r="D20" s="409">
        <v>3404</v>
      </c>
      <c r="E20" s="409">
        <f>+D20-C20</f>
        <v>-159</v>
      </c>
      <c r="F20" s="410">
        <f>IF(C20=0,0,+E20/C20)</f>
        <v>-4.4625315745158572E-2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52</v>
      </c>
      <c r="D21" s="409">
        <v>88</v>
      </c>
      <c r="E21" s="409">
        <f>+D21-C21</f>
        <v>36</v>
      </c>
      <c r="F21" s="410">
        <f>IF(C21=0,0,+E21/C21)</f>
        <v>0.69230769230769229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4171</v>
      </c>
      <c r="D22" s="409">
        <v>4138</v>
      </c>
      <c r="E22" s="409">
        <f>+D22-C22</f>
        <v>-33</v>
      </c>
      <c r="F22" s="410">
        <f>IF(C22=0,0,+E22/C22)</f>
        <v>-7.911771757372333E-3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8106</v>
      </c>
      <c r="D23" s="401">
        <f>SUM(D19:D22)</f>
        <v>7872</v>
      </c>
      <c r="E23" s="401">
        <f>+D23-C23</f>
        <v>-234</v>
      </c>
      <c r="F23" s="402">
        <f>IF(C23=0,0,+E23/C23)</f>
        <v>-2.8867505551443375E-2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26</v>
      </c>
      <c r="D33" s="409">
        <v>41</v>
      </c>
      <c r="E33" s="409">
        <f>+D33-C33</f>
        <v>15</v>
      </c>
      <c r="F33" s="410">
        <f>IF(C33=0,0,+E33/C33)</f>
        <v>0.57692307692307687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314</v>
      </c>
      <c r="D34" s="409">
        <v>365</v>
      </c>
      <c r="E34" s="409">
        <f>+D34-C34</f>
        <v>51</v>
      </c>
      <c r="F34" s="410">
        <f>IF(C34=0,0,+E34/C34)</f>
        <v>0.16242038216560509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340</v>
      </c>
      <c r="D37" s="401">
        <f>SUM(D33:D36)</f>
        <v>406</v>
      </c>
      <c r="E37" s="401">
        <f>+D37-C37</f>
        <v>66</v>
      </c>
      <c r="F37" s="402">
        <f>IF(C37=0,0,+E37/C37)</f>
        <v>0.19411764705882353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282</v>
      </c>
      <c r="D43" s="409">
        <v>260</v>
      </c>
      <c r="E43" s="409">
        <f>+D43-C43</f>
        <v>-22</v>
      </c>
      <c r="F43" s="410">
        <f>IF(C43=0,0,+E43/C43)</f>
        <v>-7.8014184397163122E-2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6767</v>
      </c>
      <c r="D44" s="409">
        <v>6440</v>
      </c>
      <c r="E44" s="409">
        <f>+D44-C44</f>
        <v>-327</v>
      </c>
      <c r="F44" s="410">
        <f>IF(C44=0,0,+E44/C44)</f>
        <v>-4.83227427220334E-2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7049</v>
      </c>
      <c r="D45" s="401">
        <f>SUM(D43:D44)</f>
        <v>6700</v>
      </c>
      <c r="E45" s="401">
        <f>+D45-C45</f>
        <v>-349</v>
      </c>
      <c r="F45" s="402">
        <f>IF(C45=0,0,+E45/C45)</f>
        <v>-4.951056887501773E-2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294</v>
      </c>
      <c r="D48" s="409">
        <v>347</v>
      </c>
      <c r="E48" s="409">
        <f>+D48-C48</f>
        <v>53</v>
      </c>
      <c r="F48" s="410">
        <f>IF(C48=0,0,+E48/C48)</f>
        <v>0.18027210884353742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279</v>
      </c>
      <c r="D49" s="409">
        <v>192</v>
      </c>
      <c r="E49" s="409">
        <f>+D49-C49</f>
        <v>-87</v>
      </c>
      <c r="F49" s="410">
        <f>IF(C49=0,0,+E49/C49)</f>
        <v>-0.31182795698924731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573</v>
      </c>
      <c r="D50" s="401">
        <f>SUM(D48:D49)</f>
        <v>539</v>
      </c>
      <c r="E50" s="401">
        <f>+D50-C50</f>
        <v>-34</v>
      </c>
      <c r="F50" s="402">
        <f>IF(C50=0,0,+E50/C50)</f>
        <v>-5.9336823734729496E-2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73</v>
      </c>
      <c r="D53" s="409">
        <v>80</v>
      </c>
      <c r="E53" s="409">
        <f>+D53-C53</f>
        <v>7</v>
      </c>
      <c r="F53" s="410">
        <f>IF(C53=0,0,+E53/C53)</f>
        <v>9.5890410958904104E-2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73</v>
      </c>
      <c r="D55" s="401">
        <f>SUM(D53:D54)</f>
        <v>80</v>
      </c>
      <c r="E55" s="401">
        <f>+D55-C55</f>
        <v>7</v>
      </c>
      <c r="F55" s="402">
        <f>IF(C55=0,0,+E55/C55)</f>
        <v>9.5890410958904104E-2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3659</v>
      </c>
      <c r="D63" s="409">
        <v>3434</v>
      </c>
      <c r="E63" s="409">
        <f>+D63-C63</f>
        <v>-225</v>
      </c>
      <c r="F63" s="410">
        <f>IF(C63=0,0,+E63/C63)</f>
        <v>-6.1492210986608363E-2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8014</v>
      </c>
      <c r="D64" s="409">
        <v>7319</v>
      </c>
      <c r="E64" s="409">
        <f>+D64-C64</f>
        <v>-695</v>
      </c>
      <c r="F64" s="410">
        <f>IF(C64=0,0,+E64/C64)</f>
        <v>-8.672323433990517E-2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11673</v>
      </c>
      <c r="D65" s="401">
        <f>SUM(D63:D64)</f>
        <v>10753</v>
      </c>
      <c r="E65" s="401">
        <f>+D65-C65</f>
        <v>-920</v>
      </c>
      <c r="F65" s="402">
        <f>IF(C65=0,0,+E65/C65)</f>
        <v>-7.8814357919986297E-2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1256</v>
      </c>
      <c r="D68" s="409">
        <v>1161</v>
      </c>
      <c r="E68" s="409">
        <f>+D68-C68</f>
        <v>-95</v>
      </c>
      <c r="F68" s="410">
        <f>IF(C68=0,0,+E68/C68)</f>
        <v>-7.5636942675159233E-2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6444</v>
      </c>
      <c r="D69" s="409">
        <v>6195</v>
      </c>
      <c r="E69" s="409">
        <f>+D69-C69</f>
        <v>-249</v>
      </c>
      <c r="F69" s="412">
        <f>IF(C69=0,0,+E69/C69)</f>
        <v>-3.8640595903165736E-2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7700</v>
      </c>
      <c r="D70" s="401">
        <f>SUM(D68:D69)</f>
        <v>7356</v>
      </c>
      <c r="E70" s="401">
        <f>+D70-C70</f>
        <v>-344</v>
      </c>
      <c r="F70" s="402">
        <f>IF(C70=0,0,+E70/C70)</f>
        <v>-4.4675324675324674E-2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14064</v>
      </c>
      <c r="D73" s="376">
        <v>14470</v>
      </c>
      <c r="E73" s="409">
        <f>+D73-C73</f>
        <v>406</v>
      </c>
      <c r="F73" s="410">
        <f>IF(C73=0,0,+E73/C73)</f>
        <v>2.8868031854379979E-2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96434</v>
      </c>
      <c r="D74" s="376">
        <v>92594</v>
      </c>
      <c r="E74" s="409">
        <f>+D74-C74</f>
        <v>-3840</v>
      </c>
      <c r="F74" s="410">
        <f>IF(C74=0,0,+E74/C74)</f>
        <v>-3.9819980504801213E-2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110498</v>
      </c>
      <c r="D75" s="401">
        <f>SUM(D73:D74)</f>
        <v>107064</v>
      </c>
      <c r="E75" s="401">
        <f>SUM(E73:E74)</f>
        <v>-3434</v>
      </c>
      <c r="F75" s="402">
        <f>IF(C75=0,0,+E75/C75)</f>
        <v>-3.1077485565349599E-2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20696</v>
      </c>
      <c r="D79" s="376">
        <v>26574</v>
      </c>
      <c r="E79" s="409">
        <f t="shared" ref="E79:E92" si="0">+D79-C79</f>
        <v>5878</v>
      </c>
      <c r="F79" s="410">
        <f t="shared" ref="F79:F92" si="1">IF(C79=0,0,+E79/C79)</f>
        <v>0.28401623502126017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65702</v>
      </c>
      <c r="D81" s="376">
        <v>63694</v>
      </c>
      <c r="E81" s="409">
        <f t="shared" si="0"/>
        <v>-2008</v>
      </c>
      <c r="F81" s="410">
        <f t="shared" si="1"/>
        <v>-3.0562235548385133E-2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4824</v>
      </c>
      <c r="D82" s="376">
        <v>0</v>
      </c>
      <c r="E82" s="409">
        <f t="shared" si="0"/>
        <v>-4824</v>
      </c>
      <c r="F82" s="410">
        <f t="shared" si="1"/>
        <v>-1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5593</v>
      </c>
      <c r="E83" s="409">
        <f t="shared" si="0"/>
        <v>5593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19508</v>
      </c>
      <c r="D87" s="376">
        <v>0</v>
      </c>
      <c r="E87" s="409">
        <f t="shared" si="0"/>
        <v>-19508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17290</v>
      </c>
      <c r="E91" s="409">
        <f t="shared" si="0"/>
        <v>17290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110730</v>
      </c>
      <c r="D92" s="381">
        <f>SUM(D79:D91)</f>
        <v>113151</v>
      </c>
      <c r="E92" s="401">
        <f t="shared" si="0"/>
        <v>2421</v>
      </c>
      <c r="F92" s="402">
        <f t="shared" si="1"/>
        <v>2.1863993497697101E-2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21774</v>
      </c>
      <c r="D95" s="414">
        <v>23654</v>
      </c>
      <c r="E95" s="415">
        <f t="shared" ref="E95:E100" si="2">+D95-C95</f>
        <v>1880</v>
      </c>
      <c r="F95" s="412">
        <f t="shared" ref="F95:F100" si="3">IF(C95=0,0,+E95/C95)</f>
        <v>8.6341508220813809E-2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5240</v>
      </c>
      <c r="D96" s="414">
        <v>5927</v>
      </c>
      <c r="E96" s="409">
        <f t="shared" si="2"/>
        <v>687</v>
      </c>
      <c r="F96" s="410">
        <f t="shared" si="3"/>
        <v>0.13110687022900763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3907</v>
      </c>
      <c r="D97" s="414">
        <v>3697</v>
      </c>
      <c r="E97" s="409">
        <f t="shared" si="2"/>
        <v>-210</v>
      </c>
      <c r="F97" s="410">
        <f t="shared" si="3"/>
        <v>-5.3749680061428204E-2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345</v>
      </c>
      <c r="D98" s="414">
        <v>356</v>
      </c>
      <c r="E98" s="409">
        <f t="shared" si="2"/>
        <v>11</v>
      </c>
      <c r="F98" s="410">
        <f t="shared" si="3"/>
        <v>3.1884057971014491E-2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31384</v>
      </c>
      <c r="D99" s="414">
        <v>28157</v>
      </c>
      <c r="E99" s="409">
        <f t="shared" si="2"/>
        <v>-3227</v>
      </c>
      <c r="F99" s="410">
        <f t="shared" si="3"/>
        <v>-0.10282309457048178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62650</v>
      </c>
      <c r="D100" s="381">
        <f>SUM(D95:D99)</f>
        <v>61791</v>
      </c>
      <c r="E100" s="401">
        <f t="shared" si="2"/>
        <v>-859</v>
      </c>
      <c r="F100" s="402">
        <f t="shared" si="3"/>
        <v>-1.3711093375897845E-2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617.4</v>
      </c>
      <c r="D104" s="416">
        <v>638.29999999999995</v>
      </c>
      <c r="E104" s="417">
        <f>+D104-C104</f>
        <v>20.899999999999977</v>
      </c>
      <c r="F104" s="410">
        <f>IF(C104=0,0,+E104/C104)</f>
        <v>3.3851635892452187E-2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122.2</v>
      </c>
      <c r="D105" s="416">
        <v>126.4</v>
      </c>
      <c r="E105" s="417">
        <f>+D105-C105</f>
        <v>4.2000000000000028</v>
      </c>
      <c r="F105" s="410">
        <f>IF(C105=0,0,+E105/C105)</f>
        <v>3.436988543371524E-2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1559.9</v>
      </c>
      <c r="D106" s="416">
        <v>1508.2</v>
      </c>
      <c r="E106" s="417">
        <f>+D106-C106</f>
        <v>-51.700000000000045</v>
      </c>
      <c r="F106" s="410">
        <f>IF(C106=0,0,+E106/C106)</f>
        <v>-3.3143150201936047E-2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2299.5</v>
      </c>
      <c r="D107" s="418">
        <f>SUM(D104:D106)</f>
        <v>2272.9</v>
      </c>
      <c r="E107" s="418">
        <f>+D107-C107</f>
        <v>-26.599999999999909</v>
      </c>
      <c r="F107" s="402">
        <f>IF(C107=0,0,+E107/C107)</f>
        <v>-1.1567732115677281E-2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8014</v>
      </c>
      <c r="D12" s="409">
        <v>7319</v>
      </c>
      <c r="E12" s="409">
        <f>+D12-C12</f>
        <v>-695</v>
      </c>
      <c r="F12" s="410">
        <f>IF(C12=0,0,+E12/C12)</f>
        <v>-8.672323433990517E-2</v>
      </c>
    </row>
    <row r="13" spans="1:6" ht="15.75" customHeight="1" x14ac:dyDescent="0.25">
      <c r="A13" s="374"/>
      <c r="B13" s="399" t="s">
        <v>622</v>
      </c>
      <c r="C13" s="401">
        <f>SUM(C11:C12)</f>
        <v>8014</v>
      </c>
      <c r="D13" s="401">
        <f>SUM(D11:D12)</f>
        <v>7319</v>
      </c>
      <c r="E13" s="401">
        <f>+D13-C13</f>
        <v>-695</v>
      </c>
      <c r="F13" s="402">
        <f>IF(C13=0,0,+E13/C13)</f>
        <v>-8.672323433990517E-2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6444</v>
      </c>
      <c r="D16" s="409">
        <v>6195</v>
      </c>
      <c r="E16" s="409">
        <f>+D16-C16</f>
        <v>-249</v>
      </c>
      <c r="F16" s="410">
        <f>IF(C16=0,0,+E16/C16)</f>
        <v>-3.8640595903165736E-2</v>
      </c>
    </row>
    <row r="17" spans="1:6" ht="15.75" customHeight="1" x14ac:dyDescent="0.25">
      <c r="A17" s="374"/>
      <c r="B17" s="399" t="s">
        <v>623</v>
      </c>
      <c r="C17" s="401">
        <f>SUM(C15:C16)</f>
        <v>6444</v>
      </c>
      <c r="D17" s="401">
        <f>SUM(D15:D16)</f>
        <v>6195</v>
      </c>
      <c r="E17" s="401">
        <f>+D17-C17</f>
        <v>-249</v>
      </c>
      <c r="F17" s="402">
        <f>IF(C17=0,0,+E17/C17)</f>
        <v>-3.8640595903165736E-2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96434</v>
      </c>
      <c r="D20" s="409">
        <v>92594</v>
      </c>
      <c r="E20" s="409">
        <f>+D20-C20</f>
        <v>-3840</v>
      </c>
      <c r="F20" s="410">
        <f>IF(C20=0,0,+E20/C20)</f>
        <v>-3.9819980504801213E-2</v>
      </c>
    </row>
    <row r="21" spans="1:6" ht="15.75" customHeight="1" x14ac:dyDescent="0.25">
      <c r="A21" s="374"/>
      <c r="B21" s="399" t="s">
        <v>625</v>
      </c>
      <c r="C21" s="401">
        <f>SUM(C19:C20)</f>
        <v>96434</v>
      </c>
      <c r="D21" s="401">
        <f>SUM(D19:D20)</f>
        <v>92594</v>
      </c>
      <c r="E21" s="401">
        <f>+D21-C21</f>
        <v>-3840</v>
      </c>
      <c r="F21" s="402">
        <f>IF(C21=0,0,+E21/C21)</f>
        <v>-3.9819980504801213E-2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626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235878746</v>
      </c>
      <c r="D15" s="448">
        <v>241612322</v>
      </c>
      <c r="E15" s="448">
        <f t="shared" ref="E15:E24" si="0">D15-C15</f>
        <v>5733576</v>
      </c>
      <c r="F15" s="449">
        <f t="shared" ref="F15:F24" si="1">IF(C15=0,0,E15/C15)</f>
        <v>2.4307302362884361E-2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100610285</v>
      </c>
      <c r="D16" s="448">
        <v>105254290</v>
      </c>
      <c r="E16" s="448">
        <f t="shared" si="0"/>
        <v>4644005</v>
      </c>
      <c r="F16" s="449">
        <f t="shared" si="1"/>
        <v>4.6158352498454805E-2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0.42653391501411492</v>
      </c>
      <c r="D17" s="453">
        <f>IF(LN_IA1=0,0,LN_IA2/LN_IA1)</f>
        <v>0.43563295583906519</v>
      </c>
      <c r="E17" s="454">
        <f t="shared" si="0"/>
        <v>9.0990408249502774E-3</v>
      </c>
      <c r="F17" s="449">
        <f t="shared" si="1"/>
        <v>2.1332514261261429E-2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8524</v>
      </c>
      <c r="D18" s="456">
        <v>8464</v>
      </c>
      <c r="E18" s="456">
        <f t="shared" si="0"/>
        <v>-60</v>
      </c>
      <c r="F18" s="449">
        <f t="shared" si="1"/>
        <v>-7.0389488503050214E-3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1.3797999999999999</v>
      </c>
      <c r="D19" s="459">
        <v>1.4821200000000001</v>
      </c>
      <c r="E19" s="460">
        <f t="shared" si="0"/>
        <v>0.10232000000000019</v>
      </c>
      <c r="F19" s="449">
        <f t="shared" si="1"/>
        <v>7.4155674735469052E-2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11761.415199999999</v>
      </c>
      <c r="D20" s="463">
        <f>LN_IA4*LN_IA5</f>
        <v>12544.663680000001</v>
      </c>
      <c r="E20" s="463">
        <f t="shared" si="0"/>
        <v>783.24848000000202</v>
      </c>
      <c r="F20" s="449">
        <f t="shared" si="1"/>
        <v>6.6594747883741243E-2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8554.2669218921892</v>
      </c>
      <c r="D21" s="465">
        <f>IF(LN_IA6=0,0,LN_IA2/LN_IA6)</f>
        <v>8390.3636386687085</v>
      </c>
      <c r="E21" s="465">
        <f t="shared" si="0"/>
        <v>-163.90328322348068</v>
      </c>
      <c r="F21" s="449">
        <f t="shared" si="1"/>
        <v>-1.9160412542659537E-2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41020</v>
      </c>
      <c r="D22" s="456">
        <v>40770</v>
      </c>
      <c r="E22" s="456">
        <f t="shared" si="0"/>
        <v>-250</v>
      </c>
      <c r="F22" s="449">
        <f t="shared" si="1"/>
        <v>-6.0945880058508048E-3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2452.7129449049244</v>
      </c>
      <c r="D23" s="465">
        <f>IF(LN_IA8=0,0,LN_IA2/LN_IA8)</f>
        <v>2581.6602894285015</v>
      </c>
      <c r="E23" s="465">
        <f t="shared" si="0"/>
        <v>128.94734452357716</v>
      </c>
      <c r="F23" s="449">
        <f t="shared" si="1"/>
        <v>5.2573353433569295E-2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4.8122946973251999</v>
      </c>
      <c r="D24" s="466">
        <f>IF(LN_IA4=0,0,LN_IA8/LN_IA4)</f>
        <v>4.8168714555765595</v>
      </c>
      <c r="E24" s="466">
        <f t="shared" si="0"/>
        <v>4.5767582513596139E-3</v>
      </c>
      <c r="F24" s="449">
        <f t="shared" si="1"/>
        <v>9.5105527388077388E-4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150377303</v>
      </c>
      <c r="D27" s="448">
        <v>160031674</v>
      </c>
      <c r="E27" s="448">
        <f t="shared" ref="E27:E32" si="2">D27-C27</f>
        <v>9654371</v>
      </c>
      <c r="F27" s="449">
        <f t="shared" ref="F27:F32" si="3">IF(C27=0,0,E27/C27)</f>
        <v>6.4200985171279465E-2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40063849</v>
      </c>
      <c r="D28" s="448">
        <v>35438934</v>
      </c>
      <c r="E28" s="448">
        <f t="shared" si="2"/>
        <v>-4624915</v>
      </c>
      <c r="F28" s="449">
        <f t="shared" si="3"/>
        <v>-0.11543860900633886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0.26642218074625262</v>
      </c>
      <c r="D29" s="453">
        <f>IF(LN_IA11=0,0,LN_IA12/LN_IA11)</f>
        <v>0.2214494988035931</v>
      </c>
      <c r="E29" s="454">
        <f t="shared" si="2"/>
        <v>-4.497268194265952E-2</v>
      </c>
      <c r="F29" s="449">
        <f t="shared" si="3"/>
        <v>-0.16880231899870479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0.63751951182579203</v>
      </c>
      <c r="D30" s="453">
        <f>IF(LN_IA1=0,0,LN_IA11/LN_IA1)</f>
        <v>0.6623489757281501</v>
      </c>
      <c r="E30" s="454">
        <f t="shared" si="2"/>
        <v>2.4829463902358073E-2</v>
      </c>
      <c r="F30" s="449">
        <f t="shared" si="3"/>
        <v>3.8946986628297812E-2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5434.2163188030509</v>
      </c>
      <c r="D31" s="463">
        <f>LN_IA14*LN_IA4</f>
        <v>5606.1217305630626</v>
      </c>
      <c r="E31" s="463">
        <f t="shared" si="2"/>
        <v>171.9054117600117</v>
      </c>
      <c r="F31" s="449">
        <f t="shared" si="3"/>
        <v>3.1633891931242789E-2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7372.5164126010586</v>
      </c>
      <c r="D32" s="465">
        <f>IF(LN_IA15=0,0,LN_IA12/LN_IA15)</f>
        <v>6321.4706535529722</v>
      </c>
      <c r="E32" s="465">
        <f t="shared" si="2"/>
        <v>-1051.0457590480864</v>
      </c>
      <c r="F32" s="449">
        <f t="shared" si="3"/>
        <v>-0.14256268826362267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386256049</v>
      </c>
      <c r="D35" s="448">
        <f>LN_IA1+LN_IA11</f>
        <v>401643996</v>
      </c>
      <c r="E35" s="448">
        <f>D35-C35</f>
        <v>15387947</v>
      </c>
      <c r="F35" s="449">
        <f>IF(C35=0,0,E35/C35)</f>
        <v>3.9838721075925468E-2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140674134</v>
      </c>
      <c r="D36" s="448">
        <f>LN_IA2+LN_IA12</f>
        <v>140693224</v>
      </c>
      <c r="E36" s="448">
        <f>D36-C36</f>
        <v>19090</v>
      </c>
      <c r="F36" s="449">
        <f>IF(C36=0,0,E36/C36)</f>
        <v>1.357036966013951E-4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245581915</v>
      </c>
      <c r="D37" s="448">
        <f>LN_IA17-LN_IA18</f>
        <v>260950772</v>
      </c>
      <c r="E37" s="448">
        <f>D37-C37</f>
        <v>15368857</v>
      </c>
      <c r="F37" s="449">
        <f>IF(C37=0,0,E37/C37)</f>
        <v>6.2581387558607482E-2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99446573</v>
      </c>
      <c r="D42" s="448">
        <v>89304534</v>
      </c>
      <c r="E42" s="448">
        <f t="shared" ref="E42:E53" si="4">D42-C42</f>
        <v>-10142039</v>
      </c>
      <c r="F42" s="449">
        <f t="shared" ref="F42:F53" si="5">IF(C42=0,0,E42/C42)</f>
        <v>-0.10198480142699337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65274727</v>
      </c>
      <c r="D43" s="448">
        <v>59010582</v>
      </c>
      <c r="E43" s="448">
        <f t="shared" si="4"/>
        <v>-6264145</v>
      </c>
      <c r="F43" s="449">
        <f t="shared" si="5"/>
        <v>-9.596585520763648E-2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0.65637985333089355</v>
      </c>
      <c r="D44" s="453">
        <f>IF(LN_IB1=0,0,LN_IB2/LN_IB1)</f>
        <v>0.66077923882341738</v>
      </c>
      <c r="E44" s="454">
        <f t="shared" si="4"/>
        <v>4.3993854925238329E-3</v>
      </c>
      <c r="F44" s="449">
        <f t="shared" si="5"/>
        <v>6.7024992772074304E-3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5345</v>
      </c>
      <c r="D45" s="456">
        <v>4756</v>
      </c>
      <c r="E45" s="456">
        <f t="shared" si="4"/>
        <v>-589</v>
      </c>
      <c r="F45" s="449">
        <f t="shared" si="5"/>
        <v>-0.11019644527595884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1.0782</v>
      </c>
      <c r="D46" s="459">
        <v>1.1322000000000001</v>
      </c>
      <c r="E46" s="460">
        <f t="shared" si="4"/>
        <v>5.4000000000000048E-2</v>
      </c>
      <c r="F46" s="449">
        <f t="shared" si="5"/>
        <v>5.0083472454090193E-2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5762.9790000000003</v>
      </c>
      <c r="D47" s="463">
        <f>LN_IB4*LN_IB5</f>
        <v>5384.7432000000008</v>
      </c>
      <c r="E47" s="463">
        <f t="shared" si="4"/>
        <v>-378.23579999999947</v>
      </c>
      <c r="F47" s="449">
        <f t="shared" si="5"/>
        <v>-6.5631993453385731E-2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11326.559926732338</v>
      </c>
      <c r="D48" s="465">
        <f>IF(LN_IB6=0,0,LN_IB2/LN_IB6)</f>
        <v>10958.847953974851</v>
      </c>
      <c r="E48" s="465">
        <f t="shared" si="4"/>
        <v>-367.71197275748636</v>
      </c>
      <c r="F48" s="449">
        <f t="shared" si="5"/>
        <v>-3.2464576635455954E-2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-2772.2930048401486</v>
      </c>
      <c r="D49" s="465">
        <f>LN_IA7-LN_IB7</f>
        <v>-2568.4843153061429</v>
      </c>
      <c r="E49" s="465">
        <f t="shared" si="4"/>
        <v>203.80868953400568</v>
      </c>
      <c r="F49" s="449">
        <f t="shared" si="5"/>
        <v>-7.3516287484106449E-2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-15976666.368740676</v>
      </c>
      <c r="D50" s="479">
        <f>LN_IB8*LN_IB6</f>
        <v>-13830628.45115141</v>
      </c>
      <c r="E50" s="479">
        <f t="shared" si="4"/>
        <v>2146037.9175892659</v>
      </c>
      <c r="F50" s="449">
        <f t="shared" si="5"/>
        <v>-0.13432326043861817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17310</v>
      </c>
      <c r="D51" s="456">
        <v>15927</v>
      </c>
      <c r="E51" s="456">
        <f t="shared" si="4"/>
        <v>-1383</v>
      </c>
      <c r="F51" s="449">
        <f t="shared" si="5"/>
        <v>-7.9896013864818025E-2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3770.9258809936455</v>
      </c>
      <c r="D52" s="465">
        <f>IF(LN_IB10=0,0,LN_IB2/LN_IB10)</f>
        <v>3705.0657374270108</v>
      </c>
      <c r="E52" s="465">
        <f t="shared" si="4"/>
        <v>-65.860143566634633</v>
      </c>
      <c r="F52" s="449">
        <f t="shared" si="5"/>
        <v>-1.7465244782079985E-2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3.2385406922357345</v>
      </c>
      <c r="D53" s="466">
        <f>IF(LN_IB4=0,0,LN_IB10/LN_IB4)</f>
        <v>3.3488225399495373</v>
      </c>
      <c r="E53" s="466">
        <f t="shared" si="4"/>
        <v>0.11028184771380278</v>
      </c>
      <c r="F53" s="449">
        <f t="shared" si="5"/>
        <v>3.4052944889097395E-2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185390734</v>
      </c>
      <c r="D56" s="448">
        <v>186106883</v>
      </c>
      <c r="E56" s="448">
        <f t="shared" ref="E56:E63" si="6">D56-C56</f>
        <v>716149</v>
      </c>
      <c r="F56" s="449">
        <f t="shared" ref="F56:F63" si="7">IF(C56=0,0,E56/C56)</f>
        <v>3.8629169028480139E-3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102839569</v>
      </c>
      <c r="D57" s="448">
        <v>101595013</v>
      </c>
      <c r="E57" s="448">
        <f t="shared" si="6"/>
        <v>-1244556</v>
      </c>
      <c r="F57" s="449">
        <f t="shared" si="7"/>
        <v>-1.2101917696679574E-2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0.55471795586072814</v>
      </c>
      <c r="D58" s="453">
        <f>IF(LN_IB13=0,0,LN_IB14/LN_IB13)</f>
        <v>0.54589605372091476</v>
      </c>
      <c r="E58" s="454">
        <f t="shared" si="6"/>
        <v>-8.8219021398133757E-3</v>
      </c>
      <c r="F58" s="449">
        <f t="shared" si="7"/>
        <v>-1.5903401082672491E-2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1.8642244615106043</v>
      </c>
      <c r="D59" s="453">
        <f>IF(LN_IB1=0,0,LN_IB13/LN_IB1)</f>
        <v>2.0839578313011522</v>
      </c>
      <c r="E59" s="454">
        <f t="shared" si="6"/>
        <v>0.21973336979054792</v>
      </c>
      <c r="F59" s="449">
        <f t="shared" si="7"/>
        <v>0.11786851547505993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9964.2797467741802</v>
      </c>
      <c r="D60" s="463">
        <f>LN_IB16*LN_IB4</f>
        <v>9911.3034456682799</v>
      </c>
      <c r="E60" s="463">
        <f t="shared" si="6"/>
        <v>-52.976301105900347</v>
      </c>
      <c r="F60" s="449">
        <f t="shared" si="7"/>
        <v>-5.3166212162048948E-3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10320.823141611727</v>
      </c>
      <c r="D61" s="465">
        <f>IF(LN_IB17=0,0,LN_IB14/LN_IB17)</f>
        <v>10250.418984437607</v>
      </c>
      <c r="E61" s="465">
        <f t="shared" si="6"/>
        <v>-70.404157174119973</v>
      </c>
      <c r="F61" s="449">
        <f t="shared" si="7"/>
        <v>-6.8215641531791113E-3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-2948.3067290106683</v>
      </c>
      <c r="D62" s="465">
        <f>LN_IA16-LN_IB18</f>
        <v>-3928.9483308846347</v>
      </c>
      <c r="E62" s="465">
        <f t="shared" si="6"/>
        <v>-980.64160187396647</v>
      </c>
      <c r="F62" s="449">
        <f t="shared" si="7"/>
        <v>0.33261179789221929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-29377753.027159035</v>
      </c>
      <c r="D63" s="448">
        <f>LN_IB19*LN_IB17</f>
        <v>-38940999.129749514</v>
      </c>
      <c r="E63" s="448">
        <f t="shared" si="6"/>
        <v>-9563246.102590479</v>
      </c>
      <c r="F63" s="449">
        <f t="shared" si="7"/>
        <v>0.32552680573458037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284837307</v>
      </c>
      <c r="D66" s="448">
        <f>LN_IB1+LN_IB13</f>
        <v>275411417</v>
      </c>
      <c r="E66" s="448">
        <f>D66-C66</f>
        <v>-9425890</v>
      </c>
      <c r="F66" s="449">
        <f>IF(C66=0,0,E66/C66)</f>
        <v>-3.3092189008794411E-2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168114296</v>
      </c>
      <c r="D67" s="448">
        <f>LN_IB2+LN_IB14</f>
        <v>160605595</v>
      </c>
      <c r="E67" s="448">
        <f>D67-C67</f>
        <v>-7508701</v>
      </c>
      <c r="F67" s="449">
        <f>IF(C67=0,0,E67/C67)</f>
        <v>-4.4664262223124675E-2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116723011</v>
      </c>
      <c r="D68" s="448">
        <f>LN_IB21-LN_IB22</f>
        <v>114805822</v>
      </c>
      <c r="E68" s="448">
        <f>D68-C68</f>
        <v>-1917189</v>
      </c>
      <c r="F68" s="449">
        <f>IF(C68=0,0,E68/C68)</f>
        <v>-1.6425116038173485E-2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-45354419.395899713</v>
      </c>
      <c r="D70" s="441">
        <f>LN_IB9+LN_IB20</f>
        <v>-52771627.580900922</v>
      </c>
      <c r="E70" s="448">
        <f>D70-C70</f>
        <v>-7417208.1850012094</v>
      </c>
      <c r="F70" s="449">
        <f>IF(C70=0,0,E70/C70)</f>
        <v>0.16353881901245915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277830167</v>
      </c>
      <c r="D73" s="488">
        <v>269161826</v>
      </c>
      <c r="E73" s="488">
        <f>D73-C73</f>
        <v>-8668341</v>
      </c>
      <c r="F73" s="489">
        <f>IF(C73=0,0,E73/C73)</f>
        <v>-3.1200143215549377E-2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159661043</v>
      </c>
      <c r="D74" s="488">
        <v>154356004</v>
      </c>
      <c r="E74" s="488">
        <f>D74-C74</f>
        <v>-5305039</v>
      </c>
      <c r="F74" s="489">
        <f>IF(C74=0,0,E74/C74)</f>
        <v>-3.3226884281345952E-2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118169124</v>
      </c>
      <c r="D76" s="441">
        <f>LN_IB32-LN_IB33</f>
        <v>114805822</v>
      </c>
      <c r="E76" s="488">
        <f>D76-C76</f>
        <v>-3363302</v>
      </c>
      <c r="F76" s="489">
        <f>IF(E76=0,0,E76/C76)</f>
        <v>-2.8461766374776546E-2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0.42532862891019318</v>
      </c>
      <c r="D77" s="453">
        <f>IF(LN_IB32=0,0,LN_IB34/LN_IB32)</f>
        <v>0.426530848397499</v>
      </c>
      <c r="E77" s="493">
        <f>D77-C77</f>
        <v>1.2022194873058112E-3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6962793</v>
      </c>
      <c r="D83" s="448">
        <v>4494481</v>
      </c>
      <c r="E83" s="448">
        <f t="shared" ref="E83:E95" si="8">D83-C83</f>
        <v>-2468312</v>
      </c>
      <c r="F83" s="449">
        <f t="shared" ref="F83:F95" si="9">IF(C83=0,0,E83/C83)</f>
        <v>-0.35450027022202152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2347104</v>
      </c>
      <c r="D84" s="448">
        <v>1006871</v>
      </c>
      <c r="E84" s="448">
        <f t="shared" si="8"/>
        <v>-1340233</v>
      </c>
      <c r="F84" s="449">
        <f t="shared" si="9"/>
        <v>-0.57101560050172473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0.33709231338630918</v>
      </c>
      <c r="D85" s="453">
        <f>IF(LN_IC1=0,0,LN_IC2/LN_IC1)</f>
        <v>0.2240238639344565</v>
      </c>
      <c r="E85" s="454">
        <f t="shared" si="8"/>
        <v>-0.11306844945185268</v>
      </c>
      <c r="F85" s="449">
        <f t="shared" si="9"/>
        <v>-0.33542280545055259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200</v>
      </c>
      <c r="D86" s="456">
        <v>206</v>
      </c>
      <c r="E86" s="456">
        <f t="shared" si="8"/>
        <v>6</v>
      </c>
      <c r="F86" s="449">
        <f t="shared" si="9"/>
        <v>0.03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0.99860000000000004</v>
      </c>
      <c r="D87" s="459">
        <v>1.0947100000000001</v>
      </c>
      <c r="E87" s="460">
        <f t="shared" si="8"/>
        <v>9.6110000000000029E-2</v>
      </c>
      <c r="F87" s="449">
        <f t="shared" si="9"/>
        <v>9.6244742639695596E-2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199.72</v>
      </c>
      <c r="D88" s="463">
        <f>LN_IC4*LN_IC5</f>
        <v>225.51026000000002</v>
      </c>
      <c r="E88" s="463">
        <f t="shared" si="8"/>
        <v>25.790260000000018</v>
      </c>
      <c r="F88" s="449">
        <f t="shared" si="9"/>
        <v>0.12913208491888653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11751.972761866613</v>
      </c>
      <c r="D89" s="465">
        <f>IF(LN_IC6=0,0,LN_IC2/LN_IC6)</f>
        <v>4464.8567209314551</v>
      </c>
      <c r="E89" s="465">
        <f t="shared" si="8"/>
        <v>-7287.1160409351578</v>
      </c>
      <c r="F89" s="449">
        <f t="shared" si="9"/>
        <v>-0.62007598116469054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-425.41283513427516</v>
      </c>
      <c r="D90" s="465">
        <f>LN_IB7-LN_IC7</f>
        <v>6493.9912330433963</v>
      </c>
      <c r="E90" s="465">
        <f t="shared" si="8"/>
        <v>6919.4040681776714</v>
      </c>
      <c r="F90" s="449">
        <f t="shared" si="9"/>
        <v>-16.265151158388687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-3197.7058399744237</v>
      </c>
      <c r="D91" s="465">
        <f>LN_IA7-LN_IC7</f>
        <v>3925.5069177372534</v>
      </c>
      <c r="E91" s="465">
        <f t="shared" si="8"/>
        <v>7123.2127577116771</v>
      </c>
      <c r="F91" s="449">
        <f t="shared" si="9"/>
        <v>-2.2276010096565515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-638645.81035969185</v>
      </c>
      <c r="D92" s="441">
        <f>LN_IC9*LN_IC6</f>
        <v>885242.08565072669</v>
      </c>
      <c r="E92" s="441">
        <f t="shared" si="8"/>
        <v>1523887.8960104184</v>
      </c>
      <c r="F92" s="449">
        <f t="shared" si="9"/>
        <v>-2.3861236874820322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747</v>
      </c>
      <c r="D93" s="456">
        <v>557</v>
      </c>
      <c r="E93" s="456">
        <f t="shared" si="8"/>
        <v>-190</v>
      </c>
      <c r="F93" s="449">
        <f t="shared" si="9"/>
        <v>-0.25435073627844712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3142.0401606425703</v>
      </c>
      <c r="D94" s="499">
        <f>IF(LN_IC11=0,0,LN_IC2/LN_IC11)</f>
        <v>1807.6678635547576</v>
      </c>
      <c r="E94" s="499">
        <f t="shared" si="8"/>
        <v>-1334.3722970878127</v>
      </c>
      <c r="F94" s="449">
        <f t="shared" si="9"/>
        <v>-0.42468339959567031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3.7349999999999999</v>
      </c>
      <c r="D95" s="466">
        <f>IF(LN_IC4=0,0,LN_IC11/LN_IC4)</f>
        <v>2.703883495145631</v>
      </c>
      <c r="E95" s="466">
        <f t="shared" si="8"/>
        <v>-1.0311165048543689</v>
      </c>
      <c r="F95" s="449">
        <f t="shared" si="9"/>
        <v>-0.27606867599849233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16102691</v>
      </c>
      <c r="D98" s="448">
        <v>15286291</v>
      </c>
      <c r="E98" s="448">
        <f t="shared" ref="E98:E106" si="10">D98-C98</f>
        <v>-816400</v>
      </c>
      <c r="F98" s="449">
        <f t="shared" ref="F98:F106" si="11">IF(C98=0,0,E98/C98)</f>
        <v>-5.0699600458084922E-2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2199511</v>
      </c>
      <c r="D99" s="448">
        <v>271415</v>
      </c>
      <c r="E99" s="448">
        <f t="shared" si="10"/>
        <v>-1928096</v>
      </c>
      <c r="F99" s="449">
        <f t="shared" si="11"/>
        <v>-0.87660211747065597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0.13659275955801425</v>
      </c>
      <c r="D100" s="453">
        <f>IF(LN_IC14=0,0,LN_IC15/LN_IC14)</f>
        <v>1.7755451600391488E-2</v>
      </c>
      <c r="E100" s="454">
        <f t="shared" si="10"/>
        <v>-0.11883730795762276</v>
      </c>
      <c r="F100" s="449">
        <f t="shared" si="11"/>
        <v>-0.87001176593953855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2.3126769674181036</v>
      </c>
      <c r="D101" s="453">
        <f>IF(LN_IC1=0,0,LN_IC14/LN_IC1)</f>
        <v>3.4011248462280741</v>
      </c>
      <c r="E101" s="454">
        <f t="shared" si="10"/>
        <v>1.0884478788099705</v>
      </c>
      <c r="F101" s="449">
        <f t="shared" si="11"/>
        <v>0.47064414708342295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462.53539348362074</v>
      </c>
      <c r="D102" s="463">
        <f>LN_IC17*LN_IC4</f>
        <v>700.63171832298326</v>
      </c>
      <c r="E102" s="463">
        <f t="shared" si="10"/>
        <v>238.09632483936252</v>
      </c>
      <c r="F102" s="449">
        <f t="shared" si="11"/>
        <v>0.51476347149592561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4755.3355505061236</v>
      </c>
      <c r="D103" s="465">
        <f>IF(LN_IC18=0,0,LN_IC15/LN_IC18)</f>
        <v>387.38611584650062</v>
      </c>
      <c r="E103" s="465">
        <f t="shared" si="10"/>
        <v>-4367.949434659623</v>
      </c>
      <c r="F103" s="449">
        <f t="shared" si="11"/>
        <v>-0.91853653401908308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5565.4875911056033</v>
      </c>
      <c r="D104" s="465">
        <f>LN_IB18-LN_IC19</f>
        <v>9863.0328685911063</v>
      </c>
      <c r="E104" s="465">
        <f t="shared" si="10"/>
        <v>4297.545277485503</v>
      </c>
      <c r="F104" s="449">
        <f t="shared" si="11"/>
        <v>0.77217767664302361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2617.180862094935</v>
      </c>
      <c r="D105" s="465">
        <f>LN_IA16-LN_IC19</f>
        <v>5934.0845377064716</v>
      </c>
      <c r="E105" s="465">
        <f t="shared" si="10"/>
        <v>3316.9036756115365</v>
      </c>
      <c r="F105" s="449">
        <f t="shared" si="11"/>
        <v>1.2673574545996431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1210538.7798668826</v>
      </c>
      <c r="D106" s="448">
        <f>LN_IC21*LN_IC18</f>
        <v>4157607.8463271311</v>
      </c>
      <c r="E106" s="448">
        <f t="shared" si="10"/>
        <v>2947069.0664602485</v>
      </c>
      <c r="F106" s="449">
        <f t="shared" si="11"/>
        <v>2.4345102490515207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23065484</v>
      </c>
      <c r="D109" s="448">
        <f>LN_IC1+LN_IC14</f>
        <v>19780772</v>
      </c>
      <c r="E109" s="448">
        <f>D109-C109</f>
        <v>-3284712</v>
      </c>
      <c r="F109" s="449">
        <f>IF(C109=0,0,E109/C109)</f>
        <v>-0.14240811075111193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4546615</v>
      </c>
      <c r="D110" s="448">
        <f>LN_IC2+LN_IC15</f>
        <v>1278286</v>
      </c>
      <c r="E110" s="448">
        <f>D110-C110</f>
        <v>-3268329</v>
      </c>
      <c r="F110" s="449">
        <f>IF(C110=0,0,E110/C110)</f>
        <v>-0.71884885788658159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18518869</v>
      </c>
      <c r="D111" s="448">
        <f>LN_IC23-LN_IC24</f>
        <v>18502486</v>
      </c>
      <c r="E111" s="448">
        <f>D111-C111</f>
        <v>-16383</v>
      </c>
      <c r="F111" s="449">
        <f>IF(C111=0,0,E111/C111)</f>
        <v>-8.8466525682534937E-4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571892.96950719075</v>
      </c>
      <c r="D113" s="448">
        <f>LN_IC10+LN_IC22</f>
        <v>5042849.9319778578</v>
      </c>
      <c r="E113" s="448">
        <f>D113-C113</f>
        <v>4470956.9624706674</v>
      </c>
      <c r="F113" s="449">
        <f>IF(C113=0,0,E113/C113)</f>
        <v>7.8178211673477334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75640131</v>
      </c>
      <c r="D118" s="448">
        <v>79113082</v>
      </c>
      <c r="E118" s="448">
        <f t="shared" ref="E118:E130" si="12">D118-C118</f>
        <v>3472951</v>
      </c>
      <c r="F118" s="449">
        <f t="shared" ref="F118:F130" si="13">IF(C118=0,0,E118/C118)</f>
        <v>4.5914132538982515E-2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22551461</v>
      </c>
      <c r="D119" s="448">
        <v>23621637</v>
      </c>
      <c r="E119" s="448">
        <f t="shared" si="12"/>
        <v>1070176</v>
      </c>
      <c r="F119" s="449">
        <f t="shared" si="13"/>
        <v>4.7454841174148318E-2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0.29814148523883438</v>
      </c>
      <c r="D120" s="453">
        <f>IF(LN_ID1=0,0,LN_1D2/LN_ID1)</f>
        <v>0.29858066962932883</v>
      </c>
      <c r="E120" s="454">
        <f t="shared" si="12"/>
        <v>4.3918439049445146E-4</v>
      </c>
      <c r="F120" s="449">
        <f t="shared" si="13"/>
        <v>1.4730737325690546E-3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4352</v>
      </c>
      <c r="D121" s="456">
        <v>4668</v>
      </c>
      <c r="E121" s="456">
        <f t="shared" si="12"/>
        <v>316</v>
      </c>
      <c r="F121" s="449">
        <f t="shared" si="13"/>
        <v>7.2610294117647065E-2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0.99860000000000004</v>
      </c>
      <c r="D122" s="459">
        <v>1.00952</v>
      </c>
      <c r="E122" s="460">
        <f t="shared" si="12"/>
        <v>1.091999999999993E-2</v>
      </c>
      <c r="F122" s="449">
        <f t="shared" si="13"/>
        <v>1.0935309433206418E-2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4345.9072000000006</v>
      </c>
      <c r="D123" s="463">
        <f>LN_ID4*LN_ID5</f>
        <v>4712.4393600000003</v>
      </c>
      <c r="E123" s="463">
        <f t="shared" si="12"/>
        <v>366.53215999999975</v>
      </c>
      <c r="F123" s="449">
        <f t="shared" si="13"/>
        <v>8.4339619585066083E-2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5189.1262197223168</v>
      </c>
      <c r="D124" s="465">
        <f>IF(LN_ID6=0,0,LN_1D2/LN_ID6)</f>
        <v>5012.6134673486813</v>
      </c>
      <c r="E124" s="465">
        <f t="shared" si="12"/>
        <v>-176.51275237363552</v>
      </c>
      <c r="F124" s="449">
        <f t="shared" si="13"/>
        <v>-3.4015891096031418E-2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6137.433707010021</v>
      </c>
      <c r="D125" s="465">
        <f>LN_IB7-LN_ID7</f>
        <v>5946.2344866261701</v>
      </c>
      <c r="E125" s="465">
        <f t="shared" si="12"/>
        <v>-191.19922038385084</v>
      </c>
      <c r="F125" s="449">
        <f t="shared" si="13"/>
        <v>-3.1152958958313139E-2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3365.1407021698724</v>
      </c>
      <c r="D126" s="465">
        <f>LN_IA7-LN_ID7</f>
        <v>3377.7501713200272</v>
      </c>
      <c r="E126" s="465">
        <f t="shared" si="12"/>
        <v>12.609469150154837</v>
      </c>
      <c r="F126" s="449">
        <f t="shared" si="13"/>
        <v>3.7470852680912092E-3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14624589.206573106</v>
      </c>
      <c r="D127" s="479">
        <f>LN_ID9*LN_ID6</f>
        <v>15917442.855575241</v>
      </c>
      <c r="E127" s="479">
        <f t="shared" si="12"/>
        <v>1292853.6490021348</v>
      </c>
      <c r="F127" s="449">
        <f t="shared" si="13"/>
        <v>8.8402732599220921E-2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18355</v>
      </c>
      <c r="D128" s="456">
        <v>18724</v>
      </c>
      <c r="E128" s="456">
        <f t="shared" si="12"/>
        <v>369</v>
      </c>
      <c r="F128" s="449">
        <f t="shared" si="13"/>
        <v>2.0103514028874964E-2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1228.6276763824571</v>
      </c>
      <c r="D129" s="465">
        <f>IF(LN_ID11=0,0,LN_1D2/LN_ID11)</f>
        <v>1261.5700170903654</v>
      </c>
      <c r="E129" s="465">
        <f t="shared" si="12"/>
        <v>32.942340707908215</v>
      </c>
      <c r="F129" s="449">
        <f t="shared" si="13"/>
        <v>2.6812305583822495E-2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4.2176011029411766</v>
      </c>
      <c r="D130" s="466">
        <f>IF(LN_ID4=0,0,LN_ID11/LN_ID4)</f>
        <v>4.0111396743787493</v>
      </c>
      <c r="E130" s="466">
        <f t="shared" si="12"/>
        <v>-0.20646142856242733</v>
      </c>
      <c r="F130" s="449">
        <f t="shared" si="13"/>
        <v>-4.8952336535204775E-2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112632134</v>
      </c>
      <c r="D133" s="448">
        <v>126611722</v>
      </c>
      <c r="E133" s="448">
        <f t="shared" ref="E133:E141" si="14">D133-C133</f>
        <v>13979588</v>
      </c>
      <c r="F133" s="449">
        <f t="shared" ref="F133:F141" si="15">IF(C133=0,0,E133/C133)</f>
        <v>0.12411722572884928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33403197</v>
      </c>
      <c r="D134" s="448">
        <v>35637819</v>
      </c>
      <c r="E134" s="448">
        <f t="shared" si="14"/>
        <v>2234622</v>
      </c>
      <c r="F134" s="449">
        <f t="shared" si="15"/>
        <v>6.689844687620769E-2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0.29656897915118968</v>
      </c>
      <c r="D135" s="453">
        <f>IF(LN_ID14=0,0,LN_ID15/LN_ID14)</f>
        <v>0.28147329834120732</v>
      </c>
      <c r="E135" s="454">
        <f t="shared" si="14"/>
        <v>-1.5095680809982359E-2</v>
      </c>
      <c r="F135" s="449">
        <f t="shared" si="15"/>
        <v>-5.0901078235450384E-2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1.4890526035709801</v>
      </c>
      <c r="D136" s="453">
        <f>IF(LN_ID1=0,0,LN_ID14/LN_ID1)</f>
        <v>1.6003891998544564</v>
      </c>
      <c r="E136" s="454">
        <f t="shared" si="14"/>
        <v>0.11133659628347625</v>
      </c>
      <c r="F136" s="449">
        <f t="shared" si="15"/>
        <v>7.4770089395414074E-2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6480.3569307409052</v>
      </c>
      <c r="D137" s="463">
        <f>LN_ID17*LN_ID4</f>
        <v>7470.6167849206022</v>
      </c>
      <c r="E137" s="463">
        <f t="shared" si="14"/>
        <v>990.25985417969696</v>
      </c>
      <c r="F137" s="449">
        <f t="shared" si="15"/>
        <v>0.15280946169526494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5154.5304304991396</v>
      </c>
      <c r="D138" s="465">
        <f>IF(LN_ID18=0,0,LN_ID15/LN_ID18)</f>
        <v>4770.3984859636676</v>
      </c>
      <c r="E138" s="465">
        <f t="shared" si="14"/>
        <v>-384.13194453547203</v>
      </c>
      <c r="F138" s="449">
        <f t="shared" si="15"/>
        <v>-7.4523169416670712E-2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5166.2927111125873</v>
      </c>
      <c r="D139" s="465">
        <f>LN_IB18-LN_ID19</f>
        <v>5480.0204984739394</v>
      </c>
      <c r="E139" s="465">
        <f t="shared" si="14"/>
        <v>313.72778736135206</v>
      </c>
      <c r="F139" s="449">
        <f t="shared" si="15"/>
        <v>6.0725902480618293E-2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2217.985982101919</v>
      </c>
      <c r="D140" s="465">
        <f>LN_IA16-LN_ID19</f>
        <v>1551.0721675893046</v>
      </c>
      <c r="E140" s="465">
        <f t="shared" si="14"/>
        <v>-666.91381451261441</v>
      </c>
      <c r="F140" s="449">
        <f t="shared" si="15"/>
        <v>-0.30068441365017112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14373340.831400344</v>
      </c>
      <c r="D141" s="441">
        <f>LN_ID21*LN_ID18</f>
        <v>11587465.76981584</v>
      </c>
      <c r="E141" s="441">
        <f t="shared" si="14"/>
        <v>-2785875.0615845043</v>
      </c>
      <c r="F141" s="449">
        <f t="shared" si="15"/>
        <v>-0.1938223753449452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188272265</v>
      </c>
      <c r="D144" s="448">
        <f>LN_ID1+LN_ID14</f>
        <v>205724804</v>
      </c>
      <c r="E144" s="448">
        <f>D144-C144</f>
        <v>17452539</v>
      </c>
      <c r="F144" s="449">
        <f>IF(C144=0,0,E144/C144)</f>
        <v>9.2698406746208745E-2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55954658</v>
      </c>
      <c r="D145" s="448">
        <f>LN_1D2+LN_ID15</f>
        <v>59259456</v>
      </c>
      <c r="E145" s="448">
        <f>D145-C145</f>
        <v>3304798</v>
      </c>
      <c r="F145" s="449">
        <f>IF(C145=0,0,E145/C145)</f>
        <v>5.9062071293510543E-2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132317607</v>
      </c>
      <c r="D146" s="448">
        <f>LN_ID23-LN_ID24</f>
        <v>146465348</v>
      </c>
      <c r="E146" s="448">
        <f>D146-C146</f>
        <v>14147741</v>
      </c>
      <c r="F146" s="449">
        <f>IF(C146=0,0,E146/C146)</f>
        <v>0.10692258816319131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28997930.037973449</v>
      </c>
      <c r="D148" s="448">
        <f>LN_ID10+LN_ID22</f>
        <v>27504908.625391081</v>
      </c>
      <c r="E148" s="448">
        <f>D148-C148</f>
        <v>-1493021.4125823677</v>
      </c>
      <c r="F148" s="503">
        <f>IF(C148=0,0,E148/C148)</f>
        <v>-5.1487172037011683E-2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11326.559926732338</v>
      </c>
      <c r="D160" s="465">
        <f>LN_IB7-LN_IE7</f>
        <v>10958.847953974851</v>
      </c>
      <c r="E160" s="465">
        <f t="shared" si="16"/>
        <v>-367.71197275748636</v>
      </c>
      <c r="F160" s="449">
        <f t="shared" si="17"/>
        <v>-3.2464576635455954E-2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8554.2669218921892</v>
      </c>
      <c r="D161" s="465">
        <f>LN_IA7-LN_IE7</f>
        <v>8390.3636386687085</v>
      </c>
      <c r="E161" s="465">
        <f t="shared" si="16"/>
        <v>-163.90328322348068</v>
      </c>
      <c r="F161" s="449">
        <f t="shared" si="17"/>
        <v>-1.9160412542659537E-2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10320.823141611727</v>
      </c>
      <c r="D174" s="465">
        <f>LN_IB18-LN_IE19</f>
        <v>10250.418984437607</v>
      </c>
      <c r="E174" s="465">
        <f t="shared" si="18"/>
        <v>-70.404157174119973</v>
      </c>
      <c r="F174" s="449">
        <f t="shared" si="19"/>
        <v>-6.8215641531791113E-3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7372.5164126010586</v>
      </c>
      <c r="D175" s="465">
        <f>LN_IA16-LN_IE19</f>
        <v>6321.4706535529722</v>
      </c>
      <c r="E175" s="465">
        <f t="shared" si="18"/>
        <v>-1051.0457590480864</v>
      </c>
      <c r="F175" s="449">
        <f t="shared" si="19"/>
        <v>-0.14256268826362267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75640131</v>
      </c>
      <c r="D188" s="448">
        <f>LN_ID1+LN_IE1</f>
        <v>79113082</v>
      </c>
      <c r="E188" s="448">
        <f t="shared" ref="E188:E200" si="20">D188-C188</f>
        <v>3472951</v>
      </c>
      <c r="F188" s="449">
        <f t="shared" ref="F188:F200" si="21">IF(C188=0,0,E188/C188)</f>
        <v>4.5914132538982515E-2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22551461</v>
      </c>
      <c r="D189" s="448">
        <f>LN_1D2+LN_IE2</f>
        <v>23621637</v>
      </c>
      <c r="E189" s="448">
        <f t="shared" si="20"/>
        <v>1070176</v>
      </c>
      <c r="F189" s="449">
        <f t="shared" si="21"/>
        <v>4.7454841174148318E-2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0.29814148523883438</v>
      </c>
      <c r="D190" s="453">
        <f>IF(LN_IF1=0,0,LN_IF2/LN_IF1)</f>
        <v>0.29858066962932883</v>
      </c>
      <c r="E190" s="454">
        <f t="shared" si="20"/>
        <v>4.3918439049445146E-4</v>
      </c>
      <c r="F190" s="449">
        <f t="shared" si="21"/>
        <v>1.4730737325690546E-3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4352</v>
      </c>
      <c r="D191" s="456">
        <f>LN_ID4+LN_IE4</f>
        <v>4668</v>
      </c>
      <c r="E191" s="456">
        <f t="shared" si="20"/>
        <v>316</v>
      </c>
      <c r="F191" s="449">
        <f t="shared" si="21"/>
        <v>7.2610294117647065E-2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0.99860000000000015</v>
      </c>
      <c r="D192" s="459">
        <f>IF((LN_ID4+LN_IE4)=0,0,(LN_ID6+LN_IE6)/(LN_ID4+LN_IE4))</f>
        <v>1.00952</v>
      </c>
      <c r="E192" s="460">
        <f t="shared" si="20"/>
        <v>1.0919999999999819E-2</v>
      </c>
      <c r="F192" s="449">
        <f t="shared" si="21"/>
        <v>1.0935309433206307E-2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4345.9072000000006</v>
      </c>
      <c r="D193" s="463">
        <f>LN_IF4*LN_IF5</f>
        <v>4712.4393600000003</v>
      </c>
      <c r="E193" s="463">
        <f t="shared" si="20"/>
        <v>366.53215999999975</v>
      </c>
      <c r="F193" s="449">
        <f t="shared" si="21"/>
        <v>8.4339619585066083E-2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5189.1262197223168</v>
      </c>
      <c r="D194" s="465">
        <f>IF(LN_IF6=0,0,LN_IF2/LN_IF6)</f>
        <v>5012.6134673486813</v>
      </c>
      <c r="E194" s="465">
        <f t="shared" si="20"/>
        <v>-176.51275237363552</v>
      </c>
      <c r="F194" s="449">
        <f t="shared" si="21"/>
        <v>-3.4015891096031418E-2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6137.433707010021</v>
      </c>
      <c r="D195" s="465">
        <f>LN_IB7-LN_IF7</f>
        <v>5946.2344866261701</v>
      </c>
      <c r="E195" s="465">
        <f t="shared" si="20"/>
        <v>-191.19922038385084</v>
      </c>
      <c r="F195" s="449">
        <f t="shared" si="21"/>
        <v>-3.1152958958313139E-2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3365.1407021698724</v>
      </c>
      <c r="D196" s="465">
        <f>LN_IA7-LN_IF7</f>
        <v>3377.7501713200272</v>
      </c>
      <c r="E196" s="465">
        <f t="shared" si="20"/>
        <v>12.609469150154837</v>
      </c>
      <c r="F196" s="449">
        <f t="shared" si="21"/>
        <v>3.7470852680912092E-3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14624589.206573106</v>
      </c>
      <c r="D197" s="479">
        <f>LN_IF9*LN_IF6</f>
        <v>15917442.855575241</v>
      </c>
      <c r="E197" s="479">
        <f t="shared" si="20"/>
        <v>1292853.6490021348</v>
      </c>
      <c r="F197" s="449">
        <f t="shared" si="21"/>
        <v>8.8402732599220921E-2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18355</v>
      </c>
      <c r="D198" s="456">
        <f>LN_ID11+LN_IE11</f>
        <v>18724</v>
      </c>
      <c r="E198" s="456">
        <f t="shared" si="20"/>
        <v>369</v>
      </c>
      <c r="F198" s="449">
        <f t="shared" si="21"/>
        <v>2.0103514028874964E-2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1228.6276763824571</v>
      </c>
      <c r="D199" s="519">
        <f>IF(LN_IF11=0,0,LN_IF2/LN_IF11)</f>
        <v>1261.5700170903654</v>
      </c>
      <c r="E199" s="519">
        <f t="shared" si="20"/>
        <v>32.942340707908215</v>
      </c>
      <c r="F199" s="449">
        <f t="shared" si="21"/>
        <v>2.6812305583822495E-2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4.2176011029411766</v>
      </c>
      <c r="D200" s="466">
        <f>IF(LN_IF4=0,0,LN_IF11/LN_IF4)</f>
        <v>4.0111396743787493</v>
      </c>
      <c r="E200" s="466">
        <f t="shared" si="20"/>
        <v>-0.20646142856242733</v>
      </c>
      <c r="F200" s="449">
        <f t="shared" si="21"/>
        <v>-4.8952336535204775E-2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112632134</v>
      </c>
      <c r="D203" s="448">
        <f>LN_ID14+LN_IE14</f>
        <v>126611722</v>
      </c>
      <c r="E203" s="448">
        <f t="shared" ref="E203:E211" si="22">D203-C203</f>
        <v>13979588</v>
      </c>
      <c r="F203" s="449">
        <f t="shared" ref="F203:F211" si="23">IF(C203=0,0,E203/C203)</f>
        <v>0.12411722572884928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33403197</v>
      </c>
      <c r="D204" s="448">
        <f>LN_ID15+LN_IE15</f>
        <v>35637819</v>
      </c>
      <c r="E204" s="448">
        <f t="shared" si="22"/>
        <v>2234622</v>
      </c>
      <c r="F204" s="449">
        <f t="shared" si="23"/>
        <v>6.689844687620769E-2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0.29656897915118968</v>
      </c>
      <c r="D205" s="453">
        <f>IF(LN_IF14=0,0,LN_IF15/LN_IF14)</f>
        <v>0.28147329834120732</v>
      </c>
      <c r="E205" s="454">
        <f t="shared" si="22"/>
        <v>-1.5095680809982359E-2</v>
      </c>
      <c r="F205" s="449">
        <f t="shared" si="23"/>
        <v>-5.0901078235450384E-2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1.4890526035709801</v>
      </c>
      <c r="D206" s="453">
        <f>IF(LN_IF1=0,0,LN_IF14/LN_IF1)</f>
        <v>1.6003891998544564</v>
      </c>
      <c r="E206" s="454">
        <f t="shared" si="22"/>
        <v>0.11133659628347625</v>
      </c>
      <c r="F206" s="449">
        <f t="shared" si="23"/>
        <v>7.4770089395414074E-2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6480.3569307409052</v>
      </c>
      <c r="D207" s="463">
        <f>LN_ID18+LN_IE18</f>
        <v>7470.6167849206022</v>
      </c>
      <c r="E207" s="463">
        <f t="shared" si="22"/>
        <v>990.25985417969696</v>
      </c>
      <c r="F207" s="449">
        <f t="shared" si="23"/>
        <v>0.15280946169526494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5154.5304304991396</v>
      </c>
      <c r="D208" s="465">
        <f>IF(LN_IF18=0,0,LN_IF15/LN_IF18)</f>
        <v>4770.3984859636676</v>
      </c>
      <c r="E208" s="465">
        <f t="shared" si="22"/>
        <v>-384.13194453547203</v>
      </c>
      <c r="F208" s="449">
        <f t="shared" si="23"/>
        <v>-7.4523169416670712E-2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5166.2927111125873</v>
      </c>
      <c r="D209" s="465">
        <f>LN_IB18-LN_IF19</f>
        <v>5480.0204984739394</v>
      </c>
      <c r="E209" s="465">
        <f t="shared" si="22"/>
        <v>313.72778736135206</v>
      </c>
      <c r="F209" s="449">
        <f t="shared" si="23"/>
        <v>6.0725902480618293E-2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2217.985982101919</v>
      </c>
      <c r="D210" s="465">
        <f>LN_IA16-LN_IF19</f>
        <v>1551.0721675893046</v>
      </c>
      <c r="E210" s="465">
        <f t="shared" si="22"/>
        <v>-666.91381451261441</v>
      </c>
      <c r="F210" s="449">
        <f t="shared" si="23"/>
        <v>-0.30068441365017112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14373340.831400344</v>
      </c>
      <c r="D211" s="441">
        <f>LN_IF21*LN_IF18</f>
        <v>11587465.76981584</v>
      </c>
      <c r="E211" s="441">
        <f t="shared" si="22"/>
        <v>-2785875.0615845043</v>
      </c>
      <c r="F211" s="449">
        <f t="shared" si="23"/>
        <v>-0.1938223753449452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188272265</v>
      </c>
      <c r="D214" s="448">
        <f>LN_IF1+LN_IF14</f>
        <v>205724804</v>
      </c>
      <c r="E214" s="448">
        <f>D214-C214</f>
        <v>17452539</v>
      </c>
      <c r="F214" s="449">
        <f>IF(C214=0,0,E214/C214)</f>
        <v>9.2698406746208745E-2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55954658</v>
      </c>
      <c r="D215" s="448">
        <f>LN_IF2+LN_IF15</f>
        <v>59259456</v>
      </c>
      <c r="E215" s="448">
        <f>D215-C215</f>
        <v>3304798</v>
      </c>
      <c r="F215" s="449">
        <f>IF(C215=0,0,E215/C215)</f>
        <v>5.9062071293510543E-2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132317607</v>
      </c>
      <c r="D216" s="448">
        <f>LN_IF23-LN_IF24</f>
        <v>146465348</v>
      </c>
      <c r="E216" s="448">
        <f>D216-C216</f>
        <v>14147741</v>
      </c>
      <c r="F216" s="449">
        <f>IF(C216=0,0,E216/C216)</f>
        <v>0.10692258816319131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511703</v>
      </c>
      <c r="D221" s="448">
        <v>298280</v>
      </c>
      <c r="E221" s="448">
        <f t="shared" ref="E221:E230" si="24">D221-C221</f>
        <v>-213423</v>
      </c>
      <c r="F221" s="449">
        <f t="shared" ref="F221:F230" si="25">IF(C221=0,0,E221/C221)</f>
        <v>-0.41708373802772314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246372</v>
      </c>
      <c r="D222" s="448">
        <v>134575</v>
      </c>
      <c r="E222" s="448">
        <f t="shared" si="24"/>
        <v>-111797</v>
      </c>
      <c r="F222" s="449">
        <f t="shared" si="25"/>
        <v>-0.45377315604045915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0.48147460538632764</v>
      </c>
      <c r="D223" s="453">
        <f>IF(LN_IG1=0,0,LN_IG2/LN_IG1)</f>
        <v>0.45117004157167762</v>
      </c>
      <c r="E223" s="454">
        <f t="shared" si="24"/>
        <v>-3.0304563814650021E-2</v>
      </c>
      <c r="F223" s="449">
        <f t="shared" si="25"/>
        <v>-6.2941146792849262E-2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31</v>
      </c>
      <c r="D224" s="456">
        <v>19</v>
      </c>
      <c r="E224" s="456">
        <f t="shared" si="24"/>
        <v>-12</v>
      </c>
      <c r="F224" s="449">
        <f t="shared" si="25"/>
        <v>-0.38709677419354838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1.1358999999999999</v>
      </c>
      <c r="D225" s="459">
        <v>1.35307</v>
      </c>
      <c r="E225" s="460">
        <f t="shared" si="24"/>
        <v>0.21717000000000009</v>
      </c>
      <c r="F225" s="449">
        <f t="shared" si="25"/>
        <v>0.19118760454265349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35.212899999999998</v>
      </c>
      <c r="D226" s="463">
        <f>LN_IG3*LN_IG4</f>
        <v>25.70833</v>
      </c>
      <c r="E226" s="463">
        <f t="shared" si="24"/>
        <v>-9.5045699999999975</v>
      </c>
      <c r="F226" s="449">
        <f t="shared" si="25"/>
        <v>-0.26991727463514786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6996.6404357493993</v>
      </c>
      <c r="D227" s="465">
        <f>IF(LN_IG5=0,0,LN_IG2/LN_IG5)</f>
        <v>5234.6846333464682</v>
      </c>
      <c r="E227" s="465">
        <f t="shared" si="24"/>
        <v>-1761.9558024029311</v>
      </c>
      <c r="F227" s="449">
        <f t="shared" si="25"/>
        <v>-0.25182883393581318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86</v>
      </c>
      <c r="D228" s="456">
        <v>46</v>
      </c>
      <c r="E228" s="456">
        <f t="shared" si="24"/>
        <v>-40</v>
      </c>
      <c r="F228" s="449">
        <f t="shared" si="25"/>
        <v>-0.46511627906976744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2864.7906976744184</v>
      </c>
      <c r="D229" s="465">
        <f>IF(LN_IG6=0,0,LN_IG2/LN_IG6)</f>
        <v>2925.5434782608695</v>
      </c>
      <c r="E229" s="465">
        <f t="shared" si="24"/>
        <v>60.752780586451081</v>
      </c>
      <c r="F229" s="449">
        <f t="shared" si="25"/>
        <v>2.1206708272185123E-2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2.774193548387097</v>
      </c>
      <c r="D230" s="466">
        <f>IF(LN_IG3=0,0,LN_IG6/LN_IG3)</f>
        <v>2.4210526315789473</v>
      </c>
      <c r="E230" s="466">
        <f t="shared" si="24"/>
        <v>-0.35314091680814963</v>
      </c>
      <c r="F230" s="449">
        <f t="shared" si="25"/>
        <v>-0.12729498164014694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870795</v>
      </c>
      <c r="D233" s="448">
        <v>836904</v>
      </c>
      <c r="E233" s="448">
        <f>D233-C233</f>
        <v>-33891</v>
      </c>
      <c r="F233" s="449">
        <f>IF(C233=0,0,E233/C233)</f>
        <v>-3.8919607944464543E-2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268124</v>
      </c>
      <c r="D234" s="448">
        <v>241291</v>
      </c>
      <c r="E234" s="448">
        <f>D234-C234</f>
        <v>-26833</v>
      </c>
      <c r="F234" s="449">
        <f>IF(C234=0,0,E234/C234)</f>
        <v>-0.10007683012337575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1382498</v>
      </c>
      <c r="D237" s="448">
        <f>LN_IG1+LN_IG9</f>
        <v>1135184</v>
      </c>
      <c r="E237" s="448">
        <f>D237-C237</f>
        <v>-247314</v>
      </c>
      <c r="F237" s="449">
        <f>IF(C237=0,0,E237/C237)</f>
        <v>-0.17888922804951615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514496</v>
      </c>
      <c r="D238" s="448">
        <f>LN_IG2+LN_IG10</f>
        <v>375866</v>
      </c>
      <c r="E238" s="448">
        <f>D238-C238</f>
        <v>-138630</v>
      </c>
      <c r="F238" s="449">
        <f>IF(C238=0,0,E238/C238)</f>
        <v>-0.26944815897499691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868002</v>
      </c>
      <c r="D239" s="448">
        <f>LN_IG13-LN_IG14</f>
        <v>759318</v>
      </c>
      <c r="E239" s="448">
        <f>D239-C239</f>
        <v>-108684</v>
      </c>
      <c r="F239" s="449">
        <f>IF(C239=0,0,E239/C239)</f>
        <v>-0.12521169306061508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28114619</v>
      </c>
      <c r="D243" s="448">
        <v>31817639</v>
      </c>
      <c r="E243" s="441">
        <f>D243-C243</f>
        <v>3703020</v>
      </c>
      <c r="F243" s="503">
        <f>IF(C243=0,0,E243/C243)</f>
        <v>0.1317115483585248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389521494</v>
      </c>
      <c r="D244" s="448">
        <v>377447207</v>
      </c>
      <c r="E244" s="441">
        <f>D244-C244</f>
        <v>-12074287</v>
      </c>
      <c r="F244" s="503">
        <f>IF(C244=0,0,E244/C244)</f>
        <v>-3.09977425790013E-2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6791581</v>
      </c>
      <c r="D248" s="441">
        <v>16310702</v>
      </c>
      <c r="E248" s="441">
        <f>D248-C248</f>
        <v>9519121</v>
      </c>
      <c r="F248" s="449">
        <f>IF(C248=0,0,E248/C248)</f>
        <v>1.4016060472517371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17293190</v>
      </c>
      <c r="D249" s="441">
        <v>9742308</v>
      </c>
      <c r="E249" s="441">
        <f>D249-C249</f>
        <v>-7550882</v>
      </c>
      <c r="F249" s="449">
        <f>IF(C249=0,0,E249/C249)</f>
        <v>-0.43663904693119082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24084771</v>
      </c>
      <c r="D250" s="441">
        <f>LN_IH4+LN_IH5</f>
        <v>26053010</v>
      </c>
      <c r="E250" s="441">
        <f>D250-C250</f>
        <v>1968239</v>
      </c>
      <c r="F250" s="449">
        <f>IF(C250=0,0,E250/C250)</f>
        <v>8.1721308456700711E-2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9301129.2075198535</v>
      </c>
      <c r="D251" s="441">
        <f>LN_IH6*LN_III10</f>
        <v>9672132.4017373808</v>
      </c>
      <c r="E251" s="441">
        <f>D251-C251</f>
        <v>371003.19421752729</v>
      </c>
      <c r="F251" s="449">
        <f>IF(C251=0,0,E251/C251)</f>
        <v>3.988797337828353E-2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188272265</v>
      </c>
      <c r="D254" s="441">
        <f>LN_IF23</f>
        <v>205724804</v>
      </c>
      <c r="E254" s="441">
        <f>D254-C254</f>
        <v>17452539</v>
      </c>
      <c r="F254" s="449">
        <f>IF(C254=0,0,E254/C254)</f>
        <v>9.2698406746208745E-2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55954658</v>
      </c>
      <c r="D255" s="441">
        <f>LN_IF24</f>
        <v>59259456</v>
      </c>
      <c r="E255" s="441">
        <f>D255-C255</f>
        <v>3304798</v>
      </c>
      <c r="F255" s="449">
        <f>IF(C255=0,0,E255/C255)</f>
        <v>5.9062071293510543E-2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72707548.805733621</v>
      </c>
      <c r="D256" s="441">
        <f>LN_IH8*LN_III10</f>
        <v>76374957.926530257</v>
      </c>
      <c r="E256" s="441">
        <f>D256-C256</f>
        <v>3667409.1207966357</v>
      </c>
      <c r="F256" s="449">
        <f>IF(C256=0,0,E256/C256)</f>
        <v>5.0440555087279036E-2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16752890.805733621</v>
      </c>
      <c r="D257" s="441">
        <f>LN_IH10-LN_IH9</f>
        <v>17115501.926530257</v>
      </c>
      <c r="E257" s="441">
        <f>D257-C257</f>
        <v>362611.12079663575</v>
      </c>
      <c r="F257" s="449">
        <f>IF(C257=0,0,E257/C257)</f>
        <v>2.1644689564414357E-2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411477153</v>
      </c>
      <c r="D261" s="448">
        <f>LN_IA1+LN_IB1+LN_IF1+LN_IG1</f>
        <v>410328218</v>
      </c>
      <c r="E261" s="448">
        <f t="shared" ref="E261:E274" si="26">D261-C261</f>
        <v>-1148935</v>
      </c>
      <c r="F261" s="503">
        <f t="shared" ref="F261:F274" si="27">IF(C261=0,0,E261/C261)</f>
        <v>-2.7922206412271935E-3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188682845</v>
      </c>
      <c r="D262" s="448">
        <f>+LN_IA2+LN_IB2+LN_IF2+LN_IG2</f>
        <v>188021084</v>
      </c>
      <c r="E262" s="448">
        <f t="shared" si="26"/>
        <v>-661761</v>
      </c>
      <c r="F262" s="503">
        <f t="shared" si="27"/>
        <v>-3.5072663866182428E-3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0.45854999147425324</v>
      </c>
      <c r="D263" s="453">
        <f>IF(LN_IIA1=0,0,LN_IIA2/LN_IIA1)</f>
        <v>0.45822118916520627</v>
      </c>
      <c r="E263" s="454">
        <f t="shared" si="26"/>
        <v>-3.2880230904697161E-4</v>
      </c>
      <c r="F263" s="458">
        <f t="shared" si="27"/>
        <v>-7.1704790134192661E-4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18252</v>
      </c>
      <c r="D264" s="456">
        <f>LN_IA4+LN_IB4+LN_IF4+LN_IG3</f>
        <v>17907</v>
      </c>
      <c r="E264" s="456">
        <f t="shared" si="26"/>
        <v>-345</v>
      </c>
      <c r="F264" s="503">
        <f t="shared" si="27"/>
        <v>-1.8902038132807365E-2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1.2001706278763971</v>
      </c>
      <c r="D265" s="525">
        <f>IF(LN_IIA4=0,0,LN_IIA6/LN_IIA4)</f>
        <v>1.2658488060534989</v>
      </c>
      <c r="E265" s="525">
        <f t="shared" si="26"/>
        <v>6.5678178177101865E-2</v>
      </c>
      <c r="F265" s="503">
        <f t="shared" si="27"/>
        <v>5.4724033942835267E-2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21905.514299999999</v>
      </c>
      <c r="D266" s="463">
        <f>LN_IA6+LN_IB6+LN_IF6+LN_IG5</f>
        <v>22667.554570000004</v>
      </c>
      <c r="E266" s="463">
        <f t="shared" si="26"/>
        <v>762.04027000000497</v>
      </c>
      <c r="F266" s="503">
        <f t="shared" si="27"/>
        <v>3.4787600033659334E-2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449270966</v>
      </c>
      <c r="D267" s="448">
        <f>LN_IA11+LN_IB13+LN_IF14+LN_IG9</f>
        <v>473587183</v>
      </c>
      <c r="E267" s="448">
        <f t="shared" si="26"/>
        <v>24316217</v>
      </c>
      <c r="F267" s="503">
        <f t="shared" si="27"/>
        <v>5.4123722297247226E-2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1.0918491165899555</v>
      </c>
      <c r="D268" s="453">
        <f>IF(LN_IIA1=0,0,LN_IIA7/LN_IIA1)</f>
        <v>1.1541667431704636</v>
      </c>
      <c r="E268" s="454">
        <f t="shared" si="26"/>
        <v>6.2317626580508101E-2</v>
      </c>
      <c r="F268" s="458">
        <f t="shared" si="27"/>
        <v>5.7075309796592998E-2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176574739</v>
      </c>
      <c r="D269" s="448">
        <f>LN_IA12+LN_IB14+LN_IF15+LN_IG10</f>
        <v>172913057</v>
      </c>
      <c r="E269" s="448">
        <f t="shared" si="26"/>
        <v>-3661682</v>
      </c>
      <c r="F269" s="503">
        <f t="shared" si="27"/>
        <v>-2.0737292439095719E-2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0.39302503914753306</v>
      </c>
      <c r="D270" s="453">
        <f>IF(LN_IIA7=0,0,LN_IIA9/LN_IIA7)</f>
        <v>0.36511346422987973</v>
      </c>
      <c r="E270" s="454">
        <f t="shared" si="26"/>
        <v>-2.7911574917653337E-2</v>
      </c>
      <c r="F270" s="458">
        <f t="shared" si="27"/>
        <v>-7.1017294415117241E-2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860748119</v>
      </c>
      <c r="D271" s="441">
        <f>LN_IIA1+LN_IIA7</f>
        <v>883915401</v>
      </c>
      <c r="E271" s="441">
        <f t="shared" si="26"/>
        <v>23167282</v>
      </c>
      <c r="F271" s="503">
        <f t="shared" si="27"/>
        <v>2.6915286236019065E-2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365257584</v>
      </c>
      <c r="D272" s="441">
        <f>LN_IIA2+LN_IIA9</f>
        <v>360934141</v>
      </c>
      <c r="E272" s="441">
        <f t="shared" si="26"/>
        <v>-4323443</v>
      </c>
      <c r="F272" s="503">
        <f t="shared" si="27"/>
        <v>-1.1836696045166854E-2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0.42434897728774473</v>
      </c>
      <c r="D273" s="453">
        <f>IF(LN_IIA11=0,0,LN_IIA12/LN_IIA11)</f>
        <v>0.40833561740372937</v>
      </c>
      <c r="E273" s="454">
        <f t="shared" si="26"/>
        <v>-1.6013359884015366E-2</v>
      </c>
      <c r="F273" s="458">
        <f t="shared" si="27"/>
        <v>-3.7736298992319582E-2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76771</v>
      </c>
      <c r="D274" s="508">
        <f>LN_IA8+LN_IB10+LN_IF11+LN_IG6</f>
        <v>75467</v>
      </c>
      <c r="E274" s="528">
        <f t="shared" si="26"/>
        <v>-1304</v>
      </c>
      <c r="F274" s="458">
        <f t="shared" si="27"/>
        <v>-1.6985580492633937E-2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312030580</v>
      </c>
      <c r="D277" s="448">
        <f>LN_IA1+LN_IF1+LN_IG1</f>
        <v>321023684</v>
      </c>
      <c r="E277" s="448">
        <f t="shared" ref="E277:E291" si="28">D277-C277</f>
        <v>8993104</v>
      </c>
      <c r="F277" s="503">
        <f t="shared" ref="F277:F291" si="29">IF(C277=0,0,E277/C277)</f>
        <v>2.8821226432358009E-2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123408118</v>
      </c>
      <c r="D278" s="448">
        <f>LN_IA2+LN_IF2+LN_IG2</f>
        <v>129010502</v>
      </c>
      <c r="E278" s="448">
        <f t="shared" si="28"/>
        <v>5602384</v>
      </c>
      <c r="F278" s="503">
        <f t="shared" si="29"/>
        <v>4.5397207985944654E-2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0.3955000756656607</v>
      </c>
      <c r="D279" s="453">
        <f>IF(D277=0,0,LN_IIB2/D277)</f>
        <v>0.40187222448048415</v>
      </c>
      <c r="E279" s="454">
        <f t="shared" si="28"/>
        <v>6.3721488148234529E-3</v>
      </c>
      <c r="F279" s="458">
        <f t="shared" si="29"/>
        <v>1.6111624767956308E-2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12907</v>
      </c>
      <c r="D280" s="456">
        <f>LN_IA4+LN_IF4+LN_IG3</f>
        <v>13151</v>
      </c>
      <c r="E280" s="456">
        <f t="shared" si="28"/>
        <v>244</v>
      </c>
      <c r="F280" s="503">
        <f t="shared" si="29"/>
        <v>1.8904470442395599E-2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1.2506806616564656</v>
      </c>
      <c r="D281" s="525">
        <f>IF(LN_IIB4=0,0,LN_IIB6/LN_IIB4)</f>
        <v>1.3141822956429172</v>
      </c>
      <c r="E281" s="525">
        <f t="shared" si="28"/>
        <v>6.3501633986451589E-2</v>
      </c>
      <c r="F281" s="503">
        <f t="shared" si="29"/>
        <v>5.0773659442648431E-2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16142.535300000001</v>
      </c>
      <c r="D282" s="463">
        <f>LN_IA6+LN_IF6+LN_IG5</f>
        <v>17282.811370000003</v>
      </c>
      <c r="E282" s="463">
        <f t="shared" si="28"/>
        <v>1140.2760700000017</v>
      </c>
      <c r="F282" s="503">
        <f t="shared" si="29"/>
        <v>7.0637979029229789E-2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263880232</v>
      </c>
      <c r="D283" s="448">
        <f>LN_IA11+LN_IF14+LN_IG9</f>
        <v>287480300</v>
      </c>
      <c r="E283" s="448">
        <f t="shared" si="28"/>
        <v>23600068</v>
      </c>
      <c r="F283" s="503">
        <f t="shared" si="29"/>
        <v>8.9434770543933728E-2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0.84568708618238631</v>
      </c>
      <c r="D284" s="453">
        <f>IF(D277=0,0,LN_IIB7/D277)</f>
        <v>0.89551118602202573</v>
      </c>
      <c r="E284" s="454">
        <f t="shared" si="28"/>
        <v>4.9824099839639424E-2</v>
      </c>
      <c r="F284" s="458">
        <f t="shared" si="29"/>
        <v>5.8915526385245096E-2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73735170</v>
      </c>
      <c r="D285" s="448">
        <f>LN_IA12+LN_IF15+LN_IG10</f>
        <v>71318044</v>
      </c>
      <c r="E285" s="448">
        <f t="shared" si="28"/>
        <v>-2417126</v>
      </c>
      <c r="F285" s="503">
        <f t="shared" si="29"/>
        <v>-3.2781181626081554E-2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0.27942665292184526</v>
      </c>
      <c r="D286" s="453">
        <f>IF(LN_IIB7=0,0,LN_IIB9/LN_IIB7)</f>
        <v>0.24807976059576953</v>
      </c>
      <c r="E286" s="454">
        <f t="shared" si="28"/>
        <v>-3.1346892326075737E-2</v>
      </c>
      <c r="F286" s="458">
        <f t="shared" si="29"/>
        <v>-0.11218290022907501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575910812</v>
      </c>
      <c r="D287" s="441">
        <f>D277+LN_IIB7</f>
        <v>608503984</v>
      </c>
      <c r="E287" s="441">
        <f t="shared" si="28"/>
        <v>32593172</v>
      </c>
      <c r="F287" s="503">
        <f t="shared" si="29"/>
        <v>5.6594131106536681E-2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197143288</v>
      </c>
      <c r="D288" s="441">
        <f>LN_IIB2+LN_IIB9</f>
        <v>200328546</v>
      </c>
      <c r="E288" s="441">
        <f t="shared" si="28"/>
        <v>3185258</v>
      </c>
      <c r="F288" s="503">
        <f t="shared" si="29"/>
        <v>1.6157070485706821E-2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0.34231565702919986</v>
      </c>
      <c r="D289" s="453">
        <f>IF(LN_IIB11=0,0,LN_IIB12/LN_IIB11)</f>
        <v>0.32921484701405013</v>
      </c>
      <c r="E289" s="454">
        <f t="shared" si="28"/>
        <v>-1.3100810015149733E-2</v>
      </c>
      <c r="F289" s="458">
        <f t="shared" si="29"/>
        <v>-3.8271138775379535E-2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59461</v>
      </c>
      <c r="D290" s="508">
        <f>LN_IA8+LN_IF11+LN_IG6</f>
        <v>59540</v>
      </c>
      <c r="E290" s="528">
        <f t="shared" si="28"/>
        <v>79</v>
      </c>
      <c r="F290" s="458">
        <f t="shared" si="29"/>
        <v>1.3286019407678983E-3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378767524</v>
      </c>
      <c r="D291" s="516">
        <f>LN_IIB11-LN_IIB12</f>
        <v>408175438</v>
      </c>
      <c r="E291" s="441">
        <f t="shared" si="28"/>
        <v>29407914</v>
      </c>
      <c r="F291" s="503">
        <f t="shared" si="29"/>
        <v>7.7641065129966103E-2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4.8122946973251999</v>
      </c>
      <c r="D294" s="466">
        <f>IF(LN_IA4=0,0,LN_IA8/LN_IA4)</f>
        <v>4.8168714555765595</v>
      </c>
      <c r="E294" s="466">
        <f t="shared" ref="E294:E300" si="30">D294-C294</f>
        <v>4.5767582513596139E-3</v>
      </c>
      <c r="F294" s="503">
        <f t="shared" ref="F294:F300" si="31">IF(C294=0,0,E294/C294)</f>
        <v>9.5105527388077388E-4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3.2385406922357345</v>
      </c>
      <c r="D295" s="466">
        <f>IF(LN_IB4=0,0,(LN_IB10)/(LN_IB4))</f>
        <v>3.3488225399495373</v>
      </c>
      <c r="E295" s="466">
        <f t="shared" si="30"/>
        <v>0.11028184771380278</v>
      </c>
      <c r="F295" s="503">
        <f t="shared" si="31"/>
        <v>3.4052944889097395E-2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3.7349999999999999</v>
      </c>
      <c r="D296" s="466">
        <f>IF(LN_IC4=0,0,LN_IC11/LN_IC4)</f>
        <v>2.703883495145631</v>
      </c>
      <c r="E296" s="466">
        <f t="shared" si="30"/>
        <v>-1.0311165048543689</v>
      </c>
      <c r="F296" s="503">
        <f t="shared" si="31"/>
        <v>-0.27606867599849233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4.2176011029411766</v>
      </c>
      <c r="D297" s="466">
        <f>IF(LN_ID4=0,0,LN_ID11/LN_ID4)</f>
        <v>4.0111396743787493</v>
      </c>
      <c r="E297" s="466">
        <f t="shared" si="30"/>
        <v>-0.20646142856242733</v>
      </c>
      <c r="F297" s="503">
        <f t="shared" si="31"/>
        <v>-4.8952336535204775E-2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2.774193548387097</v>
      </c>
      <c r="D299" s="466">
        <f>IF(LN_IG3=0,0,LN_IG6/LN_IG3)</f>
        <v>2.4210526315789473</v>
      </c>
      <c r="E299" s="466">
        <f t="shared" si="30"/>
        <v>-0.35314091680814963</v>
      </c>
      <c r="F299" s="503">
        <f t="shared" si="31"/>
        <v>-0.12729498164014694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4.2061691869384177</v>
      </c>
      <c r="D300" s="466">
        <f>IF(LN_IIA4=0,0,LN_IIA14/LN_IIA4)</f>
        <v>4.2143854358630701</v>
      </c>
      <c r="E300" s="466">
        <f t="shared" si="30"/>
        <v>8.2162489246524473E-3</v>
      </c>
      <c r="F300" s="503">
        <f t="shared" si="31"/>
        <v>1.9533805131202731E-3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860748119</v>
      </c>
      <c r="D304" s="441">
        <f>LN_IIA11</f>
        <v>883915401</v>
      </c>
      <c r="E304" s="441">
        <f t="shared" ref="E304:E316" si="32">D304-C304</f>
        <v>23167282</v>
      </c>
      <c r="F304" s="449">
        <f>IF(C304=0,0,E304/C304)</f>
        <v>2.6915286236019065E-2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378767524</v>
      </c>
      <c r="D305" s="441">
        <f>LN_IIB14</f>
        <v>408175438</v>
      </c>
      <c r="E305" s="441">
        <f t="shared" si="32"/>
        <v>29407914</v>
      </c>
      <c r="F305" s="449">
        <f>IF(C305=0,0,E305/C305)</f>
        <v>7.7641065129966103E-2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24084771</v>
      </c>
      <c r="D306" s="441">
        <f>LN_IH6</f>
        <v>26053010</v>
      </c>
      <c r="E306" s="441">
        <f t="shared" si="32"/>
        <v>1968239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118169124</v>
      </c>
      <c r="D307" s="441">
        <f>LN_IB32-LN_IB33</f>
        <v>114805822</v>
      </c>
      <c r="E307" s="441">
        <f t="shared" si="32"/>
        <v>-3363302</v>
      </c>
      <c r="F307" s="449">
        <f t="shared" ref="F307:F316" si="33">IF(C307=0,0,E307/C307)</f>
        <v>-2.8461766374776546E-2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7320406</v>
      </c>
      <c r="D308" s="441">
        <v>6729152</v>
      </c>
      <c r="E308" s="441">
        <f t="shared" si="32"/>
        <v>-591254</v>
      </c>
      <c r="F308" s="449">
        <f t="shared" si="33"/>
        <v>-8.0767924620574319E-2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528341825</v>
      </c>
      <c r="D309" s="441">
        <f>LN_III2+LN_III3+LN_III4+LN_III5</f>
        <v>555763422</v>
      </c>
      <c r="E309" s="441">
        <f t="shared" si="32"/>
        <v>27421597</v>
      </c>
      <c r="F309" s="449">
        <f t="shared" si="33"/>
        <v>5.1901242155114255E-2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332406294</v>
      </c>
      <c r="D310" s="441">
        <f>LN_III1-LN_III6</f>
        <v>328151979</v>
      </c>
      <c r="E310" s="441">
        <f t="shared" si="32"/>
        <v>-4254315</v>
      </c>
      <c r="F310" s="449">
        <f t="shared" si="33"/>
        <v>-1.2798539247875974E-2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332406294</v>
      </c>
      <c r="D312" s="441">
        <f>LN_III7+LN_III8</f>
        <v>328151979</v>
      </c>
      <c r="E312" s="441">
        <f t="shared" si="32"/>
        <v>-4254315</v>
      </c>
      <c r="F312" s="449">
        <f t="shared" si="33"/>
        <v>-1.2798539247875974E-2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0.38618300367148406</v>
      </c>
      <c r="D313" s="532">
        <f>IF(LN_III1=0,0,LN_III9/LN_III1)</f>
        <v>0.37124817446189062</v>
      </c>
      <c r="E313" s="532">
        <f t="shared" si="32"/>
        <v>-1.4934829209593437E-2</v>
      </c>
      <c r="F313" s="449">
        <f t="shared" si="33"/>
        <v>-3.8672932437746825E-2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9301129.2075198535</v>
      </c>
      <c r="D314" s="441">
        <f>D313*LN_III5</f>
        <v>9672132.4017373808</v>
      </c>
      <c r="E314" s="441">
        <f t="shared" si="32"/>
        <v>371003.19421752729</v>
      </c>
      <c r="F314" s="449">
        <f t="shared" si="33"/>
        <v>3.988797337828353E-2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16752890.805733621</v>
      </c>
      <c r="D315" s="441">
        <f>D313*LN_IH8-LN_IH9</f>
        <v>17115501.926530257</v>
      </c>
      <c r="E315" s="441">
        <f t="shared" si="32"/>
        <v>362611.12079663575</v>
      </c>
      <c r="F315" s="449">
        <f t="shared" si="33"/>
        <v>2.1644689564414357E-2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26054020.013253473</v>
      </c>
      <c r="D318" s="441">
        <f>D314+D315+D316</f>
        <v>26787634.328267638</v>
      </c>
      <c r="E318" s="441">
        <f>D318-C318</f>
        <v>733614.31501416489</v>
      </c>
      <c r="F318" s="449">
        <f>IF(C318=0,0,E318/C318)</f>
        <v>2.815743269717998E-2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14373340.831400344</v>
      </c>
      <c r="D322" s="441">
        <f>LN_ID22</f>
        <v>11587465.76981584</v>
      </c>
      <c r="E322" s="441">
        <f>LN_IV2-C322</f>
        <v>-2785875.0615845043</v>
      </c>
      <c r="F322" s="449">
        <f>IF(C322=0,0,E322/C322)</f>
        <v>-0.1938223753449452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571892.96950719075</v>
      </c>
      <c r="D324" s="441">
        <f>LN_IC10+LN_IC22</f>
        <v>5042849.9319778578</v>
      </c>
      <c r="E324" s="441">
        <f>LN_IV1-C324</f>
        <v>4470956.9624706674</v>
      </c>
      <c r="F324" s="449">
        <f>IF(C324=0,0,E324/C324)</f>
        <v>7.8178211673477334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14945233.800907535</v>
      </c>
      <c r="D325" s="516">
        <f>LN_IV1+LN_IV2+LN_IV3</f>
        <v>16630315.701793697</v>
      </c>
      <c r="E325" s="441">
        <f>LN_IV4-C325</f>
        <v>1685081.9008861613</v>
      </c>
      <c r="F325" s="449">
        <f>IF(C325=0,0,E325/C325)</f>
        <v>0.11275045431432704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7320406</v>
      </c>
      <c r="D329" s="518">
        <v>9762581</v>
      </c>
      <c r="E329" s="518">
        <f t="shared" ref="E329:E335" si="34">D329-C329</f>
        <v>2442175</v>
      </c>
      <c r="F329" s="542">
        <f t="shared" ref="F329:F335" si="35">IF(C329=0,0,E329/C329)</f>
        <v>0.3336119608666514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28271399</v>
      </c>
      <c r="D330" s="516">
        <v>10973348</v>
      </c>
      <c r="E330" s="518">
        <f t="shared" si="34"/>
        <v>-17298051</v>
      </c>
      <c r="F330" s="543">
        <f t="shared" si="35"/>
        <v>-0.61185691588873969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393528986</v>
      </c>
      <c r="D331" s="516">
        <v>371907491</v>
      </c>
      <c r="E331" s="518">
        <f t="shared" si="34"/>
        <v>-21621495</v>
      </c>
      <c r="F331" s="542">
        <f t="shared" si="35"/>
        <v>-5.494257289601534E-2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9669512</v>
      </c>
      <c r="D332" s="516">
        <v>10645868</v>
      </c>
      <c r="E332" s="518">
        <f t="shared" si="34"/>
        <v>976356</v>
      </c>
      <c r="F332" s="543">
        <f t="shared" si="35"/>
        <v>0.10097262405796693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870417634</v>
      </c>
      <c r="D333" s="516">
        <v>894561269</v>
      </c>
      <c r="E333" s="518">
        <f t="shared" si="34"/>
        <v>24143635</v>
      </c>
      <c r="F333" s="542">
        <f t="shared" si="35"/>
        <v>2.7737989278833936E-2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24084771</v>
      </c>
      <c r="D335" s="516">
        <v>26053010</v>
      </c>
      <c r="E335" s="516">
        <f t="shared" si="34"/>
        <v>1968239</v>
      </c>
      <c r="F335" s="542">
        <f t="shared" si="35"/>
        <v>8.1721308456700711E-2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E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99446573</v>
      </c>
      <c r="D14" s="589">
        <v>89304534</v>
      </c>
      <c r="E14" s="590">
        <f t="shared" ref="E14:E22" si="0">D14-C14</f>
        <v>-10142039</v>
      </c>
    </row>
    <row r="15" spans="1:5" s="421" customFormat="1" x14ac:dyDescent="0.2">
      <c r="A15" s="588">
        <v>2</v>
      </c>
      <c r="B15" s="587" t="s">
        <v>635</v>
      </c>
      <c r="C15" s="589">
        <v>235878746</v>
      </c>
      <c r="D15" s="591">
        <v>241612322</v>
      </c>
      <c r="E15" s="590">
        <f t="shared" si="0"/>
        <v>5733576</v>
      </c>
    </row>
    <row r="16" spans="1:5" s="421" customFormat="1" x14ac:dyDescent="0.2">
      <c r="A16" s="588">
        <v>3</v>
      </c>
      <c r="B16" s="587" t="s">
        <v>777</v>
      </c>
      <c r="C16" s="589">
        <v>75640131</v>
      </c>
      <c r="D16" s="591">
        <v>79113082</v>
      </c>
      <c r="E16" s="590">
        <f t="shared" si="0"/>
        <v>3472951</v>
      </c>
    </row>
    <row r="17" spans="1:5" s="421" customFormat="1" x14ac:dyDescent="0.2">
      <c r="A17" s="588">
        <v>4</v>
      </c>
      <c r="B17" s="587" t="s">
        <v>115</v>
      </c>
      <c r="C17" s="589">
        <v>75640131</v>
      </c>
      <c r="D17" s="591">
        <v>79113082</v>
      </c>
      <c r="E17" s="590">
        <f t="shared" si="0"/>
        <v>3472951</v>
      </c>
    </row>
    <row r="18" spans="1:5" s="421" customFormat="1" x14ac:dyDescent="0.2">
      <c r="A18" s="588">
        <v>5</v>
      </c>
      <c r="B18" s="587" t="s">
        <v>743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511703</v>
      </c>
      <c r="D19" s="591">
        <v>298280</v>
      </c>
      <c r="E19" s="590">
        <f t="shared" si="0"/>
        <v>-213423</v>
      </c>
    </row>
    <row r="20" spans="1:5" s="421" customFormat="1" x14ac:dyDescent="0.2">
      <c r="A20" s="588">
        <v>7</v>
      </c>
      <c r="B20" s="587" t="s">
        <v>758</v>
      </c>
      <c r="C20" s="589">
        <v>6962793</v>
      </c>
      <c r="D20" s="591">
        <v>4494481</v>
      </c>
      <c r="E20" s="590">
        <f t="shared" si="0"/>
        <v>-2468312</v>
      </c>
    </row>
    <row r="21" spans="1:5" s="421" customFormat="1" x14ac:dyDescent="0.2">
      <c r="A21" s="588"/>
      <c r="B21" s="592" t="s">
        <v>778</v>
      </c>
      <c r="C21" s="593">
        <f>SUM(C15+C16+C19)</f>
        <v>312030580</v>
      </c>
      <c r="D21" s="593">
        <f>SUM(D15+D16+D19)</f>
        <v>321023684</v>
      </c>
      <c r="E21" s="593">
        <f t="shared" si="0"/>
        <v>8993104</v>
      </c>
    </row>
    <row r="22" spans="1:5" s="421" customFormat="1" x14ac:dyDescent="0.2">
      <c r="A22" s="588"/>
      <c r="B22" s="592" t="s">
        <v>465</v>
      </c>
      <c r="C22" s="593">
        <f>SUM(C14+C21)</f>
        <v>411477153</v>
      </c>
      <c r="D22" s="593">
        <f>SUM(D14+D21)</f>
        <v>410328218</v>
      </c>
      <c r="E22" s="593">
        <f t="shared" si="0"/>
        <v>-1148935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185390734</v>
      </c>
      <c r="D25" s="589">
        <v>186106883</v>
      </c>
      <c r="E25" s="590">
        <f t="shared" ref="E25:E33" si="1">D25-C25</f>
        <v>716149</v>
      </c>
    </row>
    <row r="26" spans="1:5" s="421" customFormat="1" x14ac:dyDescent="0.2">
      <c r="A26" s="588">
        <v>2</v>
      </c>
      <c r="B26" s="587" t="s">
        <v>635</v>
      </c>
      <c r="C26" s="589">
        <v>150377303</v>
      </c>
      <c r="D26" s="591">
        <v>160031674</v>
      </c>
      <c r="E26" s="590">
        <f t="shared" si="1"/>
        <v>9654371</v>
      </c>
    </row>
    <row r="27" spans="1:5" s="421" customFormat="1" x14ac:dyDescent="0.2">
      <c r="A27" s="588">
        <v>3</v>
      </c>
      <c r="B27" s="587" t="s">
        <v>777</v>
      </c>
      <c r="C27" s="589">
        <v>112632134</v>
      </c>
      <c r="D27" s="591">
        <v>126611722</v>
      </c>
      <c r="E27" s="590">
        <f t="shared" si="1"/>
        <v>13979588</v>
      </c>
    </row>
    <row r="28" spans="1:5" s="421" customFormat="1" x14ac:dyDescent="0.2">
      <c r="A28" s="588">
        <v>4</v>
      </c>
      <c r="B28" s="587" t="s">
        <v>115</v>
      </c>
      <c r="C28" s="589">
        <v>112632134</v>
      </c>
      <c r="D28" s="591">
        <v>126611722</v>
      </c>
      <c r="E28" s="590">
        <f t="shared" si="1"/>
        <v>13979588</v>
      </c>
    </row>
    <row r="29" spans="1:5" s="421" customFormat="1" x14ac:dyDescent="0.2">
      <c r="A29" s="588">
        <v>5</v>
      </c>
      <c r="B29" s="587" t="s">
        <v>743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870795</v>
      </c>
      <c r="D30" s="591">
        <v>836904</v>
      </c>
      <c r="E30" s="590">
        <f t="shared" si="1"/>
        <v>-33891</v>
      </c>
    </row>
    <row r="31" spans="1:5" s="421" customFormat="1" x14ac:dyDescent="0.2">
      <c r="A31" s="588">
        <v>7</v>
      </c>
      <c r="B31" s="587" t="s">
        <v>758</v>
      </c>
      <c r="C31" s="590">
        <v>16102691</v>
      </c>
      <c r="D31" s="594">
        <v>15286291</v>
      </c>
      <c r="E31" s="590">
        <f t="shared" si="1"/>
        <v>-816400</v>
      </c>
    </row>
    <row r="32" spans="1:5" s="421" customFormat="1" x14ac:dyDescent="0.2">
      <c r="A32" s="588"/>
      <c r="B32" s="592" t="s">
        <v>780</v>
      </c>
      <c r="C32" s="593">
        <f>SUM(C26+C27+C30)</f>
        <v>263880232</v>
      </c>
      <c r="D32" s="593">
        <f>SUM(D26+D27+D30)</f>
        <v>287480300</v>
      </c>
      <c r="E32" s="593">
        <f t="shared" si="1"/>
        <v>23600068</v>
      </c>
    </row>
    <row r="33" spans="1:5" s="421" customFormat="1" x14ac:dyDescent="0.2">
      <c r="A33" s="588"/>
      <c r="B33" s="592" t="s">
        <v>467</v>
      </c>
      <c r="C33" s="593">
        <f>SUM(C25+C32)</f>
        <v>449270966</v>
      </c>
      <c r="D33" s="593">
        <f>SUM(D25+D32)</f>
        <v>473587183</v>
      </c>
      <c r="E33" s="593">
        <f t="shared" si="1"/>
        <v>24316217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284837307</v>
      </c>
      <c r="D36" s="590">
        <f t="shared" si="2"/>
        <v>275411417</v>
      </c>
      <c r="E36" s="590">
        <f t="shared" ref="E36:E44" si="3">D36-C36</f>
        <v>-9425890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386256049</v>
      </c>
      <c r="D37" s="590">
        <f t="shared" si="2"/>
        <v>401643996</v>
      </c>
      <c r="E37" s="590">
        <f t="shared" si="3"/>
        <v>15387947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188272265</v>
      </c>
      <c r="D38" s="590">
        <f t="shared" si="2"/>
        <v>205724804</v>
      </c>
      <c r="E38" s="590">
        <f t="shared" si="3"/>
        <v>17452539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188272265</v>
      </c>
      <c r="D39" s="590">
        <f t="shared" si="2"/>
        <v>205724804</v>
      </c>
      <c r="E39" s="590">
        <f t="shared" si="3"/>
        <v>17452539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1382498</v>
      </c>
      <c r="D41" s="590">
        <f t="shared" si="2"/>
        <v>1135184</v>
      </c>
      <c r="E41" s="590">
        <f t="shared" si="3"/>
        <v>-247314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23065484</v>
      </c>
      <c r="D42" s="590">
        <f t="shared" si="2"/>
        <v>19780772</v>
      </c>
      <c r="E42" s="590">
        <f t="shared" si="3"/>
        <v>-3284712</v>
      </c>
    </row>
    <row r="43" spans="1:5" s="421" customFormat="1" x14ac:dyDescent="0.2">
      <c r="A43" s="588"/>
      <c r="B43" s="592" t="s">
        <v>788</v>
      </c>
      <c r="C43" s="593">
        <f>SUM(C37+C38+C41)</f>
        <v>575910812</v>
      </c>
      <c r="D43" s="593">
        <f>SUM(D37+D38+D41)</f>
        <v>608503984</v>
      </c>
      <c r="E43" s="593">
        <f t="shared" si="3"/>
        <v>32593172</v>
      </c>
    </row>
    <row r="44" spans="1:5" s="421" customFormat="1" x14ac:dyDescent="0.2">
      <c r="A44" s="588"/>
      <c r="B44" s="592" t="s">
        <v>725</v>
      </c>
      <c r="C44" s="593">
        <f>SUM(C36+C43)</f>
        <v>860748119</v>
      </c>
      <c r="D44" s="593">
        <f>SUM(D36+D43)</f>
        <v>883915401</v>
      </c>
      <c r="E44" s="593">
        <f t="shared" si="3"/>
        <v>23167282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65274727</v>
      </c>
      <c r="D47" s="589">
        <v>59010582</v>
      </c>
      <c r="E47" s="590">
        <f t="shared" ref="E47:E55" si="4">D47-C47</f>
        <v>-6264145</v>
      </c>
    </row>
    <row r="48" spans="1:5" s="421" customFormat="1" x14ac:dyDescent="0.2">
      <c r="A48" s="588">
        <v>2</v>
      </c>
      <c r="B48" s="587" t="s">
        <v>635</v>
      </c>
      <c r="C48" s="589">
        <v>100610285</v>
      </c>
      <c r="D48" s="591">
        <v>105254290</v>
      </c>
      <c r="E48" s="590">
        <f t="shared" si="4"/>
        <v>4644005</v>
      </c>
    </row>
    <row r="49" spans="1:5" s="421" customFormat="1" x14ac:dyDescent="0.2">
      <c r="A49" s="588">
        <v>3</v>
      </c>
      <c r="B49" s="587" t="s">
        <v>777</v>
      </c>
      <c r="C49" s="589">
        <v>22551461</v>
      </c>
      <c r="D49" s="591">
        <v>23621637</v>
      </c>
      <c r="E49" s="590">
        <f t="shared" si="4"/>
        <v>1070176</v>
      </c>
    </row>
    <row r="50" spans="1:5" s="421" customFormat="1" x14ac:dyDescent="0.2">
      <c r="A50" s="588">
        <v>4</v>
      </c>
      <c r="B50" s="587" t="s">
        <v>115</v>
      </c>
      <c r="C50" s="589">
        <v>22551461</v>
      </c>
      <c r="D50" s="591">
        <v>23621637</v>
      </c>
      <c r="E50" s="590">
        <f t="shared" si="4"/>
        <v>1070176</v>
      </c>
    </row>
    <row r="51" spans="1:5" s="421" customFormat="1" x14ac:dyDescent="0.2">
      <c r="A51" s="588">
        <v>5</v>
      </c>
      <c r="B51" s="587" t="s">
        <v>743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246372</v>
      </c>
      <c r="D52" s="591">
        <v>134575</v>
      </c>
      <c r="E52" s="590">
        <f t="shared" si="4"/>
        <v>-111797</v>
      </c>
    </row>
    <row r="53" spans="1:5" s="421" customFormat="1" x14ac:dyDescent="0.2">
      <c r="A53" s="588">
        <v>7</v>
      </c>
      <c r="B53" s="587" t="s">
        <v>758</v>
      </c>
      <c r="C53" s="589">
        <v>2347104</v>
      </c>
      <c r="D53" s="591">
        <v>1006871</v>
      </c>
      <c r="E53" s="590">
        <f t="shared" si="4"/>
        <v>-1340233</v>
      </c>
    </row>
    <row r="54" spans="1:5" s="421" customFormat="1" x14ac:dyDescent="0.2">
      <c r="A54" s="588"/>
      <c r="B54" s="592" t="s">
        <v>790</v>
      </c>
      <c r="C54" s="593">
        <f>SUM(C48+C49+C52)</f>
        <v>123408118</v>
      </c>
      <c r="D54" s="593">
        <f>SUM(D48+D49+D52)</f>
        <v>129010502</v>
      </c>
      <c r="E54" s="593">
        <f t="shared" si="4"/>
        <v>5602384</v>
      </c>
    </row>
    <row r="55" spans="1:5" s="421" customFormat="1" x14ac:dyDescent="0.2">
      <c r="A55" s="588"/>
      <c r="B55" s="592" t="s">
        <v>466</v>
      </c>
      <c r="C55" s="593">
        <f>SUM(C47+C54)</f>
        <v>188682845</v>
      </c>
      <c r="D55" s="593">
        <f>SUM(D47+D54)</f>
        <v>188021084</v>
      </c>
      <c r="E55" s="593">
        <f t="shared" si="4"/>
        <v>-661761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102839569</v>
      </c>
      <c r="D58" s="589">
        <v>101595013</v>
      </c>
      <c r="E58" s="590">
        <f t="shared" ref="E58:E66" si="5">D58-C58</f>
        <v>-1244556</v>
      </c>
    </row>
    <row r="59" spans="1:5" s="421" customFormat="1" x14ac:dyDescent="0.2">
      <c r="A59" s="588">
        <v>2</v>
      </c>
      <c r="B59" s="587" t="s">
        <v>635</v>
      </c>
      <c r="C59" s="589">
        <v>40063849</v>
      </c>
      <c r="D59" s="591">
        <v>35438934</v>
      </c>
      <c r="E59" s="590">
        <f t="shared" si="5"/>
        <v>-4624915</v>
      </c>
    </row>
    <row r="60" spans="1:5" s="421" customFormat="1" x14ac:dyDescent="0.2">
      <c r="A60" s="588">
        <v>3</v>
      </c>
      <c r="B60" s="587" t="s">
        <v>777</v>
      </c>
      <c r="C60" s="589">
        <f>C61+C62</f>
        <v>33403197</v>
      </c>
      <c r="D60" s="591">
        <f>D61+D62</f>
        <v>35637819</v>
      </c>
      <c r="E60" s="590">
        <f t="shared" si="5"/>
        <v>2234622</v>
      </c>
    </row>
    <row r="61" spans="1:5" s="421" customFormat="1" x14ac:dyDescent="0.2">
      <c r="A61" s="588">
        <v>4</v>
      </c>
      <c r="B61" s="587" t="s">
        <v>115</v>
      </c>
      <c r="C61" s="589">
        <v>33403197</v>
      </c>
      <c r="D61" s="591">
        <v>35637819</v>
      </c>
      <c r="E61" s="590">
        <f t="shared" si="5"/>
        <v>2234622</v>
      </c>
    </row>
    <row r="62" spans="1:5" s="421" customFormat="1" x14ac:dyDescent="0.2">
      <c r="A62" s="588">
        <v>5</v>
      </c>
      <c r="B62" s="587" t="s">
        <v>743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268124</v>
      </c>
      <c r="D63" s="591">
        <v>241291</v>
      </c>
      <c r="E63" s="590">
        <f t="shared" si="5"/>
        <v>-26833</v>
      </c>
    </row>
    <row r="64" spans="1:5" s="421" customFormat="1" x14ac:dyDescent="0.2">
      <c r="A64" s="588">
        <v>7</v>
      </c>
      <c r="B64" s="587" t="s">
        <v>758</v>
      </c>
      <c r="C64" s="589">
        <v>2199511</v>
      </c>
      <c r="D64" s="591">
        <v>271415</v>
      </c>
      <c r="E64" s="590">
        <f t="shared" si="5"/>
        <v>-1928096</v>
      </c>
    </row>
    <row r="65" spans="1:5" s="421" customFormat="1" x14ac:dyDescent="0.2">
      <c r="A65" s="588"/>
      <c r="B65" s="592" t="s">
        <v>792</v>
      </c>
      <c r="C65" s="593">
        <f>SUM(C59+C60+C63)</f>
        <v>73735170</v>
      </c>
      <c r="D65" s="593">
        <f>SUM(D59+D60+D63)</f>
        <v>71318044</v>
      </c>
      <c r="E65" s="593">
        <f t="shared" si="5"/>
        <v>-2417126</v>
      </c>
    </row>
    <row r="66" spans="1:5" s="421" customFormat="1" x14ac:dyDescent="0.2">
      <c r="A66" s="588"/>
      <c r="B66" s="592" t="s">
        <v>468</v>
      </c>
      <c r="C66" s="593">
        <f>SUM(C58+C65)</f>
        <v>176574739</v>
      </c>
      <c r="D66" s="593">
        <f>SUM(D58+D65)</f>
        <v>172913057</v>
      </c>
      <c r="E66" s="593">
        <f t="shared" si="5"/>
        <v>-3661682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168114296</v>
      </c>
      <c r="D69" s="590">
        <f t="shared" si="6"/>
        <v>160605595</v>
      </c>
      <c r="E69" s="590">
        <f t="shared" ref="E69:E77" si="7">D69-C69</f>
        <v>-7508701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140674134</v>
      </c>
      <c r="D70" s="590">
        <f t="shared" si="6"/>
        <v>140693224</v>
      </c>
      <c r="E70" s="590">
        <f t="shared" si="7"/>
        <v>19090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55954658</v>
      </c>
      <c r="D71" s="590">
        <f t="shared" si="6"/>
        <v>59259456</v>
      </c>
      <c r="E71" s="590">
        <f t="shared" si="7"/>
        <v>3304798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55954658</v>
      </c>
      <c r="D72" s="590">
        <f t="shared" si="6"/>
        <v>59259456</v>
      </c>
      <c r="E72" s="590">
        <f t="shared" si="7"/>
        <v>3304798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514496</v>
      </c>
      <c r="D74" s="590">
        <f t="shared" si="6"/>
        <v>375866</v>
      </c>
      <c r="E74" s="590">
        <f t="shared" si="7"/>
        <v>-138630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4546615</v>
      </c>
      <c r="D75" s="590">
        <f t="shared" si="6"/>
        <v>1278286</v>
      </c>
      <c r="E75" s="590">
        <f t="shared" si="7"/>
        <v>-3268329</v>
      </c>
    </row>
    <row r="76" spans="1:5" s="421" customFormat="1" x14ac:dyDescent="0.2">
      <c r="A76" s="588"/>
      <c r="B76" s="592" t="s">
        <v>793</v>
      </c>
      <c r="C76" s="593">
        <f>SUM(C70+C71+C74)</f>
        <v>197143288</v>
      </c>
      <c r="D76" s="593">
        <f>SUM(D70+D71+D74)</f>
        <v>200328546</v>
      </c>
      <c r="E76" s="593">
        <f t="shared" si="7"/>
        <v>3185258</v>
      </c>
    </row>
    <row r="77" spans="1:5" s="421" customFormat="1" x14ac:dyDescent="0.2">
      <c r="A77" s="588"/>
      <c r="B77" s="592" t="s">
        <v>726</v>
      </c>
      <c r="C77" s="593">
        <f>SUM(C69+C76)</f>
        <v>365257584</v>
      </c>
      <c r="D77" s="593">
        <f>SUM(D69+D76)</f>
        <v>360934141</v>
      </c>
      <c r="E77" s="593">
        <f t="shared" si="7"/>
        <v>-4323443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0.11553504539229786</v>
      </c>
      <c r="D83" s="599">
        <f t="shared" si="8"/>
        <v>0.10103289737792452</v>
      </c>
      <c r="E83" s="599">
        <f t="shared" ref="E83:E91" si="9">D83-C83</f>
        <v>-1.4502148014373342E-2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0.27403922331429459</v>
      </c>
      <c r="D84" s="599">
        <f t="shared" si="8"/>
        <v>0.27334326534717773</v>
      </c>
      <c r="E84" s="599">
        <f t="shared" si="9"/>
        <v>-6.9595796711685587E-4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8.7877195814121789E-2</v>
      </c>
      <c r="D85" s="599">
        <f t="shared" si="8"/>
        <v>8.9503002109135102E-2</v>
      </c>
      <c r="E85" s="599">
        <f t="shared" si="9"/>
        <v>1.6258062950133129E-3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8.7877195814121789E-2</v>
      </c>
      <c r="D86" s="599">
        <f t="shared" si="8"/>
        <v>8.9503002109135102E-2</v>
      </c>
      <c r="E86" s="599">
        <f t="shared" si="9"/>
        <v>1.6258062950133129E-3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5.9448634124752587E-4</v>
      </c>
      <c r="D88" s="599">
        <f t="shared" si="8"/>
        <v>3.3745310881849879E-4</v>
      </c>
      <c r="E88" s="599">
        <f t="shared" si="9"/>
        <v>-2.5703323242902708E-4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8.0892340584946439E-3</v>
      </c>
      <c r="D89" s="599">
        <f t="shared" si="8"/>
        <v>5.0847411357639646E-3</v>
      </c>
      <c r="E89" s="599">
        <f t="shared" si="9"/>
        <v>-3.0044929227306793E-3</v>
      </c>
    </row>
    <row r="90" spans="1:5" s="421" customFormat="1" x14ac:dyDescent="0.2">
      <c r="A90" s="588"/>
      <c r="B90" s="592" t="s">
        <v>796</v>
      </c>
      <c r="C90" s="600">
        <f>SUM(C84+C85+C88)</f>
        <v>0.36251090546966391</v>
      </c>
      <c r="D90" s="600">
        <f>SUM(D84+D85+D88)</f>
        <v>0.36318372056513132</v>
      </c>
      <c r="E90" s="601">
        <f t="shared" si="9"/>
        <v>6.7281509546740503E-4</v>
      </c>
    </row>
    <row r="91" spans="1:5" s="421" customFormat="1" x14ac:dyDescent="0.2">
      <c r="A91" s="588"/>
      <c r="B91" s="592" t="s">
        <v>797</v>
      </c>
      <c r="C91" s="600">
        <f>SUM(C83+C90)</f>
        <v>0.47804595086196178</v>
      </c>
      <c r="D91" s="600">
        <f>SUM(D83+D90)</f>
        <v>0.46421661794305585</v>
      </c>
      <c r="E91" s="601">
        <f t="shared" si="9"/>
        <v>-1.3829332918905923E-2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0.21538325778205969</v>
      </c>
      <c r="D95" s="599">
        <f t="shared" si="10"/>
        <v>0.21054829770977143</v>
      </c>
      <c r="E95" s="599">
        <f t="shared" ref="E95:E103" si="11">D95-C95</f>
        <v>-4.834960072288258E-3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0.17470535186844829</v>
      </c>
      <c r="D96" s="599">
        <f t="shared" si="10"/>
        <v>0.18104863182489112</v>
      </c>
      <c r="E96" s="599">
        <f t="shared" si="11"/>
        <v>6.3432799564428211E-3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0.13085376722153488</v>
      </c>
      <c r="D97" s="599">
        <f t="shared" si="10"/>
        <v>0.14323963793001046</v>
      </c>
      <c r="E97" s="599">
        <f t="shared" si="11"/>
        <v>1.2385870708475577E-2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0.13085376722153488</v>
      </c>
      <c r="D98" s="599">
        <f t="shared" si="10"/>
        <v>0.14323963793001046</v>
      </c>
      <c r="E98" s="599">
        <f t="shared" si="11"/>
        <v>1.2385870708475577E-2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1.0116722659953906E-3</v>
      </c>
      <c r="D100" s="599">
        <f t="shared" si="10"/>
        <v>9.4681459227114427E-4</v>
      </c>
      <c r="E100" s="599">
        <f t="shared" si="11"/>
        <v>-6.4857673724246293E-5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1.8707785291134631E-2</v>
      </c>
      <c r="D101" s="599">
        <f t="shared" si="10"/>
        <v>1.7293839413484776E-2</v>
      </c>
      <c r="E101" s="599">
        <f t="shared" si="11"/>
        <v>-1.4139458776498554E-3</v>
      </c>
    </row>
    <row r="102" spans="1:5" s="421" customFormat="1" x14ac:dyDescent="0.2">
      <c r="A102" s="588"/>
      <c r="B102" s="592" t="s">
        <v>799</v>
      </c>
      <c r="C102" s="600">
        <f>SUM(C96+C97+C100)</f>
        <v>0.30657079135597859</v>
      </c>
      <c r="D102" s="600">
        <f>SUM(D96+D97+D100)</f>
        <v>0.32523508434717269</v>
      </c>
      <c r="E102" s="601">
        <f t="shared" si="11"/>
        <v>1.8664292991194098E-2</v>
      </c>
    </row>
    <row r="103" spans="1:5" s="421" customFormat="1" x14ac:dyDescent="0.2">
      <c r="A103" s="588"/>
      <c r="B103" s="592" t="s">
        <v>800</v>
      </c>
      <c r="C103" s="600">
        <f>SUM(C95+C102)</f>
        <v>0.52195404913803833</v>
      </c>
      <c r="D103" s="600">
        <f>SUM(D95+D102)</f>
        <v>0.53578338205694409</v>
      </c>
      <c r="E103" s="601">
        <f t="shared" si="11"/>
        <v>1.3829332918905757E-2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0.1787087520132094</v>
      </c>
      <c r="D109" s="599">
        <f t="shared" si="12"/>
        <v>0.16349404308638124</v>
      </c>
      <c r="E109" s="599">
        <f t="shared" ref="E109:E117" si="13">D109-C109</f>
        <v>-1.5214708926828163E-2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0.27545022857075024</v>
      </c>
      <c r="D110" s="599">
        <f t="shared" si="12"/>
        <v>0.2916163311910136</v>
      </c>
      <c r="E110" s="599">
        <f t="shared" si="13"/>
        <v>1.6166102620263356E-2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6.1741253263067085E-2</v>
      </c>
      <c r="D111" s="599">
        <f t="shared" si="12"/>
        <v>6.5445837111873545E-2</v>
      </c>
      <c r="E111" s="599">
        <f t="shared" si="13"/>
        <v>3.70458384880646E-3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6.1741253263067085E-2</v>
      </c>
      <c r="D112" s="599">
        <f t="shared" si="12"/>
        <v>6.5445837111873545E-2</v>
      </c>
      <c r="E112" s="599">
        <f t="shared" si="13"/>
        <v>3.70458384880646E-3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6.745157685760743E-4</v>
      </c>
      <c r="D114" s="599">
        <f t="shared" si="12"/>
        <v>3.7285195472821733E-4</v>
      </c>
      <c r="E114" s="599">
        <f t="shared" si="13"/>
        <v>-3.0166381384785697E-4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6.4258871076582494E-3</v>
      </c>
      <c r="D115" s="599">
        <f t="shared" si="12"/>
        <v>2.7896252685057021E-3</v>
      </c>
      <c r="E115" s="599">
        <f t="shared" si="13"/>
        <v>-3.6362618391525474E-3</v>
      </c>
    </row>
    <row r="116" spans="1:5" s="421" customFormat="1" x14ac:dyDescent="0.2">
      <c r="A116" s="588"/>
      <c r="B116" s="592" t="s">
        <v>796</v>
      </c>
      <c r="C116" s="600">
        <f>SUM(C110+C111+C114)</f>
        <v>0.33786599760239339</v>
      </c>
      <c r="D116" s="600">
        <f>SUM(D110+D111+D114)</f>
        <v>0.35743502025761537</v>
      </c>
      <c r="E116" s="601">
        <f t="shared" si="13"/>
        <v>1.9569022655221979E-2</v>
      </c>
    </row>
    <row r="117" spans="1:5" s="421" customFormat="1" x14ac:dyDescent="0.2">
      <c r="A117" s="588"/>
      <c r="B117" s="592" t="s">
        <v>797</v>
      </c>
      <c r="C117" s="600">
        <f>SUM(C109+C116)</f>
        <v>0.51657474961560279</v>
      </c>
      <c r="D117" s="600">
        <f>SUM(D109+D116)</f>
        <v>0.52092906334399658</v>
      </c>
      <c r="E117" s="601">
        <f t="shared" si="13"/>
        <v>4.3543137283937883E-3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0.28155354879640226</v>
      </c>
      <c r="D121" s="599">
        <f t="shared" si="14"/>
        <v>0.28147798021689502</v>
      </c>
      <c r="E121" s="599">
        <f t="shared" ref="E121:E129" si="15">D121-C121</f>
        <v>-7.5568579507245826E-5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0.10968656300371302</v>
      </c>
      <c r="D122" s="599">
        <f t="shared" si="14"/>
        <v>9.8186704925760954E-2</v>
      </c>
      <c r="E122" s="599">
        <f t="shared" si="15"/>
        <v>-1.1499858077952063E-2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9.145107032192383E-2</v>
      </c>
      <c r="D123" s="599">
        <f t="shared" si="14"/>
        <v>9.8737733430432115E-2</v>
      </c>
      <c r="E123" s="599">
        <f t="shared" si="15"/>
        <v>7.2866631085082845E-3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9.145107032192383E-2</v>
      </c>
      <c r="D124" s="599">
        <f t="shared" si="14"/>
        <v>9.8737733430432115E-2</v>
      </c>
      <c r="E124" s="599">
        <f t="shared" si="15"/>
        <v>7.2866631085082845E-3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7.3406826235810621E-4</v>
      </c>
      <c r="D126" s="599">
        <f t="shared" si="14"/>
        <v>6.6851808291529843E-4</v>
      </c>
      <c r="E126" s="599">
        <f t="shared" si="15"/>
        <v>-6.5550179442807775E-5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6.0218078866775835E-3</v>
      </c>
      <c r="D127" s="599">
        <f t="shared" si="14"/>
        <v>7.5197929253248451E-4</v>
      </c>
      <c r="E127" s="599">
        <f t="shared" si="15"/>
        <v>-5.2698285941450993E-3</v>
      </c>
    </row>
    <row r="128" spans="1:5" s="421" customFormat="1" x14ac:dyDescent="0.2">
      <c r="A128" s="588"/>
      <c r="B128" s="592" t="s">
        <v>799</v>
      </c>
      <c r="C128" s="600">
        <f>SUM(C122+C123+C126)</f>
        <v>0.20187170158799495</v>
      </c>
      <c r="D128" s="600">
        <f>SUM(D122+D123+D126)</f>
        <v>0.19759295643910835</v>
      </c>
      <c r="E128" s="601">
        <f t="shared" si="15"/>
        <v>-4.278745148886598E-3</v>
      </c>
    </row>
    <row r="129" spans="1:5" s="421" customFormat="1" x14ac:dyDescent="0.2">
      <c r="A129" s="588"/>
      <c r="B129" s="592" t="s">
        <v>800</v>
      </c>
      <c r="C129" s="600">
        <f>SUM(C121+C128)</f>
        <v>0.48342525038439721</v>
      </c>
      <c r="D129" s="600">
        <f>SUM(D121+D128)</f>
        <v>0.47907093665600337</v>
      </c>
      <c r="E129" s="601">
        <f t="shared" si="15"/>
        <v>-4.3543137283938438E-3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5345</v>
      </c>
      <c r="D137" s="606">
        <v>4756</v>
      </c>
      <c r="E137" s="607">
        <f t="shared" ref="E137:E145" si="16">D137-C137</f>
        <v>-589</v>
      </c>
    </row>
    <row r="138" spans="1:5" s="421" customFormat="1" x14ac:dyDescent="0.2">
      <c r="A138" s="588">
        <v>2</v>
      </c>
      <c r="B138" s="587" t="s">
        <v>635</v>
      </c>
      <c r="C138" s="606">
        <v>8524</v>
      </c>
      <c r="D138" s="606">
        <v>8464</v>
      </c>
      <c r="E138" s="607">
        <f t="shared" si="16"/>
        <v>-60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4352</v>
      </c>
      <c r="D139" s="606">
        <f>D140+D141</f>
        <v>4668</v>
      </c>
      <c r="E139" s="607">
        <f t="shared" si="16"/>
        <v>316</v>
      </c>
    </row>
    <row r="140" spans="1:5" s="421" customFormat="1" x14ac:dyDescent="0.2">
      <c r="A140" s="588">
        <v>4</v>
      </c>
      <c r="B140" s="587" t="s">
        <v>115</v>
      </c>
      <c r="C140" s="606">
        <v>4352</v>
      </c>
      <c r="D140" s="606">
        <v>4668</v>
      </c>
      <c r="E140" s="607">
        <f t="shared" si="16"/>
        <v>316</v>
      </c>
    </row>
    <row r="141" spans="1:5" s="421" customFormat="1" x14ac:dyDescent="0.2">
      <c r="A141" s="588">
        <v>5</v>
      </c>
      <c r="B141" s="587" t="s">
        <v>743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31</v>
      </c>
      <c r="D142" s="606">
        <v>19</v>
      </c>
      <c r="E142" s="607">
        <f t="shared" si="16"/>
        <v>-12</v>
      </c>
    </row>
    <row r="143" spans="1:5" s="421" customFormat="1" x14ac:dyDescent="0.2">
      <c r="A143" s="588">
        <v>7</v>
      </c>
      <c r="B143" s="587" t="s">
        <v>758</v>
      </c>
      <c r="C143" s="606">
        <v>200</v>
      </c>
      <c r="D143" s="606">
        <v>206</v>
      </c>
      <c r="E143" s="607">
        <f t="shared" si="16"/>
        <v>6</v>
      </c>
    </row>
    <row r="144" spans="1:5" s="421" customFormat="1" x14ac:dyDescent="0.2">
      <c r="A144" s="588"/>
      <c r="B144" s="592" t="s">
        <v>807</v>
      </c>
      <c r="C144" s="608">
        <f>SUM(C138+C139+C142)</f>
        <v>12907</v>
      </c>
      <c r="D144" s="608">
        <f>SUM(D138+D139+D142)</f>
        <v>13151</v>
      </c>
      <c r="E144" s="609">
        <f t="shared" si="16"/>
        <v>244</v>
      </c>
    </row>
    <row r="145" spans="1:5" s="421" customFormat="1" x14ac:dyDescent="0.2">
      <c r="A145" s="588"/>
      <c r="B145" s="592" t="s">
        <v>138</v>
      </c>
      <c r="C145" s="608">
        <f>SUM(C137+C144)</f>
        <v>18252</v>
      </c>
      <c r="D145" s="608">
        <f>SUM(D137+D144)</f>
        <v>17907</v>
      </c>
      <c r="E145" s="609">
        <f t="shared" si="16"/>
        <v>-345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17310</v>
      </c>
      <c r="D149" s="610">
        <v>15927</v>
      </c>
      <c r="E149" s="607">
        <f t="shared" ref="E149:E157" si="17">D149-C149</f>
        <v>-1383</v>
      </c>
    </row>
    <row r="150" spans="1:5" s="421" customFormat="1" x14ac:dyDescent="0.2">
      <c r="A150" s="588">
        <v>2</v>
      </c>
      <c r="B150" s="587" t="s">
        <v>635</v>
      </c>
      <c r="C150" s="610">
        <v>41020</v>
      </c>
      <c r="D150" s="610">
        <v>40770</v>
      </c>
      <c r="E150" s="607">
        <f t="shared" si="17"/>
        <v>-250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18355</v>
      </c>
      <c r="D151" s="610">
        <f>D152+D153</f>
        <v>18724</v>
      </c>
      <c r="E151" s="607">
        <f t="shared" si="17"/>
        <v>369</v>
      </c>
    </row>
    <row r="152" spans="1:5" s="421" customFormat="1" x14ac:dyDescent="0.2">
      <c r="A152" s="588">
        <v>4</v>
      </c>
      <c r="B152" s="587" t="s">
        <v>115</v>
      </c>
      <c r="C152" s="610">
        <v>18355</v>
      </c>
      <c r="D152" s="610">
        <v>18724</v>
      </c>
      <c r="E152" s="607">
        <f t="shared" si="17"/>
        <v>369</v>
      </c>
    </row>
    <row r="153" spans="1:5" s="421" customFormat="1" x14ac:dyDescent="0.2">
      <c r="A153" s="588">
        <v>5</v>
      </c>
      <c r="B153" s="587" t="s">
        <v>743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86</v>
      </c>
      <c r="D154" s="610">
        <v>46</v>
      </c>
      <c r="E154" s="607">
        <f t="shared" si="17"/>
        <v>-40</v>
      </c>
    </row>
    <row r="155" spans="1:5" s="421" customFormat="1" x14ac:dyDescent="0.2">
      <c r="A155" s="588">
        <v>7</v>
      </c>
      <c r="B155" s="587" t="s">
        <v>758</v>
      </c>
      <c r="C155" s="610">
        <v>747</v>
      </c>
      <c r="D155" s="610">
        <v>557</v>
      </c>
      <c r="E155" s="607">
        <f t="shared" si="17"/>
        <v>-190</v>
      </c>
    </row>
    <row r="156" spans="1:5" s="421" customFormat="1" x14ac:dyDescent="0.2">
      <c r="A156" s="588"/>
      <c r="B156" s="592" t="s">
        <v>808</v>
      </c>
      <c r="C156" s="608">
        <f>SUM(C150+C151+C154)</f>
        <v>59461</v>
      </c>
      <c r="D156" s="608">
        <f>SUM(D150+D151+D154)</f>
        <v>59540</v>
      </c>
      <c r="E156" s="609">
        <f t="shared" si="17"/>
        <v>79</v>
      </c>
    </row>
    <row r="157" spans="1:5" s="421" customFormat="1" x14ac:dyDescent="0.2">
      <c r="A157" s="588"/>
      <c r="B157" s="592" t="s">
        <v>140</v>
      </c>
      <c r="C157" s="608">
        <f>SUM(C149+C156)</f>
        <v>76771</v>
      </c>
      <c r="D157" s="608">
        <f>SUM(D149+D156)</f>
        <v>75467</v>
      </c>
      <c r="E157" s="609">
        <f t="shared" si="17"/>
        <v>-1304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3.2385406922357345</v>
      </c>
      <c r="D161" s="612">
        <f t="shared" si="18"/>
        <v>3.3488225399495373</v>
      </c>
      <c r="E161" s="613">
        <f t="shared" ref="E161:E169" si="19">D161-C161</f>
        <v>0.11028184771380278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4.8122946973251999</v>
      </c>
      <c r="D162" s="612">
        <f t="shared" si="18"/>
        <v>4.8168714555765595</v>
      </c>
      <c r="E162" s="613">
        <f t="shared" si="19"/>
        <v>4.5767582513596139E-3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4.2176011029411766</v>
      </c>
      <c r="D163" s="612">
        <f t="shared" si="18"/>
        <v>4.0111396743787493</v>
      </c>
      <c r="E163" s="613">
        <f t="shared" si="19"/>
        <v>-0.20646142856242733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4.2176011029411766</v>
      </c>
      <c r="D164" s="612">
        <f t="shared" si="18"/>
        <v>4.0111396743787493</v>
      </c>
      <c r="E164" s="613">
        <f t="shared" si="19"/>
        <v>-0.20646142856242733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2.774193548387097</v>
      </c>
      <c r="D166" s="612">
        <f t="shared" si="18"/>
        <v>2.4210526315789473</v>
      </c>
      <c r="E166" s="613">
        <f t="shared" si="19"/>
        <v>-0.35314091680814963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3.7349999999999999</v>
      </c>
      <c r="D167" s="612">
        <f t="shared" si="18"/>
        <v>2.703883495145631</v>
      </c>
      <c r="E167" s="613">
        <f t="shared" si="19"/>
        <v>-1.0311165048543689</v>
      </c>
    </row>
    <row r="168" spans="1:5" s="421" customFormat="1" x14ac:dyDescent="0.2">
      <c r="A168" s="588"/>
      <c r="B168" s="592" t="s">
        <v>810</v>
      </c>
      <c r="C168" s="614">
        <f t="shared" si="18"/>
        <v>4.6068799876036257</v>
      </c>
      <c r="D168" s="614">
        <f t="shared" si="18"/>
        <v>4.5274123640787769</v>
      </c>
      <c r="E168" s="615">
        <f t="shared" si="19"/>
        <v>-7.9467623524848818E-2</v>
      </c>
    </row>
    <row r="169" spans="1:5" s="421" customFormat="1" x14ac:dyDescent="0.2">
      <c r="A169" s="588"/>
      <c r="B169" s="592" t="s">
        <v>744</v>
      </c>
      <c r="C169" s="614">
        <f t="shared" si="18"/>
        <v>4.2061691869384177</v>
      </c>
      <c r="D169" s="614">
        <f t="shared" si="18"/>
        <v>4.2143854358630701</v>
      </c>
      <c r="E169" s="615">
        <f t="shared" si="19"/>
        <v>8.2162489246524473E-3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1.0782</v>
      </c>
      <c r="D173" s="617">
        <f t="shared" si="20"/>
        <v>1.1322000000000001</v>
      </c>
      <c r="E173" s="618">
        <f t="shared" ref="E173:E181" si="21">D173-C173</f>
        <v>5.4000000000000048E-2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1.3797999999999999</v>
      </c>
      <c r="D174" s="617">
        <f t="shared" si="20"/>
        <v>1.4821200000000001</v>
      </c>
      <c r="E174" s="618">
        <f t="shared" si="21"/>
        <v>0.10232000000000019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0.99860000000000015</v>
      </c>
      <c r="D175" s="617">
        <f t="shared" si="20"/>
        <v>1.00952</v>
      </c>
      <c r="E175" s="618">
        <f t="shared" si="21"/>
        <v>1.0919999999999819E-2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0.99860000000000015</v>
      </c>
      <c r="D176" s="617">
        <f t="shared" si="20"/>
        <v>1.00952</v>
      </c>
      <c r="E176" s="618">
        <f t="shared" si="21"/>
        <v>1.0919999999999819E-2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1.1358999999999999</v>
      </c>
      <c r="D178" s="617">
        <f t="shared" si="20"/>
        <v>1.35307</v>
      </c>
      <c r="E178" s="618">
        <f t="shared" si="21"/>
        <v>0.21717000000000009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0.99860000000000004</v>
      </c>
      <c r="D179" s="617">
        <f t="shared" si="20"/>
        <v>1.0947100000000001</v>
      </c>
      <c r="E179" s="618">
        <f t="shared" si="21"/>
        <v>9.6110000000000029E-2</v>
      </c>
    </row>
    <row r="180" spans="1:5" s="421" customFormat="1" x14ac:dyDescent="0.2">
      <c r="A180" s="588"/>
      <c r="B180" s="592" t="s">
        <v>812</v>
      </c>
      <c r="C180" s="619">
        <f t="shared" si="20"/>
        <v>1.2506806616564656</v>
      </c>
      <c r="D180" s="619">
        <f t="shared" si="20"/>
        <v>1.3141822956429172</v>
      </c>
      <c r="E180" s="620">
        <f t="shared" si="21"/>
        <v>6.3501633986451589E-2</v>
      </c>
    </row>
    <row r="181" spans="1:5" s="421" customFormat="1" x14ac:dyDescent="0.2">
      <c r="A181" s="588"/>
      <c r="B181" s="592" t="s">
        <v>723</v>
      </c>
      <c r="C181" s="619">
        <f t="shared" si="20"/>
        <v>1.2001706278763973</v>
      </c>
      <c r="D181" s="619">
        <f t="shared" si="20"/>
        <v>1.2658488060534989</v>
      </c>
      <c r="E181" s="620">
        <f t="shared" si="21"/>
        <v>6.5678178177101643E-2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277830167</v>
      </c>
      <c r="D185" s="589">
        <v>269161826</v>
      </c>
      <c r="E185" s="590">
        <f>D185-C185</f>
        <v>-8668341</v>
      </c>
    </row>
    <row r="186" spans="1:5" s="421" customFormat="1" ht="25.5" x14ac:dyDescent="0.2">
      <c r="A186" s="588">
        <v>2</v>
      </c>
      <c r="B186" s="587" t="s">
        <v>815</v>
      </c>
      <c r="C186" s="589">
        <v>159661043</v>
      </c>
      <c r="D186" s="589">
        <v>154356004</v>
      </c>
      <c r="E186" s="590">
        <f>D186-C186</f>
        <v>-5305039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118169124</v>
      </c>
      <c r="D188" s="622">
        <f>+D185-D186</f>
        <v>114805822</v>
      </c>
      <c r="E188" s="590">
        <f t="shared" ref="E188:E197" si="22">D188-C188</f>
        <v>-3363302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0.42532862891019318</v>
      </c>
      <c r="D189" s="623">
        <f>IF(D185=0,0,+D188/D185)</f>
        <v>0.426530848397499</v>
      </c>
      <c r="E189" s="599">
        <f t="shared" si="22"/>
        <v>1.2022194873058112E-3</v>
      </c>
    </row>
    <row r="190" spans="1:5" s="421" customFormat="1" x14ac:dyDescent="0.2">
      <c r="A190" s="588">
        <v>5</v>
      </c>
      <c r="B190" s="587" t="s">
        <v>762</v>
      </c>
      <c r="C190" s="589">
        <v>7320406</v>
      </c>
      <c r="D190" s="589">
        <v>9762581</v>
      </c>
      <c r="E190" s="622">
        <f t="shared" si="22"/>
        <v>2442175</v>
      </c>
    </row>
    <row r="191" spans="1:5" s="421" customFormat="1" x14ac:dyDescent="0.2">
      <c r="A191" s="588">
        <v>6</v>
      </c>
      <c r="B191" s="587" t="s">
        <v>748</v>
      </c>
      <c r="C191" s="589">
        <v>7320406</v>
      </c>
      <c r="D191" s="589">
        <v>6729152</v>
      </c>
      <c r="E191" s="622">
        <f t="shared" si="22"/>
        <v>-591254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6791581</v>
      </c>
      <c r="D193" s="589">
        <v>16310702</v>
      </c>
      <c r="E193" s="622">
        <f t="shared" si="22"/>
        <v>9519121</v>
      </c>
    </row>
    <row r="194" spans="1:5" s="421" customFormat="1" x14ac:dyDescent="0.2">
      <c r="A194" s="588">
        <v>9</v>
      </c>
      <c r="B194" s="587" t="s">
        <v>818</v>
      </c>
      <c r="C194" s="589">
        <v>17293190</v>
      </c>
      <c r="D194" s="589">
        <v>9742308</v>
      </c>
      <c r="E194" s="622">
        <f t="shared" si="22"/>
        <v>-7550882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24084771</v>
      </c>
      <c r="D195" s="589">
        <f>+D193+D194</f>
        <v>26053010</v>
      </c>
      <c r="E195" s="625">
        <f t="shared" si="22"/>
        <v>1968239</v>
      </c>
    </row>
    <row r="196" spans="1:5" s="421" customFormat="1" x14ac:dyDescent="0.2">
      <c r="A196" s="588">
        <v>11</v>
      </c>
      <c r="B196" s="587" t="s">
        <v>820</v>
      </c>
      <c r="C196" s="589">
        <v>28114619</v>
      </c>
      <c r="D196" s="589">
        <v>31817639</v>
      </c>
      <c r="E196" s="622">
        <f t="shared" si="22"/>
        <v>3703020</v>
      </c>
    </row>
    <row r="197" spans="1:5" s="421" customFormat="1" x14ac:dyDescent="0.2">
      <c r="A197" s="588">
        <v>12</v>
      </c>
      <c r="B197" s="587" t="s">
        <v>710</v>
      </c>
      <c r="C197" s="589">
        <v>389521494</v>
      </c>
      <c r="D197" s="589">
        <v>377447207</v>
      </c>
      <c r="E197" s="622">
        <f t="shared" si="22"/>
        <v>-12074287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5762.9790000000003</v>
      </c>
      <c r="D203" s="629">
        <v>5384.7432000000008</v>
      </c>
      <c r="E203" s="630">
        <f t="shared" ref="E203:E211" si="23">D203-C203</f>
        <v>-378.23579999999947</v>
      </c>
    </row>
    <row r="204" spans="1:5" s="421" customFormat="1" x14ac:dyDescent="0.2">
      <c r="A204" s="588">
        <v>2</v>
      </c>
      <c r="B204" s="587" t="s">
        <v>635</v>
      </c>
      <c r="C204" s="629">
        <v>11761.415199999999</v>
      </c>
      <c r="D204" s="629">
        <v>12544.663680000001</v>
      </c>
      <c r="E204" s="630">
        <f t="shared" si="23"/>
        <v>783.24848000000202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4345.9072000000006</v>
      </c>
      <c r="D205" s="629">
        <f>D206+D207</f>
        <v>4712.4393600000003</v>
      </c>
      <c r="E205" s="630">
        <f t="shared" si="23"/>
        <v>366.53215999999975</v>
      </c>
    </row>
    <row r="206" spans="1:5" s="421" customFormat="1" x14ac:dyDescent="0.2">
      <c r="A206" s="588">
        <v>4</v>
      </c>
      <c r="B206" s="587" t="s">
        <v>115</v>
      </c>
      <c r="C206" s="629">
        <v>4345.9072000000006</v>
      </c>
      <c r="D206" s="629">
        <v>4712.4393600000003</v>
      </c>
      <c r="E206" s="630">
        <f t="shared" si="23"/>
        <v>366.53215999999975</v>
      </c>
    </row>
    <row r="207" spans="1:5" s="421" customFormat="1" x14ac:dyDescent="0.2">
      <c r="A207" s="588">
        <v>5</v>
      </c>
      <c r="B207" s="587" t="s">
        <v>743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35.212899999999998</v>
      </c>
      <c r="D208" s="629">
        <v>25.70833</v>
      </c>
      <c r="E208" s="630">
        <f t="shared" si="23"/>
        <v>-9.5045699999999975</v>
      </c>
    </row>
    <row r="209" spans="1:5" s="421" customFormat="1" x14ac:dyDescent="0.2">
      <c r="A209" s="588">
        <v>7</v>
      </c>
      <c r="B209" s="587" t="s">
        <v>758</v>
      </c>
      <c r="C209" s="629">
        <v>199.72</v>
      </c>
      <c r="D209" s="629">
        <v>225.51026000000002</v>
      </c>
      <c r="E209" s="630">
        <f t="shared" si="23"/>
        <v>25.790260000000018</v>
      </c>
    </row>
    <row r="210" spans="1:5" s="421" customFormat="1" x14ac:dyDescent="0.2">
      <c r="A210" s="588"/>
      <c r="B210" s="592" t="s">
        <v>823</v>
      </c>
      <c r="C210" s="631">
        <f>C204+C205+C208</f>
        <v>16142.535300000001</v>
      </c>
      <c r="D210" s="631">
        <f>D204+D205+D208</f>
        <v>17282.811370000003</v>
      </c>
      <c r="E210" s="632">
        <f t="shared" si="23"/>
        <v>1140.2760700000017</v>
      </c>
    </row>
    <row r="211" spans="1:5" s="421" customFormat="1" x14ac:dyDescent="0.2">
      <c r="A211" s="588"/>
      <c r="B211" s="592" t="s">
        <v>724</v>
      </c>
      <c r="C211" s="631">
        <f>C210+C203</f>
        <v>21905.514300000003</v>
      </c>
      <c r="D211" s="631">
        <f>D210+D203</f>
        <v>22667.554570000004</v>
      </c>
      <c r="E211" s="632">
        <f t="shared" si="23"/>
        <v>762.04027000000133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9964.2797467741802</v>
      </c>
      <c r="D215" s="633">
        <f>IF(D14*D137=0,0,D25/D14*D137)</f>
        <v>9911.3034456682799</v>
      </c>
      <c r="E215" s="633">
        <f t="shared" ref="E215:E223" si="24">D215-C215</f>
        <v>-52.976301105900347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5434.2163188030509</v>
      </c>
      <c r="D216" s="633">
        <f>IF(D15*D138=0,0,D26/D15*D138)</f>
        <v>5606.1217305630626</v>
      </c>
      <c r="E216" s="633">
        <f t="shared" si="24"/>
        <v>171.9054117600117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6480.3569307409052</v>
      </c>
      <c r="D217" s="633">
        <f>D218+D219</f>
        <v>7470.6167849206022</v>
      </c>
      <c r="E217" s="633">
        <f t="shared" si="24"/>
        <v>990.25985417969696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6480.3569307409052</v>
      </c>
      <c r="D218" s="633">
        <f t="shared" si="25"/>
        <v>7470.6167849206022</v>
      </c>
      <c r="E218" s="633">
        <f t="shared" si="24"/>
        <v>990.25985417969696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52.754517757370976</v>
      </c>
      <c r="D220" s="633">
        <f t="shared" si="25"/>
        <v>53.309561485852221</v>
      </c>
      <c r="E220" s="633">
        <f t="shared" si="24"/>
        <v>0.55504372848124461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462.53539348362074</v>
      </c>
      <c r="D221" s="633">
        <f t="shared" si="25"/>
        <v>700.63171832298326</v>
      </c>
      <c r="E221" s="633">
        <f t="shared" si="24"/>
        <v>238.09632483936252</v>
      </c>
    </row>
    <row r="222" spans="1:5" s="421" customFormat="1" x14ac:dyDescent="0.2">
      <c r="A222" s="588"/>
      <c r="B222" s="592" t="s">
        <v>825</v>
      </c>
      <c r="C222" s="634">
        <f>C216+C218+C219+C220</f>
        <v>11967.327767301325</v>
      </c>
      <c r="D222" s="634">
        <f>D216+D218+D219+D220</f>
        <v>13130.048076969517</v>
      </c>
      <c r="E222" s="634">
        <f t="shared" si="24"/>
        <v>1162.7203096681915</v>
      </c>
    </row>
    <row r="223" spans="1:5" s="421" customFormat="1" x14ac:dyDescent="0.2">
      <c r="A223" s="588"/>
      <c r="B223" s="592" t="s">
        <v>826</v>
      </c>
      <c r="C223" s="634">
        <f>C215+C222</f>
        <v>21931.607514075506</v>
      </c>
      <c r="D223" s="634">
        <f>D215+D222</f>
        <v>23041.351522637797</v>
      </c>
      <c r="E223" s="634">
        <f t="shared" si="24"/>
        <v>1109.7440085622911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11326.559926732338</v>
      </c>
      <c r="D227" s="636">
        <f t="shared" si="26"/>
        <v>10958.847953974851</v>
      </c>
      <c r="E227" s="636">
        <f t="shared" ref="E227:E235" si="27">D227-C227</f>
        <v>-367.71197275748636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8554.2669218921892</v>
      </c>
      <c r="D228" s="636">
        <f t="shared" si="26"/>
        <v>8390.3636386687085</v>
      </c>
      <c r="E228" s="636">
        <f t="shared" si="27"/>
        <v>-163.90328322348068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5189.1262197223168</v>
      </c>
      <c r="D229" s="636">
        <f t="shared" si="26"/>
        <v>5012.6134673486813</v>
      </c>
      <c r="E229" s="636">
        <f t="shared" si="27"/>
        <v>-176.51275237363552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5189.1262197223168</v>
      </c>
      <c r="D230" s="636">
        <f t="shared" si="26"/>
        <v>5012.6134673486813</v>
      </c>
      <c r="E230" s="636">
        <f t="shared" si="27"/>
        <v>-176.51275237363552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6996.6404357493993</v>
      </c>
      <c r="D232" s="636">
        <f t="shared" si="26"/>
        <v>5234.6846333464682</v>
      </c>
      <c r="E232" s="636">
        <f t="shared" si="27"/>
        <v>-1761.9558024029311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11751.972761866613</v>
      </c>
      <c r="D233" s="636">
        <f t="shared" si="26"/>
        <v>4464.8567209314551</v>
      </c>
      <c r="E233" s="636">
        <f t="shared" si="27"/>
        <v>-7287.1160409351578</v>
      </c>
    </row>
    <row r="234" spans="1:5" x14ac:dyDescent="0.2">
      <c r="A234" s="588"/>
      <c r="B234" s="592" t="s">
        <v>828</v>
      </c>
      <c r="C234" s="637">
        <f t="shared" si="26"/>
        <v>7644.903090284708</v>
      </c>
      <c r="D234" s="637">
        <f t="shared" si="26"/>
        <v>7464.6710675752738</v>
      </c>
      <c r="E234" s="637">
        <f t="shared" si="27"/>
        <v>-180.2320227094342</v>
      </c>
    </row>
    <row r="235" spans="1:5" s="421" customFormat="1" x14ac:dyDescent="0.2">
      <c r="A235" s="588"/>
      <c r="B235" s="592" t="s">
        <v>829</v>
      </c>
      <c r="C235" s="637">
        <f t="shared" si="26"/>
        <v>8613.4861942045336</v>
      </c>
      <c r="D235" s="637">
        <f t="shared" si="26"/>
        <v>8294.7229009361981</v>
      </c>
      <c r="E235" s="637">
        <f t="shared" si="27"/>
        <v>-318.76329326833547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10320.823141611727</v>
      </c>
      <c r="D239" s="636">
        <f t="shared" si="28"/>
        <v>10250.418984437607</v>
      </c>
      <c r="E239" s="638">
        <f t="shared" ref="E239:E247" si="29">D239-C239</f>
        <v>-70.404157174119973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7372.5164126010586</v>
      </c>
      <c r="D240" s="636">
        <f t="shared" si="28"/>
        <v>6321.4706535529722</v>
      </c>
      <c r="E240" s="638">
        <f t="shared" si="29"/>
        <v>-1051.0457590480864</v>
      </c>
    </row>
    <row r="241" spans="1:5" x14ac:dyDescent="0.2">
      <c r="A241" s="588">
        <v>3</v>
      </c>
      <c r="B241" s="587" t="s">
        <v>777</v>
      </c>
      <c r="C241" s="636">
        <f t="shared" si="28"/>
        <v>5154.5304304991396</v>
      </c>
      <c r="D241" s="636">
        <f t="shared" si="28"/>
        <v>4770.3984859636676</v>
      </c>
      <c r="E241" s="638">
        <f t="shared" si="29"/>
        <v>-384.13194453547203</v>
      </c>
    </row>
    <row r="242" spans="1:5" x14ac:dyDescent="0.2">
      <c r="A242" s="588">
        <v>4</v>
      </c>
      <c r="B242" s="587" t="s">
        <v>115</v>
      </c>
      <c r="C242" s="636">
        <f t="shared" si="28"/>
        <v>5154.5304304991396</v>
      </c>
      <c r="D242" s="636">
        <f t="shared" si="28"/>
        <v>4770.3984859636676</v>
      </c>
      <c r="E242" s="638">
        <f t="shared" si="29"/>
        <v>-384.13194453547203</v>
      </c>
    </row>
    <row r="243" spans="1:5" x14ac:dyDescent="0.2">
      <c r="A243" s="588">
        <v>5</v>
      </c>
      <c r="B243" s="587" t="s">
        <v>743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5082.4841435032758</v>
      </c>
      <c r="D244" s="636">
        <f t="shared" si="28"/>
        <v>4526.2236881096087</v>
      </c>
      <c r="E244" s="638">
        <f t="shared" si="29"/>
        <v>-556.26045539366714</v>
      </c>
    </row>
    <row r="245" spans="1:5" x14ac:dyDescent="0.2">
      <c r="A245" s="588">
        <v>7</v>
      </c>
      <c r="B245" s="587" t="s">
        <v>758</v>
      </c>
      <c r="C245" s="636">
        <f t="shared" si="28"/>
        <v>4755.3355505061236</v>
      </c>
      <c r="D245" s="636">
        <f t="shared" si="28"/>
        <v>387.38611584650062</v>
      </c>
      <c r="E245" s="638">
        <f t="shared" si="29"/>
        <v>-4367.949434659623</v>
      </c>
    </row>
    <row r="246" spans="1:5" ht="25.5" x14ac:dyDescent="0.2">
      <c r="A246" s="588"/>
      <c r="B246" s="592" t="s">
        <v>831</v>
      </c>
      <c r="C246" s="637">
        <f t="shared" si="28"/>
        <v>6161.3729843239298</v>
      </c>
      <c r="D246" s="637">
        <f t="shared" si="28"/>
        <v>5431.6666307638206</v>
      </c>
      <c r="E246" s="639">
        <f t="shared" si="29"/>
        <v>-729.70635356010916</v>
      </c>
    </row>
    <row r="247" spans="1:5" x14ac:dyDescent="0.2">
      <c r="A247" s="588"/>
      <c r="B247" s="592" t="s">
        <v>832</v>
      </c>
      <c r="C247" s="637">
        <f t="shared" si="28"/>
        <v>8051.1535183490741</v>
      </c>
      <c r="D247" s="637">
        <f t="shared" si="28"/>
        <v>7504.4667770514852</v>
      </c>
      <c r="E247" s="639">
        <f t="shared" si="29"/>
        <v>-546.68674129758892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14373340.831400344</v>
      </c>
      <c r="D251" s="622">
        <f>((IF((IF(D15=0,0,D26/D15)*D138)=0,0,D59/(IF(D15=0,0,D26/D15)*D138)))-(IF((IF(D17=0,0,D28/D17)*D140)=0,0,D61/(IF(D17=0,0,D28/D17)*D140))))*(IF(D17=0,0,D28/D17)*D140)</f>
        <v>11587465.76981584</v>
      </c>
      <c r="E251" s="622">
        <f>D251-C251</f>
        <v>-2785875.0615845043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571892.96950719075</v>
      </c>
      <c r="D253" s="622">
        <f>IF(D233=0,0,(D228-D233)*D209+IF(D221=0,0,(D240-D245)*D221))</f>
        <v>5042849.9319778578</v>
      </c>
      <c r="E253" s="622">
        <f>D253-C253</f>
        <v>4470956.9624706674</v>
      </c>
    </row>
    <row r="254" spans="1:5" ht="15" customHeight="1" x14ac:dyDescent="0.2">
      <c r="A254" s="588"/>
      <c r="B254" s="592" t="s">
        <v>759</v>
      </c>
      <c r="C254" s="640">
        <f>+C251+C252+C253</f>
        <v>14945233.800907535</v>
      </c>
      <c r="D254" s="640">
        <f>+D251+D252+D253</f>
        <v>16630315.701793697</v>
      </c>
      <c r="E254" s="640">
        <f>D254-C254</f>
        <v>1685081.9008861613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860748119</v>
      </c>
      <c r="D258" s="625">
        <f>+D44</f>
        <v>883915401</v>
      </c>
      <c r="E258" s="622">
        <f t="shared" ref="E258:E271" si="30">D258-C258</f>
        <v>23167282</v>
      </c>
    </row>
    <row r="259" spans="1:5" x14ac:dyDescent="0.2">
      <c r="A259" s="588">
        <v>2</v>
      </c>
      <c r="B259" s="587" t="s">
        <v>742</v>
      </c>
      <c r="C259" s="622">
        <f>+(C43-C76)</f>
        <v>378767524</v>
      </c>
      <c r="D259" s="625">
        <f>+(D43-D76)</f>
        <v>408175438</v>
      </c>
      <c r="E259" s="622">
        <f t="shared" si="30"/>
        <v>29407914</v>
      </c>
    </row>
    <row r="260" spans="1:5" x14ac:dyDescent="0.2">
      <c r="A260" s="588">
        <v>3</v>
      </c>
      <c r="B260" s="587" t="s">
        <v>746</v>
      </c>
      <c r="C260" s="622">
        <f>C195</f>
        <v>24084771</v>
      </c>
      <c r="D260" s="622">
        <f>D195</f>
        <v>26053010</v>
      </c>
      <c r="E260" s="622">
        <f t="shared" si="30"/>
        <v>1968239</v>
      </c>
    </row>
    <row r="261" spans="1:5" x14ac:dyDescent="0.2">
      <c r="A261" s="588">
        <v>4</v>
      </c>
      <c r="B261" s="587" t="s">
        <v>747</v>
      </c>
      <c r="C261" s="622">
        <f>C188</f>
        <v>118169124</v>
      </c>
      <c r="D261" s="622">
        <f>D188</f>
        <v>114805822</v>
      </c>
      <c r="E261" s="622">
        <f t="shared" si="30"/>
        <v>-3363302</v>
      </c>
    </row>
    <row r="262" spans="1:5" x14ac:dyDescent="0.2">
      <c r="A262" s="588">
        <v>5</v>
      </c>
      <c r="B262" s="587" t="s">
        <v>748</v>
      </c>
      <c r="C262" s="622">
        <f>C191</f>
        <v>7320406</v>
      </c>
      <c r="D262" s="622">
        <f>D191</f>
        <v>6729152</v>
      </c>
      <c r="E262" s="622">
        <f t="shared" si="30"/>
        <v>-591254</v>
      </c>
    </row>
    <row r="263" spans="1:5" x14ac:dyDescent="0.2">
      <c r="A263" s="588">
        <v>6</v>
      </c>
      <c r="B263" s="587" t="s">
        <v>749</v>
      </c>
      <c r="C263" s="622">
        <f>+C259+C260+C261+C262</f>
        <v>528341825</v>
      </c>
      <c r="D263" s="622">
        <f>+D259+D260+D261+D262</f>
        <v>555763422</v>
      </c>
      <c r="E263" s="622">
        <f t="shared" si="30"/>
        <v>27421597</v>
      </c>
    </row>
    <row r="264" spans="1:5" x14ac:dyDescent="0.2">
      <c r="A264" s="588">
        <v>7</v>
      </c>
      <c r="B264" s="587" t="s">
        <v>654</v>
      </c>
      <c r="C264" s="622">
        <f>+C258-C263</f>
        <v>332406294</v>
      </c>
      <c r="D264" s="622">
        <f>+D258-D263</f>
        <v>328151979</v>
      </c>
      <c r="E264" s="622">
        <f t="shared" si="30"/>
        <v>-4254315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332406294</v>
      </c>
      <c r="D266" s="622">
        <f>+D264+D265</f>
        <v>328151979</v>
      </c>
      <c r="E266" s="641">
        <f t="shared" si="30"/>
        <v>-4254315</v>
      </c>
    </row>
    <row r="267" spans="1:5" x14ac:dyDescent="0.2">
      <c r="A267" s="588">
        <v>10</v>
      </c>
      <c r="B267" s="587" t="s">
        <v>837</v>
      </c>
      <c r="C267" s="642">
        <f>IF(C258=0,0,C266/C258)</f>
        <v>0.38618300367148406</v>
      </c>
      <c r="D267" s="642">
        <f>IF(D258=0,0,D266/D258)</f>
        <v>0.37124817446189062</v>
      </c>
      <c r="E267" s="643">
        <f t="shared" si="30"/>
        <v>-1.4934829209593437E-2</v>
      </c>
    </row>
    <row r="268" spans="1:5" x14ac:dyDescent="0.2">
      <c r="A268" s="588">
        <v>11</v>
      </c>
      <c r="B268" s="587" t="s">
        <v>716</v>
      </c>
      <c r="C268" s="622">
        <f>+C260*C267</f>
        <v>9301129.2075198535</v>
      </c>
      <c r="D268" s="644">
        <f>+D260*D267</f>
        <v>9672132.4017373808</v>
      </c>
      <c r="E268" s="622">
        <f t="shared" si="30"/>
        <v>371003.19421752729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16752890.805733621</v>
      </c>
      <c r="D269" s="644">
        <f>((D17+D18+D28+D29)*D267)-(D50+D51+D61+D62)</f>
        <v>17115501.926530257</v>
      </c>
      <c r="E269" s="622">
        <f t="shared" si="30"/>
        <v>362611.12079663575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26054020.013253473</v>
      </c>
      <c r="D271" s="622">
        <f>+D268+D269+D270</f>
        <v>26787634.328267638</v>
      </c>
      <c r="E271" s="625">
        <f t="shared" si="30"/>
        <v>733614.31501416489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0.65637985333089355</v>
      </c>
      <c r="D276" s="623">
        <f t="shared" si="31"/>
        <v>0.66077923882341738</v>
      </c>
      <c r="E276" s="650">
        <f t="shared" ref="E276:E284" si="32">D276-C276</f>
        <v>4.3993854925238329E-3</v>
      </c>
    </row>
    <row r="277" spans="1:5" x14ac:dyDescent="0.2">
      <c r="A277" s="588">
        <v>2</v>
      </c>
      <c r="B277" s="587" t="s">
        <v>635</v>
      </c>
      <c r="C277" s="623">
        <f t="shared" si="31"/>
        <v>0.42653391501411492</v>
      </c>
      <c r="D277" s="623">
        <f t="shared" si="31"/>
        <v>0.43563295583906519</v>
      </c>
      <c r="E277" s="650">
        <f t="shared" si="32"/>
        <v>9.0990408249502774E-3</v>
      </c>
    </row>
    <row r="278" spans="1:5" x14ac:dyDescent="0.2">
      <c r="A278" s="588">
        <v>3</v>
      </c>
      <c r="B278" s="587" t="s">
        <v>777</v>
      </c>
      <c r="C278" s="623">
        <f t="shared" si="31"/>
        <v>0.29814148523883438</v>
      </c>
      <c r="D278" s="623">
        <f t="shared" si="31"/>
        <v>0.29858066962932883</v>
      </c>
      <c r="E278" s="650">
        <f t="shared" si="32"/>
        <v>4.3918439049445146E-4</v>
      </c>
    </row>
    <row r="279" spans="1:5" x14ac:dyDescent="0.2">
      <c r="A279" s="588">
        <v>4</v>
      </c>
      <c r="B279" s="587" t="s">
        <v>115</v>
      </c>
      <c r="C279" s="623">
        <f t="shared" si="31"/>
        <v>0.29814148523883438</v>
      </c>
      <c r="D279" s="623">
        <f t="shared" si="31"/>
        <v>0.29858066962932883</v>
      </c>
      <c r="E279" s="650">
        <f t="shared" si="32"/>
        <v>4.3918439049445146E-4</v>
      </c>
    </row>
    <row r="280" spans="1:5" x14ac:dyDescent="0.2">
      <c r="A280" s="588">
        <v>5</v>
      </c>
      <c r="B280" s="587" t="s">
        <v>743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0.48147460538632764</v>
      </c>
      <c r="D281" s="623">
        <f t="shared" si="31"/>
        <v>0.45117004157167762</v>
      </c>
      <c r="E281" s="650">
        <f t="shared" si="32"/>
        <v>-3.0304563814650021E-2</v>
      </c>
    </row>
    <row r="282" spans="1:5" x14ac:dyDescent="0.2">
      <c r="A282" s="588">
        <v>7</v>
      </c>
      <c r="B282" s="587" t="s">
        <v>758</v>
      </c>
      <c r="C282" s="623">
        <f t="shared" si="31"/>
        <v>0.33709231338630918</v>
      </c>
      <c r="D282" s="623">
        <f t="shared" si="31"/>
        <v>0.2240238639344565</v>
      </c>
      <c r="E282" s="650">
        <f t="shared" si="32"/>
        <v>-0.11306844945185268</v>
      </c>
    </row>
    <row r="283" spans="1:5" ht="29.25" customHeight="1" x14ac:dyDescent="0.2">
      <c r="A283" s="588"/>
      <c r="B283" s="592" t="s">
        <v>844</v>
      </c>
      <c r="C283" s="651">
        <f t="shared" si="31"/>
        <v>0.3955000756656607</v>
      </c>
      <c r="D283" s="651">
        <f t="shared" si="31"/>
        <v>0.40187222448048415</v>
      </c>
      <c r="E283" s="652">
        <f t="shared" si="32"/>
        <v>6.3721488148234529E-3</v>
      </c>
    </row>
    <row r="284" spans="1:5" x14ac:dyDescent="0.2">
      <c r="A284" s="588"/>
      <c r="B284" s="592" t="s">
        <v>845</v>
      </c>
      <c r="C284" s="651">
        <f t="shared" si="31"/>
        <v>0.45854999147425324</v>
      </c>
      <c r="D284" s="651">
        <f t="shared" si="31"/>
        <v>0.45822118916520627</v>
      </c>
      <c r="E284" s="652">
        <f t="shared" si="32"/>
        <v>-3.2880230904697161E-4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0.55471795586072814</v>
      </c>
      <c r="D287" s="623">
        <f t="shared" si="33"/>
        <v>0.54589605372091476</v>
      </c>
      <c r="E287" s="650">
        <f t="shared" ref="E287:E295" si="34">D287-C287</f>
        <v>-8.8219021398133757E-3</v>
      </c>
    </row>
    <row r="288" spans="1:5" x14ac:dyDescent="0.2">
      <c r="A288" s="588">
        <v>2</v>
      </c>
      <c r="B288" s="587" t="s">
        <v>635</v>
      </c>
      <c r="C288" s="623">
        <f t="shared" si="33"/>
        <v>0.26642218074625262</v>
      </c>
      <c r="D288" s="623">
        <f t="shared" si="33"/>
        <v>0.2214494988035931</v>
      </c>
      <c r="E288" s="650">
        <f t="shared" si="34"/>
        <v>-4.497268194265952E-2</v>
      </c>
    </row>
    <row r="289" spans="1:5" x14ac:dyDescent="0.2">
      <c r="A289" s="588">
        <v>3</v>
      </c>
      <c r="B289" s="587" t="s">
        <v>777</v>
      </c>
      <c r="C289" s="623">
        <f t="shared" si="33"/>
        <v>0.29656897915118968</v>
      </c>
      <c r="D289" s="623">
        <f t="shared" si="33"/>
        <v>0.28147329834120732</v>
      </c>
      <c r="E289" s="650">
        <f t="shared" si="34"/>
        <v>-1.5095680809982359E-2</v>
      </c>
    </row>
    <row r="290" spans="1:5" x14ac:dyDescent="0.2">
      <c r="A290" s="588">
        <v>4</v>
      </c>
      <c r="B290" s="587" t="s">
        <v>115</v>
      </c>
      <c r="C290" s="623">
        <f t="shared" si="33"/>
        <v>0.29656897915118968</v>
      </c>
      <c r="D290" s="623">
        <f t="shared" si="33"/>
        <v>0.28147329834120732</v>
      </c>
      <c r="E290" s="650">
        <f t="shared" si="34"/>
        <v>-1.5095680809982359E-2</v>
      </c>
    </row>
    <row r="291" spans="1:5" x14ac:dyDescent="0.2">
      <c r="A291" s="588">
        <v>5</v>
      </c>
      <c r="B291" s="587" t="s">
        <v>743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0.30790714232396832</v>
      </c>
      <c r="D292" s="623">
        <f t="shared" si="33"/>
        <v>0.28831383288883788</v>
      </c>
      <c r="E292" s="650">
        <f t="shared" si="34"/>
        <v>-1.9593309435130435E-2</v>
      </c>
    </row>
    <row r="293" spans="1:5" x14ac:dyDescent="0.2">
      <c r="A293" s="588">
        <v>7</v>
      </c>
      <c r="B293" s="587" t="s">
        <v>758</v>
      </c>
      <c r="C293" s="623">
        <f t="shared" si="33"/>
        <v>0.13659275955801425</v>
      </c>
      <c r="D293" s="623">
        <f t="shared" si="33"/>
        <v>1.7755451600391488E-2</v>
      </c>
      <c r="E293" s="650">
        <f t="shared" si="34"/>
        <v>-0.11883730795762276</v>
      </c>
    </row>
    <row r="294" spans="1:5" ht="29.25" customHeight="1" x14ac:dyDescent="0.2">
      <c r="A294" s="588"/>
      <c r="B294" s="592" t="s">
        <v>847</v>
      </c>
      <c r="C294" s="651">
        <f t="shared" si="33"/>
        <v>0.27942665292184526</v>
      </c>
      <c r="D294" s="651">
        <f t="shared" si="33"/>
        <v>0.24807976059576953</v>
      </c>
      <c r="E294" s="652">
        <f t="shared" si="34"/>
        <v>-3.1346892326075737E-2</v>
      </c>
    </row>
    <row r="295" spans="1:5" x14ac:dyDescent="0.2">
      <c r="A295" s="588"/>
      <c r="B295" s="592" t="s">
        <v>848</v>
      </c>
      <c r="C295" s="651">
        <f t="shared" si="33"/>
        <v>0.39302503914753306</v>
      </c>
      <c r="D295" s="651">
        <f t="shared" si="33"/>
        <v>0.36511346422987973</v>
      </c>
      <c r="E295" s="652">
        <f t="shared" si="34"/>
        <v>-2.7911574917653337E-2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365257584</v>
      </c>
      <c r="D301" s="590">
        <f>+D48+D47+D50+D51+D52+D59+D58+D61+D62+D63</f>
        <v>360934141</v>
      </c>
      <c r="E301" s="590">
        <f>D301-C301</f>
        <v>-4323443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365257584</v>
      </c>
      <c r="D303" s="593">
        <f>+D301+D302</f>
        <v>360934141</v>
      </c>
      <c r="E303" s="593">
        <f>D303-C303</f>
        <v>-4323443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28271399</v>
      </c>
      <c r="D305" s="654">
        <v>10973348</v>
      </c>
      <c r="E305" s="655">
        <f>D305-C305</f>
        <v>-17298051</v>
      </c>
    </row>
    <row r="306" spans="1:5" x14ac:dyDescent="0.2">
      <c r="A306" s="588">
        <v>4</v>
      </c>
      <c r="B306" s="592" t="s">
        <v>855</v>
      </c>
      <c r="C306" s="593">
        <f>+C303+C305+C194+C190-C191</f>
        <v>410822173</v>
      </c>
      <c r="D306" s="593">
        <f>+D303+D305</f>
        <v>371907489</v>
      </c>
      <c r="E306" s="656">
        <f>D306-C306</f>
        <v>-38914684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393528986</v>
      </c>
      <c r="D308" s="589">
        <v>371907491</v>
      </c>
      <c r="E308" s="590">
        <f>D308-C308</f>
        <v>-21621495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17293187</v>
      </c>
      <c r="D310" s="658">
        <f>D306-D308</f>
        <v>-2</v>
      </c>
      <c r="E310" s="656">
        <f>D310-C310</f>
        <v>-17293189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860748119</v>
      </c>
      <c r="D314" s="590">
        <f>+D14+D15+D16+D19+D25+D26+D27+D30</f>
        <v>883915401</v>
      </c>
      <c r="E314" s="590">
        <f>D314-C314</f>
        <v>23167282</v>
      </c>
    </row>
    <row r="315" spans="1:5" x14ac:dyDescent="0.2">
      <c r="A315" s="588">
        <v>2</v>
      </c>
      <c r="B315" s="659" t="s">
        <v>860</v>
      </c>
      <c r="C315" s="589">
        <v>9669512</v>
      </c>
      <c r="D315" s="589">
        <v>10645868</v>
      </c>
      <c r="E315" s="590">
        <f>D315-C315</f>
        <v>976356</v>
      </c>
    </row>
    <row r="316" spans="1:5" x14ac:dyDescent="0.2">
      <c r="A316" s="588"/>
      <c r="B316" s="592" t="s">
        <v>861</v>
      </c>
      <c r="C316" s="657">
        <f>C314+C315</f>
        <v>870417631</v>
      </c>
      <c r="D316" s="657">
        <f>D314+D315</f>
        <v>894561269</v>
      </c>
      <c r="E316" s="593">
        <f>D316-C316</f>
        <v>24143638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870417634</v>
      </c>
      <c r="D318" s="589">
        <v>894561269</v>
      </c>
      <c r="E318" s="590">
        <f>D318-C318</f>
        <v>24143635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-3</v>
      </c>
      <c r="D320" s="657">
        <f>D316-D318</f>
        <v>0</v>
      </c>
      <c r="E320" s="593">
        <f>D320-C320</f>
        <v>3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24084771</v>
      </c>
      <c r="D324" s="589">
        <f>+D193+D194</f>
        <v>26053010</v>
      </c>
      <c r="E324" s="590">
        <f>D324-C324</f>
        <v>1968239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24084771</v>
      </c>
      <c r="D326" s="657">
        <f>D324+D325</f>
        <v>26053010</v>
      </c>
      <c r="E326" s="593">
        <f>D326-C326</f>
        <v>1968239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24084771</v>
      </c>
      <c r="D328" s="589">
        <v>26053010</v>
      </c>
      <c r="E328" s="590">
        <f>D328-C328</f>
        <v>1968239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2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89304534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241612322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79113082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79113082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298280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4494481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321023684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410328218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186106883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160031674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126611722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126611722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836904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15286291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287480300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473587183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275411417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608503984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883915401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59010582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105254290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23621637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23621637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134575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1006871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129010502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188021084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101595013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35438934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35637819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35637819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241291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271415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71318044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172913057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160605595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200328546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360934141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4756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8464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4668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4668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19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206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13151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17907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1.1322000000000001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1.4821200000000001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1.00952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1.00952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1.35307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1.0947100000000001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1.3141822956429172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1.2658488060534989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269161826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154356004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114805822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0.426530848397499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9762581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6729152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16310702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9742308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26053010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31817639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377447207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360934141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360934141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10973348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371907489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371907491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-2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883915401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10645868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894561269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894561269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26053010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26053010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26053010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990</v>
      </c>
      <c r="D12" s="185">
        <v>1973</v>
      </c>
      <c r="E12" s="185">
        <f>+D12-C12</f>
        <v>983</v>
      </c>
      <c r="F12" s="77">
        <f>IF(C12=0,0,+E12/C12)</f>
        <v>0.99292929292929288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501</v>
      </c>
      <c r="D13" s="185">
        <v>1080</v>
      </c>
      <c r="E13" s="185">
        <f>+D13-C13</f>
        <v>579</v>
      </c>
      <c r="F13" s="77">
        <f>IF(C13=0,0,+E13/C13)</f>
        <v>1.1556886227544909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6791581</v>
      </c>
      <c r="D15" s="76">
        <v>16310702</v>
      </c>
      <c r="E15" s="76">
        <f>+D15-C15</f>
        <v>9519121</v>
      </c>
      <c r="F15" s="77">
        <f>IF(C15=0,0,+E15/C15)</f>
        <v>1.4016060472517371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13556.049900199601</v>
      </c>
      <c r="D16" s="79">
        <f>IF(D13=0,0,+D15/+D13)</f>
        <v>15102.501851851852</v>
      </c>
      <c r="E16" s="79">
        <f>+D16-C16</f>
        <v>1546.4519516522505</v>
      </c>
      <c r="F16" s="80">
        <f>IF(C16=0,0,+E16/C16)</f>
        <v>0.11407836080844468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0.42702099999999998</v>
      </c>
      <c r="D18" s="704">
        <v>0.43822499999999998</v>
      </c>
      <c r="E18" s="704">
        <f>+D18-C18</f>
        <v>1.1203999999999992E-2</v>
      </c>
      <c r="F18" s="77">
        <f>IF(C18=0,0,+E18/C18)</f>
        <v>2.6237585505162492E-2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2900147.7102009999</v>
      </c>
      <c r="D19" s="79">
        <f>+D15*D18</f>
        <v>7147757.3839499997</v>
      </c>
      <c r="E19" s="79">
        <f>+D19-C19</f>
        <v>4247609.6737489998</v>
      </c>
      <c r="F19" s="80">
        <f>IF(C19=0,0,+E19/C19)</f>
        <v>1.4646183912662198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5788.7179844331331</v>
      </c>
      <c r="D20" s="79">
        <f>IF(D13=0,0,+D19/D13)</f>
        <v>6618.2938740277777</v>
      </c>
      <c r="E20" s="79">
        <f>+D20-C20</f>
        <v>829.57588959464465</v>
      </c>
      <c r="F20" s="80">
        <f>IF(C20=0,0,+E20/C20)</f>
        <v>0.14330908705960768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1545993</v>
      </c>
      <c r="D22" s="76">
        <v>3019515</v>
      </c>
      <c r="E22" s="76">
        <f>+D22-C22</f>
        <v>1473522</v>
      </c>
      <c r="F22" s="77">
        <f>IF(C22=0,0,+E22/C22)</f>
        <v>0.95312333238248814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3768729</v>
      </c>
      <c r="D23" s="185">
        <v>10144199</v>
      </c>
      <c r="E23" s="185">
        <f>+D23-C23</f>
        <v>6375470</v>
      </c>
      <c r="F23" s="77">
        <f>IF(C23=0,0,+E23/C23)</f>
        <v>1.6916764245983196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1476859</v>
      </c>
      <c r="D24" s="185">
        <v>3146988</v>
      </c>
      <c r="E24" s="185">
        <f>+D24-C24</f>
        <v>1670129</v>
      </c>
      <c r="F24" s="77">
        <f>IF(C24=0,0,+E24/C24)</f>
        <v>1.1308655734907667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6791581</v>
      </c>
      <c r="D25" s="79">
        <f>+D22+D23+D24</f>
        <v>16310702</v>
      </c>
      <c r="E25" s="79">
        <f>+E22+E23+E24</f>
        <v>9519121</v>
      </c>
      <c r="F25" s="80">
        <f>IF(C25=0,0,+E25/C25)</f>
        <v>1.4016060472517371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3167</v>
      </c>
      <c r="D27" s="185">
        <v>2684</v>
      </c>
      <c r="E27" s="185">
        <f>+D27-C27</f>
        <v>-483</v>
      </c>
      <c r="F27" s="77">
        <f>IF(C27=0,0,+E27/C27)</f>
        <v>-0.15251026207767604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568</v>
      </c>
      <c r="D28" s="185">
        <v>503</v>
      </c>
      <c r="E28" s="185">
        <f>+D28-C28</f>
        <v>-65</v>
      </c>
      <c r="F28" s="77">
        <f>IF(C28=0,0,+E28/C28)</f>
        <v>-0.11443661971830986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4217</v>
      </c>
      <c r="D29" s="185">
        <v>9192</v>
      </c>
      <c r="E29" s="185">
        <f>+D29-C29</f>
        <v>4975</v>
      </c>
      <c r="F29" s="77">
        <f>IF(C29=0,0,+E29/C29)</f>
        <v>1.1797486364714251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2587</v>
      </c>
      <c r="D30" s="185">
        <v>4138</v>
      </c>
      <c r="E30" s="185">
        <f>+D30-C30</f>
        <v>1551</v>
      </c>
      <c r="F30" s="77">
        <f>IF(C30=0,0,+E30/C30)</f>
        <v>0.59953614224971008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3743976</v>
      </c>
      <c r="D33" s="76">
        <v>3498973</v>
      </c>
      <c r="E33" s="76">
        <f>+D33-C33</f>
        <v>-245003</v>
      </c>
      <c r="F33" s="77">
        <f>IF(C33=0,0,+E33/C33)</f>
        <v>-6.5439254952489007E-2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6862858</v>
      </c>
      <c r="D34" s="185">
        <v>3162333</v>
      </c>
      <c r="E34" s="185">
        <f>+D34-C34</f>
        <v>-3700525</v>
      </c>
      <c r="F34" s="77">
        <f>IF(C34=0,0,+E34/C34)</f>
        <v>-0.53921048636005586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6686356</v>
      </c>
      <c r="D35" s="185">
        <v>3081002</v>
      </c>
      <c r="E35" s="185">
        <f>+D35-C35</f>
        <v>-3605354</v>
      </c>
      <c r="F35" s="77">
        <f>IF(C35=0,0,+E35/C35)</f>
        <v>-0.53921059542746452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17293190</v>
      </c>
      <c r="D36" s="79">
        <f>+D33+D34+D35</f>
        <v>9742308</v>
      </c>
      <c r="E36" s="79">
        <f>+E33+E34+E35</f>
        <v>-7550882</v>
      </c>
      <c r="F36" s="80">
        <f>IF(C36=0,0,+E36/C36)</f>
        <v>-0.43663904693119082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6791581</v>
      </c>
      <c r="D39" s="76">
        <f>+D25</f>
        <v>16310702</v>
      </c>
      <c r="E39" s="76">
        <f>+D39-C39</f>
        <v>9519121</v>
      </c>
      <c r="F39" s="77">
        <f>IF(C39=0,0,+E39/C39)</f>
        <v>1.4016060472517371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17293190</v>
      </c>
      <c r="D40" s="185">
        <f>+D36</f>
        <v>9742308</v>
      </c>
      <c r="E40" s="185">
        <f>+D40-C40</f>
        <v>-7550882</v>
      </c>
      <c r="F40" s="77">
        <f>IF(C40=0,0,+E40/C40)</f>
        <v>-0.43663904693119082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24084771</v>
      </c>
      <c r="D41" s="79">
        <f>+D39+D40</f>
        <v>26053010</v>
      </c>
      <c r="E41" s="79">
        <f>+E39+E40</f>
        <v>1968239</v>
      </c>
      <c r="F41" s="80">
        <f>IF(C41=0,0,+E41/C41)</f>
        <v>8.1721308456700711E-2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5289969</v>
      </c>
      <c r="D43" s="76">
        <f t="shared" si="0"/>
        <v>6518488</v>
      </c>
      <c r="E43" s="76">
        <f>+D43-C43</f>
        <v>1228519</v>
      </c>
      <c r="F43" s="77">
        <f>IF(C43=0,0,+E43/C43)</f>
        <v>0.23223557642776357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10631587</v>
      </c>
      <c r="D44" s="185">
        <f t="shared" si="0"/>
        <v>13306532</v>
      </c>
      <c r="E44" s="185">
        <f>+D44-C44</f>
        <v>2674945</v>
      </c>
      <c r="F44" s="77">
        <f>IF(C44=0,0,+E44/C44)</f>
        <v>0.25160354705275889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8163215</v>
      </c>
      <c r="D45" s="185">
        <f t="shared" si="0"/>
        <v>6227990</v>
      </c>
      <c r="E45" s="185">
        <f>+D45-C45</f>
        <v>-1935225</v>
      </c>
      <c r="F45" s="77">
        <f>IF(C45=0,0,+E45/C45)</f>
        <v>-0.2370665234224506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24084771</v>
      </c>
      <c r="D46" s="79">
        <f>+D43+D44+D45</f>
        <v>26053010</v>
      </c>
      <c r="E46" s="79">
        <f>+E43+E44+E45</f>
        <v>1968239</v>
      </c>
      <c r="F46" s="80">
        <f>IF(C46=0,0,+E46/C46)</f>
        <v>8.1721308456700711E-2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/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277830167</v>
      </c>
      <c r="D15" s="76">
        <v>269161826</v>
      </c>
      <c r="E15" s="76">
        <f>+D15-C15</f>
        <v>-8668341</v>
      </c>
      <c r="F15" s="77">
        <f>IF(C15=0,0,E15/C15)</f>
        <v>-3.1200143215549377E-2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118169124</v>
      </c>
      <c r="D17" s="76">
        <v>114805822</v>
      </c>
      <c r="E17" s="76">
        <f>+D17-C17</f>
        <v>-3363302</v>
      </c>
      <c r="F17" s="77">
        <f>IF(C17=0,0,E17/C17)</f>
        <v>-2.8461766374776546E-2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159661043</v>
      </c>
      <c r="D19" s="79">
        <f>+D15-D17</f>
        <v>154356004</v>
      </c>
      <c r="E19" s="79">
        <f>+D19-C19</f>
        <v>-5305039</v>
      </c>
      <c r="F19" s="80">
        <f>IF(C19=0,0,E19/C19)</f>
        <v>-3.3226884281345952E-2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0.42532862891019318</v>
      </c>
      <c r="D21" s="720">
        <f>IF(D15=0,0,D17/D15)</f>
        <v>0.426530848397499</v>
      </c>
      <c r="E21" s="720">
        <f>+D21-C21</f>
        <v>1.2022194873058112E-3</v>
      </c>
      <c r="F21" s="80">
        <f>IF(C21=0,0,E21/C21)</f>
        <v>2.826566108155527E-3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E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443279640</v>
      </c>
      <c r="D10" s="744">
        <v>411477153</v>
      </c>
      <c r="E10" s="744">
        <v>410328218</v>
      </c>
    </row>
    <row r="11" spans="1:6" ht="26.1" customHeight="1" x14ac:dyDescent="0.25">
      <c r="A11" s="742">
        <v>2</v>
      </c>
      <c r="B11" s="743" t="s">
        <v>932</v>
      </c>
      <c r="C11" s="744">
        <v>398568079</v>
      </c>
      <c r="D11" s="744">
        <v>449270966</v>
      </c>
      <c r="E11" s="744">
        <v>473587183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841847719</v>
      </c>
      <c r="D12" s="744">
        <f>+D11+D10</f>
        <v>860748119</v>
      </c>
      <c r="E12" s="744">
        <f>+E11+E10</f>
        <v>883915401</v>
      </c>
    </row>
    <row r="13" spans="1:6" ht="26.1" customHeight="1" x14ac:dyDescent="0.25">
      <c r="A13" s="742">
        <v>4</v>
      </c>
      <c r="B13" s="743" t="s">
        <v>507</v>
      </c>
      <c r="C13" s="744">
        <v>383316464</v>
      </c>
      <c r="D13" s="744">
        <v>393528986</v>
      </c>
      <c r="E13" s="744">
        <v>371907491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368573386</v>
      </c>
      <c r="D16" s="744">
        <v>389521494</v>
      </c>
      <c r="E16" s="744">
        <v>377447207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83137</v>
      </c>
      <c r="D19" s="747">
        <v>76771</v>
      </c>
      <c r="E19" s="747">
        <v>75467</v>
      </c>
    </row>
    <row r="20" spans="1:5" ht="26.1" customHeight="1" x14ac:dyDescent="0.25">
      <c r="A20" s="742">
        <v>2</v>
      </c>
      <c r="B20" s="743" t="s">
        <v>381</v>
      </c>
      <c r="C20" s="748">
        <v>20546</v>
      </c>
      <c r="D20" s="748">
        <v>18252</v>
      </c>
      <c r="E20" s="748">
        <v>17907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4.0463837243259029</v>
      </c>
      <c r="D21" s="749">
        <f>IF(D20=0,0,+D19/D20)</f>
        <v>4.2061691869384177</v>
      </c>
      <c r="E21" s="749">
        <f>IF(E20=0,0,+E19/E20)</f>
        <v>4.2143854358630701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157888.35646614179</v>
      </c>
      <c r="D22" s="748">
        <f>IF(D10=0,0,D19*(D12/D10))</f>
        <v>160593.34852972749</v>
      </c>
      <c r="E22" s="748">
        <f>IF(E10=0,0,E19*(E12/E10))</f>
        <v>162568.50160684536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39019.620288840699</v>
      </c>
      <c r="D23" s="748">
        <f>IF(D10=0,0,D20*(D12/D10))</f>
        <v>38180.430075999873</v>
      </c>
      <c r="E23" s="748">
        <f>IF(E10=0,0,E20*(E12/E10))</f>
        <v>38574.663869953489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1.1699751484473864</v>
      </c>
      <c r="D26" s="750">
        <v>1.2001706278763971</v>
      </c>
      <c r="E26" s="750">
        <v>1.2658488060534989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97268.223916470364</v>
      </c>
      <c r="D27" s="748">
        <f>D19*D26</f>
        <v>92138.299272698874</v>
      </c>
      <c r="E27" s="748">
        <f>E19*E26</f>
        <v>95529.811846439407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24038.309400000002</v>
      </c>
      <c r="D28" s="748">
        <f>D20*D26</f>
        <v>21905.514299999999</v>
      </c>
      <c r="E28" s="748">
        <f>E20*E26</f>
        <v>22667.554570000004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184725.45329458811</v>
      </c>
      <c r="D29" s="748">
        <f>D22*D26</f>
        <v>192739.4199376961</v>
      </c>
      <c r="E29" s="748">
        <f>E22*E26</f>
        <v>205787.14366093153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45651.986039797048</v>
      </c>
      <c r="D30" s="748">
        <f>D23*D26</f>
        <v>45823.030736903645</v>
      </c>
      <c r="E30" s="748">
        <f>E23*E26</f>
        <v>48829.692203695668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10126.029553628348</v>
      </c>
      <c r="D33" s="744">
        <f>IF(D19=0,0,D12/D19)</f>
        <v>11211.891456409321</v>
      </c>
      <c r="E33" s="744">
        <f>IF(E19=0,0,E12/E19)</f>
        <v>11712.608173108776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40973.801177844834</v>
      </c>
      <c r="D34" s="744">
        <f>IF(D20=0,0,D12/D20)</f>
        <v>47159.112371246985</v>
      </c>
      <c r="E34" s="744">
        <f>IF(E20=0,0,E12/E20)</f>
        <v>49361.445300720392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5331.9176780494845</v>
      </c>
      <c r="D35" s="744">
        <f>IF(D22=0,0,D12/D22)</f>
        <v>5359.7993122402986</v>
      </c>
      <c r="E35" s="744">
        <f>IF(E22=0,0,E12/E22)</f>
        <v>5437.1873534127508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21574.984911904994</v>
      </c>
      <c r="D36" s="744">
        <f>IF(D23=0,0,D12/D23)</f>
        <v>22544.222715318869</v>
      </c>
      <c r="E36" s="744">
        <f>IF(E23=0,0,E12/E23)</f>
        <v>22914.403194281567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4557.2913964242716</v>
      </c>
      <c r="D37" s="744">
        <f>IF(D29=0,0,D12/D29)</f>
        <v>4465.8644260641686</v>
      </c>
      <c r="E37" s="744">
        <f>IF(E29=0,0,E12/E29)</f>
        <v>4295.2897118607043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18440.549733501641</v>
      </c>
      <c r="D38" s="744">
        <f>IF(D30=0,0,D12/D30)</f>
        <v>18784.181341955526</v>
      </c>
      <c r="E38" s="744">
        <f>IF(E30=0,0,E12/E30)</f>
        <v>18102.006404478238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2807.5511704693604</v>
      </c>
      <c r="D39" s="744">
        <f>IF(D22=0,0,D10/D22)</f>
        <v>2562.2303586492021</v>
      </c>
      <c r="E39" s="744">
        <f>IF(E22=0,0,E10/E22)</f>
        <v>2524.0327243240217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11360.42936139936</v>
      </c>
      <c r="D40" s="744">
        <f>IF(D23=0,0,D10/D23)</f>
        <v>10777.174384388445</v>
      </c>
      <c r="E40" s="744">
        <f>IF(E23=0,0,E10/E23)</f>
        <v>10637.246753032945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4610.6602836282282</v>
      </c>
      <c r="D43" s="744">
        <f>IF(D19=0,0,D13/D19)</f>
        <v>5126.0109416316054</v>
      </c>
      <c r="E43" s="744">
        <f>IF(E19=0,0,E13/E19)</f>
        <v>4928.0810287940421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18656.500730069114</v>
      </c>
      <c r="D44" s="744">
        <f>IF(D20=0,0,D13/D20)</f>
        <v>21560.869274600045</v>
      </c>
      <c r="E44" s="744">
        <f>IF(E20=0,0,E13/E20)</f>
        <v>20768.832914502709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2427.7690425018764</v>
      </c>
      <c r="D45" s="744">
        <f>IF(D22=0,0,D13/D22)</f>
        <v>2450.4687747211005</v>
      </c>
      <c r="E45" s="744">
        <f>IF(E22=0,0,E13/E22)</f>
        <v>2287.6971081361057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9823.6851400018732</v>
      </c>
      <c r="D46" s="744">
        <f>IF(D23=0,0,D13/D23)</f>
        <v>10307.086253786632</v>
      </c>
      <c r="E46" s="744">
        <f>IF(E23=0,0,E13/E23)</f>
        <v>9641.2373741948668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2075.0603512592925</v>
      </c>
      <c r="D47" s="744">
        <f>IF(D29=0,0,D13/D29)</f>
        <v>2041.7669936290667</v>
      </c>
      <c r="E47" s="744">
        <f>IF(E29=0,0,E13/E29)</f>
        <v>1807.2435643150736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8396.4904323295923</v>
      </c>
      <c r="D48" s="744">
        <f>IF(D30=0,0,D13/D30)</f>
        <v>8588.0174155104687</v>
      </c>
      <c r="E48" s="744">
        <f>IF(E30=0,0,E13/E30)</f>
        <v>7616.4209565067104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4433.3255469887054</v>
      </c>
      <c r="D51" s="744">
        <f>IF(D19=0,0,D16/D19)</f>
        <v>5073.8103450521685</v>
      </c>
      <c r="E51" s="744">
        <f>IF(E19=0,0,E16/E19)</f>
        <v>5001.4868353054981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17938.93633797333</v>
      </c>
      <c r="D52" s="744">
        <f>IF(D20=0,0,D16/D20)</f>
        <v>21341.304733727811</v>
      </c>
      <c r="E52" s="744">
        <f>IF(E20=0,0,E16/E20)</f>
        <v>21078.193276372367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2334.392441909029</v>
      </c>
      <c r="D53" s="744">
        <f>IF(D22=0,0,D16/D22)</f>
        <v>2425.5144908937218</v>
      </c>
      <c r="E53" s="744">
        <f>IF(E22=0,0,E16/E22)</f>
        <v>2321.7733033722361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9445.8475831300966</v>
      </c>
      <c r="D54" s="744">
        <f>IF(D23=0,0,D16/D23)</f>
        <v>10202.124314069795</v>
      </c>
      <c r="E54" s="744">
        <f>IF(E23=0,0,E16/E23)</f>
        <v>9784.8475951076416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1995.2495956917383</v>
      </c>
      <c r="D55" s="744">
        <f>IF(D29=0,0,D16/D29)</f>
        <v>2020.9747135584128</v>
      </c>
      <c r="E55" s="744">
        <f>IF(E29=0,0,E16/E29)</f>
        <v>1834.1632051704207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8073.5454899748884</v>
      </c>
      <c r="D56" s="744">
        <f>IF(D30=0,0,D16/D30)</f>
        <v>8500.5615677510887</v>
      </c>
      <c r="E56" s="744">
        <f>IF(E30=0,0,E16/E30)</f>
        <v>7729.8706988661497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51622907</v>
      </c>
      <c r="D59" s="752">
        <v>60308808</v>
      </c>
      <c r="E59" s="752">
        <v>59452944</v>
      </c>
    </row>
    <row r="60" spans="1:6" ht="26.1" customHeight="1" x14ac:dyDescent="0.25">
      <c r="A60" s="742">
        <v>2</v>
      </c>
      <c r="B60" s="743" t="s">
        <v>968</v>
      </c>
      <c r="C60" s="752">
        <v>17765212</v>
      </c>
      <c r="D60" s="752">
        <v>15653134</v>
      </c>
      <c r="E60" s="752">
        <v>18429333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69388119</v>
      </c>
      <c r="D61" s="755">
        <f>D59+D60</f>
        <v>75961942</v>
      </c>
      <c r="E61" s="755">
        <f>E59+E60</f>
        <v>77882277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22878615</v>
      </c>
      <c r="D64" s="744">
        <v>27064007</v>
      </c>
      <c r="E64" s="752">
        <v>28826455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7724018</v>
      </c>
      <c r="D65" s="752">
        <v>7024455</v>
      </c>
      <c r="E65" s="752">
        <v>8638705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30602633</v>
      </c>
      <c r="D66" s="757">
        <f>D64+D65</f>
        <v>34088462</v>
      </c>
      <c r="E66" s="757">
        <f>E64+E65</f>
        <v>37465160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78660567</v>
      </c>
      <c r="D69" s="752">
        <v>77920320</v>
      </c>
      <c r="E69" s="752">
        <v>80427441</v>
      </c>
    </row>
    <row r="70" spans="1:6" ht="26.1" customHeight="1" x14ac:dyDescent="0.25">
      <c r="A70" s="742">
        <v>2</v>
      </c>
      <c r="B70" s="743" t="s">
        <v>976</v>
      </c>
      <c r="C70" s="752">
        <v>26670431</v>
      </c>
      <c r="D70" s="752">
        <v>20224197</v>
      </c>
      <c r="E70" s="752">
        <v>24660487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105330998</v>
      </c>
      <c r="D71" s="755">
        <f>D69+D70</f>
        <v>98144517</v>
      </c>
      <c r="E71" s="755">
        <f>E69+E70</f>
        <v>105087928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153162089</v>
      </c>
      <c r="D75" s="744">
        <f t="shared" si="0"/>
        <v>165293135</v>
      </c>
      <c r="E75" s="744">
        <f t="shared" si="0"/>
        <v>168706840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52159661</v>
      </c>
      <c r="D76" s="744">
        <f t="shared" si="0"/>
        <v>42901786</v>
      </c>
      <c r="E76" s="744">
        <f t="shared" si="0"/>
        <v>51728525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205321750</v>
      </c>
      <c r="D77" s="757">
        <f>D75+D76</f>
        <v>208194921</v>
      </c>
      <c r="E77" s="757">
        <f>E75+E76</f>
        <v>220435365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627.5</v>
      </c>
      <c r="D80" s="749">
        <v>617.4</v>
      </c>
      <c r="E80" s="749">
        <v>638.29999999999995</v>
      </c>
    </row>
    <row r="81" spans="1:5" ht="26.1" customHeight="1" x14ac:dyDescent="0.25">
      <c r="A81" s="742">
        <v>2</v>
      </c>
      <c r="B81" s="743" t="s">
        <v>617</v>
      </c>
      <c r="C81" s="749">
        <v>109.6</v>
      </c>
      <c r="D81" s="749">
        <v>122.2</v>
      </c>
      <c r="E81" s="749">
        <v>126.4</v>
      </c>
    </row>
    <row r="82" spans="1:5" ht="26.1" customHeight="1" x14ac:dyDescent="0.25">
      <c r="A82" s="742">
        <v>3</v>
      </c>
      <c r="B82" s="743" t="s">
        <v>982</v>
      </c>
      <c r="C82" s="749">
        <v>1434.9</v>
      </c>
      <c r="D82" s="749">
        <v>1559.9</v>
      </c>
      <c r="E82" s="749">
        <v>1508.2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2172</v>
      </c>
      <c r="D83" s="759">
        <f>D80+D81+D82</f>
        <v>2299.5</v>
      </c>
      <c r="E83" s="759">
        <f>E80+E81+E82</f>
        <v>2272.9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82267.58087649403</v>
      </c>
      <c r="D86" s="752">
        <f>IF(D80=0,0,D59/D80)</f>
        <v>97681.904761904763</v>
      </c>
      <c r="E86" s="752">
        <f>IF(E80=0,0,E59/E80)</f>
        <v>93142.63512454959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28311.094820717131</v>
      </c>
      <c r="D87" s="752">
        <f>IF(D80=0,0,D60/D80)</f>
        <v>25353.310657596372</v>
      </c>
      <c r="E87" s="752">
        <f>IF(E80=0,0,E60/E80)</f>
        <v>28872.525458248474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110578.67569721116</v>
      </c>
      <c r="D88" s="755">
        <f>+D86+D87</f>
        <v>123035.21541950114</v>
      </c>
      <c r="E88" s="755">
        <f>+E86+E87</f>
        <v>122015.16058279807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208746.48722627739</v>
      </c>
      <c r="D91" s="744">
        <f>IF(D81=0,0,D64/D81)</f>
        <v>221473.05237315875</v>
      </c>
      <c r="E91" s="744">
        <f>IF(E81=0,0,E64/E81)</f>
        <v>228057.39715189874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70474.616788321175</v>
      </c>
      <c r="D92" s="744">
        <f>IF(D81=0,0,D65/D81)</f>
        <v>57483.2651391162</v>
      </c>
      <c r="E92" s="744">
        <f>IF(E81=0,0,E65/E81)</f>
        <v>68344.185126582277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279221.10401459853</v>
      </c>
      <c r="D93" s="757">
        <f>+D91+D92</f>
        <v>278956.31751227495</v>
      </c>
      <c r="E93" s="757">
        <f>+E91+E92</f>
        <v>296401.58227848099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54819.54630984737</v>
      </c>
      <c r="D96" s="752">
        <f>IF(D82=0,0,D69/D82)</f>
        <v>49952.125136226678</v>
      </c>
      <c r="E96" s="752">
        <f>IF(E82=0,0,E69/E82)</f>
        <v>53326.774300490652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18586.96146072897</v>
      </c>
      <c r="D97" s="752">
        <f>IF(D82=0,0,D70/D82)</f>
        <v>12965.059939739725</v>
      </c>
      <c r="E97" s="752">
        <f>IF(E82=0,0,E70/E82)</f>
        <v>16350.939530566236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73406.50777057634</v>
      </c>
      <c r="D98" s="757">
        <f>+D96+D97</f>
        <v>62917.185075966401</v>
      </c>
      <c r="E98" s="757">
        <f>+E96+E97</f>
        <v>69677.713831056884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70516.615561694285</v>
      </c>
      <c r="D101" s="744">
        <f>IF(D83=0,0,D75/D83)</f>
        <v>71882.207001522067</v>
      </c>
      <c r="E101" s="744">
        <f>IF(E83=0,0,E75/E83)</f>
        <v>74225.368471996131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24014.57688766114</v>
      </c>
      <c r="D102" s="761">
        <f>IF(D83=0,0,D76/D83)</f>
        <v>18657.006305718634</v>
      </c>
      <c r="E102" s="761">
        <f>IF(E83=0,0,E76/E83)</f>
        <v>22758.82132957895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94531.192449355425</v>
      </c>
      <c r="D103" s="757">
        <f>+D101+D102</f>
        <v>90539.213307240701</v>
      </c>
      <c r="E103" s="757">
        <f>+E101+E102</f>
        <v>96984.189801575078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2469.6795650552704</v>
      </c>
      <c r="D108" s="744">
        <f>IF(D19=0,0,D77/D19)</f>
        <v>2711.8953901863983</v>
      </c>
      <c r="E108" s="744">
        <f>IF(E19=0,0,E77/E19)</f>
        <v>2920.9504154133597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9993.2711963399197</v>
      </c>
      <c r="D109" s="744">
        <f>IF(D20=0,0,D77/D20)</f>
        <v>11406.690828402367</v>
      </c>
      <c r="E109" s="744">
        <f>IF(E20=0,0,E77/E20)</f>
        <v>12310.010889596248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1300.4236322140071</v>
      </c>
      <c r="D110" s="744">
        <f>IF(D22=0,0,D77/D22)</f>
        <v>1296.4106104398277</v>
      </c>
      <c r="E110" s="744">
        <f>IF(E22=0,0,E77/E22)</f>
        <v>1355.953723022554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5262.0130201195316</v>
      </c>
      <c r="D111" s="744">
        <f>IF(D23=0,0,D77/D23)</f>
        <v>5452.922363252027</v>
      </c>
      <c r="E111" s="744">
        <f>IF(E23=0,0,E77/E23)</f>
        <v>5714.5116220105583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1111.4967988334897</v>
      </c>
      <c r="D112" s="744">
        <f>IF(D29=0,0,D77/D29)</f>
        <v>1080.1885834631025</v>
      </c>
      <c r="E112" s="744">
        <f>IF(E29=0,0,E77/E29)</f>
        <v>1071.1814211445776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4497.5425564401748</v>
      </c>
      <c r="D113" s="744">
        <f>IF(D30=0,0,D77/D30)</f>
        <v>4543.4559358451579</v>
      </c>
      <c r="E113" s="744">
        <f>IF(E30=0,0,E77/E30)</f>
        <v>4514.3713804388135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870417634</v>
      </c>
      <c r="D12" s="76">
        <v>894561269</v>
      </c>
      <c r="E12" s="76">
        <f t="shared" ref="E12:E21" si="0">D12-C12</f>
        <v>24143635</v>
      </c>
      <c r="F12" s="77">
        <f t="shared" ref="F12:F21" si="1">IF(C12=0,0,E12/C12)</f>
        <v>2.7737989278833936E-2</v>
      </c>
    </row>
    <row r="13" spans="1:8" ht="23.1" customHeight="1" x14ac:dyDescent="0.2">
      <c r="A13" s="74">
        <v>2</v>
      </c>
      <c r="B13" s="75" t="s">
        <v>72</v>
      </c>
      <c r="C13" s="76">
        <v>473120887</v>
      </c>
      <c r="D13" s="76">
        <v>496600768</v>
      </c>
      <c r="E13" s="76">
        <f t="shared" si="0"/>
        <v>23479881</v>
      </c>
      <c r="F13" s="77">
        <f t="shared" si="1"/>
        <v>4.9627656789542667E-2</v>
      </c>
    </row>
    <row r="14" spans="1:8" ht="23.1" customHeight="1" x14ac:dyDescent="0.2">
      <c r="A14" s="74">
        <v>3</v>
      </c>
      <c r="B14" s="75" t="s">
        <v>73</v>
      </c>
      <c r="C14" s="76">
        <v>6791581</v>
      </c>
      <c r="D14" s="76">
        <v>16310702</v>
      </c>
      <c r="E14" s="76">
        <f t="shared" si="0"/>
        <v>9519121</v>
      </c>
      <c r="F14" s="77">
        <f t="shared" si="1"/>
        <v>1.4016060472517371</v>
      </c>
    </row>
    <row r="15" spans="1:8" ht="23.1" customHeight="1" x14ac:dyDescent="0.2">
      <c r="A15" s="74">
        <v>4</v>
      </c>
      <c r="B15" s="75" t="s">
        <v>74</v>
      </c>
      <c r="C15" s="76">
        <v>-3023820</v>
      </c>
      <c r="D15" s="76">
        <v>0</v>
      </c>
      <c r="E15" s="76">
        <f t="shared" si="0"/>
        <v>3023820</v>
      </c>
      <c r="F15" s="77">
        <f t="shared" si="1"/>
        <v>-1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393528986</v>
      </c>
      <c r="D16" s="79">
        <f>D12-D13-D14-D15</f>
        <v>381649799</v>
      </c>
      <c r="E16" s="79">
        <f t="shared" si="0"/>
        <v>-11879187</v>
      </c>
      <c r="F16" s="80">
        <f t="shared" si="1"/>
        <v>-3.0186307546860094E-2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9742308</v>
      </c>
      <c r="E17" s="76">
        <f t="shared" si="0"/>
        <v>9742308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393528986</v>
      </c>
      <c r="D18" s="79">
        <f>D16-D17</f>
        <v>371907491</v>
      </c>
      <c r="E18" s="79">
        <f t="shared" si="0"/>
        <v>-21621495</v>
      </c>
      <c r="F18" s="80">
        <f t="shared" si="1"/>
        <v>-5.494257289601534E-2</v>
      </c>
    </row>
    <row r="19" spans="1:7" ht="23.1" customHeight="1" x14ac:dyDescent="0.2">
      <c r="A19" s="74">
        <v>6</v>
      </c>
      <c r="B19" s="75" t="s">
        <v>78</v>
      </c>
      <c r="C19" s="76">
        <v>13861784</v>
      </c>
      <c r="D19" s="76">
        <v>17233898</v>
      </c>
      <c r="E19" s="76">
        <f t="shared" si="0"/>
        <v>3372114</v>
      </c>
      <c r="F19" s="77">
        <f t="shared" si="1"/>
        <v>0.24326695611473964</v>
      </c>
      <c r="G19" s="65"/>
    </row>
    <row r="20" spans="1:7" ht="33" customHeight="1" x14ac:dyDescent="0.2">
      <c r="A20" s="74">
        <v>7</v>
      </c>
      <c r="B20" s="82" t="s">
        <v>79</v>
      </c>
      <c r="C20" s="76">
        <v>1559503</v>
      </c>
      <c r="D20" s="76">
        <v>1885094</v>
      </c>
      <c r="E20" s="76">
        <f t="shared" si="0"/>
        <v>325591</v>
      </c>
      <c r="F20" s="77">
        <f t="shared" si="1"/>
        <v>0.20877869423784373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408950273</v>
      </c>
      <c r="D21" s="79">
        <f>SUM(D18:D20)</f>
        <v>391026483</v>
      </c>
      <c r="E21" s="79">
        <f t="shared" si="0"/>
        <v>-17923790</v>
      </c>
      <c r="F21" s="80">
        <f t="shared" si="1"/>
        <v>-4.3828776218960981E-2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165293135</v>
      </c>
      <c r="D24" s="76">
        <v>168706840</v>
      </c>
      <c r="E24" s="76">
        <f t="shared" ref="E24:E33" si="2">D24-C24</f>
        <v>3413705</v>
      </c>
      <c r="F24" s="77">
        <f t="shared" ref="F24:F33" si="3">IF(C24=0,0,E24/C24)</f>
        <v>2.0652430604574109E-2</v>
      </c>
    </row>
    <row r="25" spans="1:7" ht="23.1" customHeight="1" x14ac:dyDescent="0.2">
      <c r="A25" s="74">
        <v>2</v>
      </c>
      <c r="B25" s="75" t="s">
        <v>83</v>
      </c>
      <c r="C25" s="76">
        <v>42901786</v>
      </c>
      <c r="D25" s="76">
        <v>51728525</v>
      </c>
      <c r="E25" s="76">
        <f t="shared" si="2"/>
        <v>8826739</v>
      </c>
      <c r="F25" s="77">
        <f t="shared" si="3"/>
        <v>0.20574292641336656</v>
      </c>
    </row>
    <row r="26" spans="1:7" ht="23.1" customHeight="1" x14ac:dyDescent="0.2">
      <c r="A26" s="74">
        <v>3</v>
      </c>
      <c r="B26" s="75" t="s">
        <v>84</v>
      </c>
      <c r="C26" s="76">
        <v>11822724</v>
      </c>
      <c r="D26" s="76">
        <v>10145410</v>
      </c>
      <c r="E26" s="76">
        <f t="shared" si="2"/>
        <v>-1677314</v>
      </c>
      <c r="F26" s="77">
        <f t="shared" si="3"/>
        <v>-0.14187204234827777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49535456</v>
      </c>
      <c r="D27" s="76">
        <v>54189600</v>
      </c>
      <c r="E27" s="76">
        <f t="shared" si="2"/>
        <v>4654144</v>
      </c>
      <c r="F27" s="77">
        <f t="shared" si="3"/>
        <v>9.3955812176231904E-2</v>
      </c>
    </row>
    <row r="28" spans="1:7" ht="23.1" customHeight="1" x14ac:dyDescent="0.2">
      <c r="A28" s="74">
        <v>5</v>
      </c>
      <c r="B28" s="75" t="s">
        <v>86</v>
      </c>
      <c r="C28" s="76">
        <v>19353058</v>
      </c>
      <c r="D28" s="76">
        <v>19479333</v>
      </c>
      <c r="E28" s="76">
        <f t="shared" si="2"/>
        <v>126275</v>
      </c>
      <c r="F28" s="77">
        <f t="shared" si="3"/>
        <v>6.5248086374773435E-3</v>
      </c>
    </row>
    <row r="29" spans="1:7" ht="23.1" customHeight="1" x14ac:dyDescent="0.2">
      <c r="A29" s="74">
        <v>6</v>
      </c>
      <c r="B29" s="75" t="s">
        <v>87</v>
      </c>
      <c r="C29" s="76">
        <v>17293190</v>
      </c>
      <c r="D29" s="76">
        <v>0</v>
      </c>
      <c r="E29" s="76">
        <f t="shared" si="2"/>
        <v>-17293190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1957216</v>
      </c>
      <c r="D30" s="76">
        <v>1563598</v>
      </c>
      <c r="E30" s="76">
        <f t="shared" si="2"/>
        <v>-393618</v>
      </c>
      <c r="F30" s="77">
        <f t="shared" si="3"/>
        <v>-0.2011111701518892</v>
      </c>
    </row>
    <row r="31" spans="1:7" ht="23.1" customHeight="1" x14ac:dyDescent="0.2">
      <c r="A31" s="74">
        <v>8</v>
      </c>
      <c r="B31" s="75" t="s">
        <v>89</v>
      </c>
      <c r="C31" s="76">
        <v>5136177</v>
      </c>
      <c r="D31" s="76">
        <v>2558127</v>
      </c>
      <c r="E31" s="76">
        <f t="shared" si="2"/>
        <v>-2578050</v>
      </c>
      <c r="F31" s="77">
        <f t="shared" si="3"/>
        <v>-0.50193947755305157</v>
      </c>
    </row>
    <row r="32" spans="1:7" ht="23.1" customHeight="1" x14ac:dyDescent="0.2">
      <c r="A32" s="74">
        <v>9</v>
      </c>
      <c r="B32" s="75" t="s">
        <v>90</v>
      </c>
      <c r="C32" s="76">
        <v>76228752</v>
      </c>
      <c r="D32" s="76">
        <v>69075774</v>
      </c>
      <c r="E32" s="76">
        <f t="shared" si="2"/>
        <v>-7152978</v>
      </c>
      <c r="F32" s="77">
        <f t="shared" si="3"/>
        <v>-9.3835696011394756E-2</v>
      </c>
    </row>
    <row r="33" spans="1:6" ht="23.1" customHeight="1" x14ac:dyDescent="0.25">
      <c r="A33" s="71"/>
      <c r="B33" s="78" t="s">
        <v>91</v>
      </c>
      <c r="C33" s="79">
        <f>SUM(C24:C32)</f>
        <v>389521494</v>
      </c>
      <c r="D33" s="79">
        <f>SUM(D24:D32)</f>
        <v>377447207</v>
      </c>
      <c r="E33" s="79">
        <f t="shared" si="2"/>
        <v>-12074287</v>
      </c>
      <c r="F33" s="80">
        <f t="shared" si="3"/>
        <v>-3.09977425790013E-2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19428779</v>
      </c>
      <c r="D35" s="79">
        <f>+D21-D33</f>
        <v>13579276</v>
      </c>
      <c r="E35" s="79">
        <f>D35-C35</f>
        <v>-5849503</v>
      </c>
      <c r="F35" s="80">
        <f>IF(C35=0,0,E35/C35)</f>
        <v>-0.30107414367109742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2379526</v>
      </c>
      <c r="D38" s="76">
        <v>5631250</v>
      </c>
      <c r="E38" s="76">
        <f>D38-C38</f>
        <v>3251724</v>
      </c>
      <c r="F38" s="77">
        <f>IF(C38=0,0,E38/C38)</f>
        <v>1.3665427484297292</v>
      </c>
    </row>
    <row r="39" spans="1:6" ht="23.1" customHeight="1" x14ac:dyDescent="0.2">
      <c r="A39" s="85">
        <v>2</v>
      </c>
      <c r="B39" s="75" t="s">
        <v>95</v>
      </c>
      <c r="C39" s="76">
        <v>123070</v>
      </c>
      <c r="D39" s="76">
        <v>41607</v>
      </c>
      <c r="E39" s="76">
        <f>D39-C39</f>
        <v>-81463</v>
      </c>
      <c r="F39" s="77">
        <f>IF(C39=0,0,E39/C39)</f>
        <v>-0.66192410823108805</v>
      </c>
    </row>
    <row r="40" spans="1:6" ht="23.1" customHeight="1" x14ac:dyDescent="0.2">
      <c r="A40" s="85">
        <v>3</v>
      </c>
      <c r="B40" s="75" t="s">
        <v>96</v>
      </c>
      <c r="C40" s="76">
        <v>7462766</v>
      </c>
      <c r="D40" s="76">
        <v>5965625</v>
      </c>
      <c r="E40" s="76">
        <f>D40-C40</f>
        <v>-1497141</v>
      </c>
      <c r="F40" s="77">
        <f>IF(C40=0,0,E40/C40)</f>
        <v>-0.20061475865650885</v>
      </c>
    </row>
    <row r="41" spans="1:6" ht="23.1" customHeight="1" x14ac:dyDescent="0.25">
      <c r="A41" s="83"/>
      <c r="B41" s="78" t="s">
        <v>97</v>
      </c>
      <c r="C41" s="79">
        <f>SUM(C38:C40)</f>
        <v>9965362</v>
      </c>
      <c r="D41" s="79">
        <f>SUM(D38:D40)</f>
        <v>11638482</v>
      </c>
      <c r="E41" s="79">
        <f>D41-C41</f>
        <v>1673120</v>
      </c>
      <c r="F41" s="80">
        <f>IF(C41=0,0,E41/C41)</f>
        <v>0.16789354967737249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29394141</v>
      </c>
      <c r="D43" s="79">
        <f>D35+D41</f>
        <v>25217758</v>
      </c>
      <c r="E43" s="79">
        <f>D43-C43</f>
        <v>-4176383</v>
      </c>
      <c r="F43" s="80">
        <f>IF(C43=0,0,E43/C43)</f>
        <v>-0.14208215848185529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29394141</v>
      </c>
      <c r="D50" s="79">
        <f>D43+D48</f>
        <v>25217758</v>
      </c>
      <c r="E50" s="79">
        <f>D50-C50</f>
        <v>-4176383</v>
      </c>
      <c r="F50" s="80">
        <f>IF(C50=0,0,E50/C50)</f>
        <v>-0.14208215848185529</v>
      </c>
    </row>
    <row r="51" spans="1:6" ht="23.1" customHeight="1" x14ac:dyDescent="0.2">
      <c r="A51" s="85"/>
      <c r="B51" s="75" t="s">
        <v>104</v>
      </c>
      <c r="C51" s="76">
        <v>2745010</v>
      </c>
      <c r="D51" s="76">
        <v>2165699</v>
      </c>
      <c r="E51" s="76">
        <f>D51-C51</f>
        <v>-579311</v>
      </c>
      <c r="F51" s="77">
        <f>IF(C51=0,0,E51/C51)</f>
        <v>-0.21104148983063814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185301507</v>
      </c>
      <c r="D14" s="113">
        <v>180322380</v>
      </c>
      <c r="E14" s="113">
        <f t="shared" ref="E14:E25" si="0">D14-C14</f>
        <v>-4979127</v>
      </c>
      <c r="F14" s="114">
        <f t="shared" ref="F14:F25" si="1">IF(C14=0,0,E14/C14)</f>
        <v>-2.6870407481359555E-2</v>
      </c>
    </row>
    <row r="15" spans="1:6" x14ac:dyDescent="0.2">
      <c r="A15" s="115">
        <v>2</v>
      </c>
      <c r="B15" s="116" t="s">
        <v>114</v>
      </c>
      <c r="C15" s="113">
        <v>50577239</v>
      </c>
      <c r="D15" s="113">
        <v>61289942</v>
      </c>
      <c r="E15" s="113">
        <f t="shared" si="0"/>
        <v>10712703</v>
      </c>
      <c r="F15" s="114">
        <f t="shared" si="1"/>
        <v>0.21180877429865241</v>
      </c>
    </row>
    <row r="16" spans="1:6" x14ac:dyDescent="0.2">
      <c r="A16" s="115">
        <v>3</v>
      </c>
      <c r="B16" s="116" t="s">
        <v>115</v>
      </c>
      <c r="C16" s="113">
        <v>69315273</v>
      </c>
      <c r="D16" s="113">
        <v>79113082</v>
      </c>
      <c r="E16" s="113">
        <f t="shared" si="0"/>
        <v>9797809</v>
      </c>
      <c r="F16" s="114">
        <f t="shared" si="1"/>
        <v>0.14135137287852853</v>
      </c>
    </row>
    <row r="17" spans="1:6" x14ac:dyDescent="0.2">
      <c r="A17" s="115">
        <v>4</v>
      </c>
      <c r="B17" s="116" t="s">
        <v>116</v>
      </c>
      <c r="C17" s="113">
        <v>6324858</v>
      </c>
      <c r="D17" s="113">
        <v>0</v>
      </c>
      <c r="E17" s="113">
        <f t="shared" si="0"/>
        <v>-6324858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511703</v>
      </c>
      <c r="D18" s="113">
        <v>298280</v>
      </c>
      <c r="E18" s="113">
        <f t="shared" si="0"/>
        <v>-213423</v>
      </c>
      <c r="F18" s="114">
        <f t="shared" si="1"/>
        <v>-0.41708373802772314</v>
      </c>
    </row>
    <row r="19" spans="1:6" x14ac:dyDescent="0.2">
      <c r="A19" s="115">
        <v>6</v>
      </c>
      <c r="B19" s="116" t="s">
        <v>118</v>
      </c>
      <c r="C19" s="113">
        <v>1313776</v>
      </c>
      <c r="D19" s="113">
        <v>2014169</v>
      </c>
      <c r="E19" s="113">
        <f t="shared" si="0"/>
        <v>700393</v>
      </c>
      <c r="F19" s="114">
        <f t="shared" si="1"/>
        <v>0.53311447309130322</v>
      </c>
    </row>
    <row r="20" spans="1:6" x14ac:dyDescent="0.2">
      <c r="A20" s="115">
        <v>7</v>
      </c>
      <c r="B20" s="116" t="s">
        <v>119</v>
      </c>
      <c r="C20" s="113">
        <v>89395871</v>
      </c>
      <c r="D20" s="113">
        <v>81271666</v>
      </c>
      <c r="E20" s="113">
        <f t="shared" si="0"/>
        <v>-8124205</v>
      </c>
      <c r="F20" s="114">
        <f t="shared" si="1"/>
        <v>-9.0878973593758045E-2</v>
      </c>
    </row>
    <row r="21" spans="1:6" x14ac:dyDescent="0.2">
      <c r="A21" s="115">
        <v>8</v>
      </c>
      <c r="B21" s="116" t="s">
        <v>120</v>
      </c>
      <c r="C21" s="113">
        <v>1774133</v>
      </c>
      <c r="D21" s="113">
        <v>1524218</v>
      </c>
      <c r="E21" s="113">
        <f t="shared" si="0"/>
        <v>-249915</v>
      </c>
      <c r="F21" s="114">
        <f t="shared" si="1"/>
        <v>-0.1408659891902129</v>
      </c>
    </row>
    <row r="22" spans="1:6" x14ac:dyDescent="0.2">
      <c r="A22" s="115">
        <v>9</v>
      </c>
      <c r="B22" s="116" t="s">
        <v>121</v>
      </c>
      <c r="C22" s="113">
        <v>6962793</v>
      </c>
      <c r="D22" s="113">
        <v>4494481</v>
      </c>
      <c r="E22" s="113">
        <f t="shared" si="0"/>
        <v>-2468312</v>
      </c>
      <c r="F22" s="114">
        <f t="shared" si="1"/>
        <v>-0.35450027022202152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411477153</v>
      </c>
      <c r="D25" s="119">
        <f>SUM(D14:D24)</f>
        <v>410328218</v>
      </c>
      <c r="E25" s="119">
        <f t="shared" si="0"/>
        <v>-1148935</v>
      </c>
      <c r="F25" s="120">
        <f t="shared" si="1"/>
        <v>-2.7922206412271935E-3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112695063</v>
      </c>
      <c r="D27" s="113">
        <v>113644277</v>
      </c>
      <c r="E27" s="113">
        <f t="shared" ref="E27:E38" si="2">D27-C27</f>
        <v>949214</v>
      </c>
      <c r="F27" s="114">
        <f t="shared" ref="F27:F38" si="3">IF(C27=0,0,E27/C27)</f>
        <v>8.4228534483360637E-3</v>
      </c>
    </row>
    <row r="28" spans="1:6" x14ac:dyDescent="0.2">
      <c r="A28" s="115">
        <v>2</v>
      </c>
      <c r="B28" s="116" t="s">
        <v>114</v>
      </c>
      <c r="C28" s="113">
        <v>37682240</v>
      </c>
      <c r="D28" s="113">
        <v>46387397</v>
      </c>
      <c r="E28" s="113">
        <f t="shared" si="2"/>
        <v>8705157</v>
      </c>
      <c r="F28" s="114">
        <f t="shared" si="3"/>
        <v>0.23101484943570233</v>
      </c>
    </row>
    <row r="29" spans="1:6" x14ac:dyDescent="0.2">
      <c r="A29" s="115">
        <v>3</v>
      </c>
      <c r="B29" s="116" t="s">
        <v>115</v>
      </c>
      <c r="C29" s="113">
        <v>99452264</v>
      </c>
      <c r="D29" s="113">
        <v>126611722</v>
      </c>
      <c r="E29" s="113">
        <f t="shared" si="2"/>
        <v>27159458</v>
      </c>
      <c r="F29" s="114">
        <f t="shared" si="3"/>
        <v>0.27309039440268551</v>
      </c>
    </row>
    <row r="30" spans="1:6" x14ac:dyDescent="0.2">
      <c r="A30" s="115">
        <v>4</v>
      </c>
      <c r="B30" s="116" t="s">
        <v>116</v>
      </c>
      <c r="C30" s="113">
        <v>13179870</v>
      </c>
      <c r="D30" s="113">
        <v>0</v>
      </c>
      <c r="E30" s="113">
        <f t="shared" si="2"/>
        <v>-13179870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870795</v>
      </c>
      <c r="D31" s="113">
        <v>836904</v>
      </c>
      <c r="E31" s="113">
        <f t="shared" si="2"/>
        <v>-33891</v>
      </c>
      <c r="F31" s="114">
        <f t="shared" si="3"/>
        <v>-3.8919607944464543E-2</v>
      </c>
    </row>
    <row r="32" spans="1:6" x14ac:dyDescent="0.2">
      <c r="A32" s="115">
        <v>6</v>
      </c>
      <c r="B32" s="116" t="s">
        <v>118</v>
      </c>
      <c r="C32" s="113">
        <v>2598628</v>
      </c>
      <c r="D32" s="113">
        <v>3762889</v>
      </c>
      <c r="E32" s="113">
        <f t="shared" si="2"/>
        <v>1164261</v>
      </c>
      <c r="F32" s="114">
        <f t="shared" si="3"/>
        <v>0.4480291138246798</v>
      </c>
    </row>
    <row r="33" spans="1:6" x14ac:dyDescent="0.2">
      <c r="A33" s="115">
        <v>7</v>
      </c>
      <c r="B33" s="116" t="s">
        <v>119</v>
      </c>
      <c r="C33" s="113">
        <v>161456408</v>
      </c>
      <c r="D33" s="113">
        <v>162332330</v>
      </c>
      <c r="E33" s="113">
        <f t="shared" si="2"/>
        <v>875922</v>
      </c>
      <c r="F33" s="114">
        <f t="shared" si="3"/>
        <v>5.4251299830725824E-3</v>
      </c>
    </row>
    <row r="34" spans="1:6" x14ac:dyDescent="0.2">
      <c r="A34" s="115">
        <v>8</v>
      </c>
      <c r="B34" s="116" t="s">
        <v>120</v>
      </c>
      <c r="C34" s="113">
        <v>5233007</v>
      </c>
      <c r="D34" s="113">
        <v>4725373</v>
      </c>
      <c r="E34" s="113">
        <f t="shared" si="2"/>
        <v>-507634</v>
      </c>
      <c r="F34" s="114">
        <f t="shared" si="3"/>
        <v>-9.7006176372399278E-2</v>
      </c>
    </row>
    <row r="35" spans="1:6" x14ac:dyDescent="0.2">
      <c r="A35" s="115">
        <v>9</v>
      </c>
      <c r="B35" s="116" t="s">
        <v>121</v>
      </c>
      <c r="C35" s="113">
        <v>16102691</v>
      </c>
      <c r="D35" s="113">
        <v>15286291</v>
      </c>
      <c r="E35" s="113">
        <f t="shared" si="2"/>
        <v>-816400</v>
      </c>
      <c r="F35" s="114">
        <f t="shared" si="3"/>
        <v>-5.0699600458084922E-2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449270966</v>
      </c>
      <c r="D38" s="119">
        <f>SUM(D27:D37)</f>
        <v>473587183</v>
      </c>
      <c r="E38" s="119">
        <f t="shared" si="2"/>
        <v>24316217</v>
      </c>
      <c r="F38" s="120">
        <f t="shared" si="3"/>
        <v>5.4123722297247226E-2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297996570</v>
      </c>
      <c r="D41" s="119">
        <f t="shared" si="4"/>
        <v>293966657</v>
      </c>
      <c r="E41" s="123">
        <f t="shared" ref="E41:E52" si="5">D41-C41</f>
        <v>-4029913</v>
      </c>
      <c r="F41" s="124">
        <f t="shared" ref="F41:F52" si="6">IF(C41=0,0,E41/C41)</f>
        <v>-1.35233536412852E-2</v>
      </c>
    </row>
    <row r="42" spans="1:6" ht="15.75" x14ac:dyDescent="0.25">
      <c r="A42" s="121">
        <v>2</v>
      </c>
      <c r="B42" s="122" t="s">
        <v>114</v>
      </c>
      <c r="C42" s="119">
        <f t="shared" si="4"/>
        <v>88259479</v>
      </c>
      <c r="D42" s="119">
        <f t="shared" si="4"/>
        <v>107677339</v>
      </c>
      <c r="E42" s="123">
        <f t="shared" si="5"/>
        <v>19417860</v>
      </c>
      <c r="F42" s="124">
        <f t="shared" si="6"/>
        <v>0.2200087766210358</v>
      </c>
    </row>
    <row r="43" spans="1:6" ht="15.75" x14ac:dyDescent="0.25">
      <c r="A43" s="121">
        <v>3</v>
      </c>
      <c r="B43" s="122" t="s">
        <v>115</v>
      </c>
      <c r="C43" s="119">
        <f t="shared" si="4"/>
        <v>168767537</v>
      </c>
      <c r="D43" s="119">
        <f t="shared" si="4"/>
        <v>205724804</v>
      </c>
      <c r="E43" s="123">
        <f t="shared" si="5"/>
        <v>36957267</v>
      </c>
      <c r="F43" s="124">
        <f t="shared" si="6"/>
        <v>0.21898326927648415</v>
      </c>
    </row>
    <row r="44" spans="1:6" ht="15.75" x14ac:dyDescent="0.25">
      <c r="A44" s="121">
        <v>4</v>
      </c>
      <c r="B44" s="122" t="s">
        <v>116</v>
      </c>
      <c r="C44" s="119">
        <f t="shared" si="4"/>
        <v>19504728</v>
      </c>
      <c r="D44" s="119">
        <f t="shared" si="4"/>
        <v>0</v>
      </c>
      <c r="E44" s="123">
        <f t="shared" si="5"/>
        <v>-19504728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1382498</v>
      </c>
      <c r="D45" s="119">
        <f t="shared" si="4"/>
        <v>1135184</v>
      </c>
      <c r="E45" s="123">
        <f t="shared" si="5"/>
        <v>-247314</v>
      </c>
      <c r="F45" s="124">
        <f t="shared" si="6"/>
        <v>-0.17888922804951615</v>
      </c>
    </row>
    <row r="46" spans="1:6" ht="15.75" x14ac:dyDescent="0.25">
      <c r="A46" s="121">
        <v>6</v>
      </c>
      <c r="B46" s="122" t="s">
        <v>118</v>
      </c>
      <c r="C46" s="119">
        <f t="shared" si="4"/>
        <v>3912404</v>
      </c>
      <c r="D46" s="119">
        <f t="shared" si="4"/>
        <v>5777058</v>
      </c>
      <c r="E46" s="123">
        <f t="shared" si="5"/>
        <v>1864654</v>
      </c>
      <c r="F46" s="124">
        <f t="shared" si="6"/>
        <v>0.47660057601413353</v>
      </c>
    </row>
    <row r="47" spans="1:6" ht="15.75" x14ac:dyDescent="0.25">
      <c r="A47" s="121">
        <v>7</v>
      </c>
      <c r="B47" s="122" t="s">
        <v>119</v>
      </c>
      <c r="C47" s="119">
        <f t="shared" si="4"/>
        <v>250852279</v>
      </c>
      <c r="D47" s="119">
        <f t="shared" si="4"/>
        <v>243603996</v>
      </c>
      <c r="E47" s="123">
        <f t="shared" si="5"/>
        <v>-7248283</v>
      </c>
      <c r="F47" s="124">
        <f t="shared" si="6"/>
        <v>-2.8894626865239682E-2</v>
      </c>
    </row>
    <row r="48" spans="1:6" ht="15.75" x14ac:dyDescent="0.25">
      <c r="A48" s="121">
        <v>8</v>
      </c>
      <c r="B48" s="122" t="s">
        <v>120</v>
      </c>
      <c r="C48" s="119">
        <f t="shared" si="4"/>
        <v>7007140</v>
      </c>
      <c r="D48" s="119">
        <f t="shared" si="4"/>
        <v>6249591</v>
      </c>
      <c r="E48" s="123">
        <f t="shared" si="5"/>
        <v>-757549</v>
      </c>
      <c r="F48" s="124">
        <f t="shared" si="6"/>
        <v>-0.10811101248155452</v>
      </c>
    </row>
    <row r="49" spans="1:6" ht="15.75" x14ac:dyDescent="0.25">
      <c r="A49" s="121">
        <v>9</v>
      </c>
      <c r="B49" s="122" t="s">
        <v>121</v>
      </c>
      <c r="C49" s="119">
        <f t="shared" si="4"/>
        <v>23065484</v>
      </c>
      <c r="D49" s="119">
        <f t="shared" si="4"/>
        <v>19780772</v>
      </c>
      <c r="E49" s="123">
        <f t="shared" si="5"/>
        <v>-3284712</v>
      </c>
      <c r="F49" s="124">
        <f t="shared" si="6"/>
        <v>-0.14240811075111193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860748119</v>
      </c>
      <c r="D52" s="128">
        <f>SUM(D41:D51)</f>
        <v>883915401</v>
      </c>
      <c r="E52" s="127">
        <f t="shared" si="5"/>
        <v>23167282</v>
      </c>
      <c r="F52" s="129">
        <f t="shared" si="6"/>
        <v>2.6915286236019065E-2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80708337</v>
      </c>
      <c r="D57" s="113">
        <v>81300135</v>
      </c>
      <c r="E57" s="113">
        <f t="shared" ref="E57:E68" si="7">D57-C57</f>
        <v>591798</v>
      </c>
      <c r="F57" s="114">
        <f t="shared" ref="F57:F68" si="8">IF(C57=0,0,E57/C57)</f>
        <v>7.3325510349692867E-3</v>
      </c>
    </row>
    <row r="58" spans="1:6" x14ac:dyDescent="0.2">
      <c r="A58" s="115">
        <v>2</v>
      </c>
      <c r="B58" s="116" t="s">
        <v>114</v>
      </c>
      <c r="C58" s="113">
        <v>19901948</v>
      </c>
      <c r="D58" s="113">
        <v>23954155</v>
      </c>
      <c r="E58" s="113">
        <f t="shared" si="7"/>
        <v>4052207</v>
      </c>
      <c r="F58" s="114">
        <f t="shared" si="8"/>
        <v>0.20360856133279015</v>
      </c>
    </row>
    <row r="59" spans="1:6" x14ac:dyDescent="0.2">
      <c r="A59" s="115">
        <v>3</v>
      </c>
      <c r="B59" s="116" t="s">
        <v>115</v>
      </c>
      <c r="C59" s="113">
        <v>21381489</v>
      </c>
      <c r="D59" s="113">
        <v>23621637</v>
      </c>
      <c r="E59" s="113">
        <f t="shared" si="7"/>
        <v>2240148</v>
      </c>
      <c r="F59" s="114">
        <f t="shared" si="8"/>
        <v>0.10477043951429202</v>
      </c>
    </row>
    <row r="60" spans="1:6" x14ac:dyDescent="0.2">
      <c r="A60" s="115">
        <v>4</v>
      </c>
      <c r="B60" s="116" t="s">
        <v>116</v>
      </c>
      <c r="C60" s="113">
        <v>1169972</v>
      </c>
      <c r="D60" s="113">
        <v>0</v>
      </c>
      <c r="E60" s="113">
        <f t="shared" si="7"/>
        <v>-1169972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246372</v>
      </c>
      <c r="D61" s="113">
        <v>134575</v>
      </c>
      <c r="E61" s="113">
        <f t="shared" si="7"/>
        <v>-111797</v>
      </c>
      <c r="F61" s="114">
        <f t="shared" si="8"/>
        <v>-0.45377315604045915</v>
      </c>
    </row>
    <row r="62" spans="1:6" x14ac:dyDescent="0.2">
      <c r="A62" s="115">
        <v>6</v>
      </c>
      <c r="B62" s="116" t="s">
        <v>118</v>
      </c>
      <c r="C62" s="113">
        <v>575875</v>
      </c>
      <c r="D62" s="113">
        <v>559137</v>
      </c>
      <c r="E62" s="113">
        <f t="shared" si="7"/>
        <v>-16738</v>
      </c>
      <c r="F62" s="114">
        <f t="shared" si="8"/>
        <v>-2.9065335359235944E-2</v>
      </c>
    </row>
    <row r="63" spans="1:6" x14ac:dyDescent="0.2">
      <c r="A63" s="115">
        <v>7</v>
      </c>
      <c r="B63" s="116" t="s">
        <v>119</v>
      </c>
      <c r="C63" s="113">
        <v>60577615</v>
      </c>
      <c r="D63" s="113">
        <v>55920356</v>
      </c>
      <c r="E63" s="113">
        <f t="shared" si="7"/>
        <v>-4657259</v>
      </c>
      <c r="F63" s="114">
        <f t="shared" si="8"/>
        <v>-7.6880857722774323E-2</v>
      </c>
    </row>
    <row r="64" spans="1:6" x14ac:dyDescent="0.2">
      <c r="A64" s="115">
        <v>8</v>
      </c>
      <c r="B64" s="116" t="s">
        <v>120</v>
      </c>
      <c r="C64" s="113">
        <v>1774133</v>
      </c>
      <c r="D64" s="113">
        <v>1524218</v>
      </c>
      <c r="E64" s="113">
        <f t="shared" si="7"/>
        <v>-249915</v>
      </c>
      <c r="F64" s="114">
        <f t="shared" si="8"/>
        <v>-0.1408659891902129</v>
      </c>
    </row>
    <row r="65" spans="1:6" x14ac:dyDescent="0.2">
      <c r="A65" s="115">
        <v>9</v>
      </c>
      <c r="B65" s="116" t="s">
        <v>121</v>
      </c>
      <c r="C65" s="113">
        <v>2347104</v>
      </c>
      <c r="D65" s="113">
        <v>1006871</v>
      </c>
      <c r="E65" s="113">
        <f t="shared" si="7"/>
        <v>-1340233</v>
      </c>
      <c r="F65" s="114">
        <f t="shared" si="8"/>
        <v>-0.57101560050172473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188682845</v>
      </c>
      <c r="D68" s="119">
        <f>SUM(D57:D67)</f>
        <v>188021084</v>
      </c>
      <c r="E68" s="119">
        <f t="shared" si="7"/>
        <v>-661761</v>
      </c>
      <c r="F68" s="120">
        <f t="shared" si="8"/>
        <v>-3.5072663866182428E-3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30089761</v>
      </c>
      <c r="D70" s="113">
        <v>25213148</v>
      </c>
      <c r="E70" s="113">
        <f t="shared" ref="E70:E81" si="9">D70-C70</f>
        <v>-4876613</v>
      </c>
      <c r="F70" s="114">
        <f t="shared" ref="F70:F81" si="10">IF(C70=0,0,E70/C70)</f>
        <v>-0.16206885126139753</v>
      </c>
    </row>
    <row r="71" spans="1:6" x14ac:dyDescent="0.2">
      <c r="A71" s="115">
        <v>2</v>
      </c>
      <c r="B71" s="116" t="s">
        <v>114</v>
      </c>
      <c r="C71" s="113">
        <v>9974088</v>
      </c>
      <c r="D71" s="113">
        <v>10225786</v>
      </c>
      <c r="E71" s="113">
        <f t="shared" si="9"/>
        <v>251698</v>
      </c>
      <c r="F71" s="114">
        <f t="shared" si="10"/>
        <v>2.5235189422832444E-2</v>
      </c>
    </row>
    <row r="72" spans="1:6" x14ac:dyDescent="0.2">
      <c r="A72" s="115">
        <v>3</v>
      </c>
      <c r="B72" s="116" t="s">
        <v>115</v>
      </c>
      <c r="C72" s="113">
        <v>28604446</v>
      </c>
      <c r="D72" s="113">
        <v>35637819</v>
      </c>
      <c r="E72" s="113">
        <f t="shared" si="9"/>
        <v>7033373</v>
      </c>
      <c r="F72" s="114">
        <f t="shared" si="10"/>
        <v>0.24588390909580979</v>
      </c>
    </row>
    <row r="73" spans="1:6" x14ac:dyDescent="0.2">
      <c r="A73" s="115">
        <v>4</v>
      </c>
      <c r="B73" s="116" t="s">
        <v>116</v>
      </c>
      <c r="C73" s="113">
        <v>4798751</v>
      </c>
      <c r="D73" s="113">
        <v>0</v>
      </c>
      <c r="E73" s="113">
        <f t="shared" si="9"/>
        <v>-4798751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268124</v>
      </c>
      <c r="D74" s="113">
        <v>241291</v>
      </c>
      <c r="E74" s="113">
        <f t="shared" si="9"/>
        <v>-26833</v>
      </c>
      <c r="F74" s="114">
        <f t="shared" si="10"/>
        <v>-0.10007683012337575</v>
      </c>
    </row>
    <row r="75" spans="1:6" x14ac:dyDescent="0.2">
      <c r="A75" s="115">
        <v>6</v>
      </c>
      <c r="B75" s="116" t="s">
        <v>118</v>
      </c>
      <c r="C75" s="113">
        <v>1311534</v>
      </c>
      <c r="D75" s="113">
        <v>1772731</v>
      </c>
      <c r="E75" s="113">
        <f t="shared" si="9"/>
        <v>461197</v>
      </c>
      <c r="F75" s="114">
        <f t="shared" si="10"/>
        <v>0.3516470026701557</v>
      </c>
    </row>
    <row r="76" spans="1:6" x14ac:dyDescent="0.2">
      <c r="A76" s="115">
        <v>7</v>
      </c>
      <c r="B76" s="116" t="s">
        <v>119</v>
      </c>
      <c r="C76" s="113">
        <v>94095517</v>
      </c>
      <c r="D76" s="113">
        <v>94825494</v>
      </c>
      <c r="E76" s="113">
        <f t="shared" si="9"/>
        <v>729977</v>
      </c>
      <c r="F76" s="114">
        <f t="shared" si="10"/>
        <v>7.7578297380522391E-3</v>
      </c>
    </row>
    <row r="77" spans="1:6" x14ac:dyDescent="0.2">
      <c r="A77" s="115">
        <v>8</v>
      </c>
      <c r="B77" s="116" t="s">
        <v>120</v>
      </c>
      <c r="C77" s="113">
        <v>5233007</v>
      </c>
      <c r="D77" s="113">
        <v>4725373</v>
      </c>
      <c r="E77" s="113">
        <f t="shared" si="9"/>
        <v>-507634</v>
      </c>
      <c r="F77" s="114">
        <f t="shared" si="10"/>
        <v>-9.7006176372399278E-2</v>
      </c>
    </row>
    <row r="78" spans="1:6" x14ac:dyDescent="0.2">
      <c r="A78" s="115">
        <v>9</v>
      </c>
      <c r="B78" s="116" t="s">
        <v>121</v>
      </c>
      <c r="C78" s="113">
        <v>2199511</v>
      </c>
      <c r="D78" s="113">
        <v>271415</v>
      </c>
      <c r="E78" s="113">
        <f t="shared" si="9"/>
        <v>-1928096</v>
      </c>
      <c r="F78" s="114">
        <f t="shared" si="10"/>
        <v>-0.87660211747065597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176574739</v>
      </c>
      <c r="D81" s="119">
        <f>SUM(D70:D80)</f>
        <v>172913057</v>
      </c>
      <c r="E81" s="119">
        <f t="shared" si="9"/>
        <v>-3661682</v>
      </c>
      <c r="F81" s="120">
        <f t="shared" si="10"/>
        <v>-2.0737292439095719E-2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110798098</v>
      </c>
      <c r="D84" s="119">
        <f t="shared" si="11"/>
        <v>106513283</v>
      </c>
      <c r="E84" s="119">
        <f t="shared" ref="E84:E95" si="12">D84-C84</f>
        <v>-4284815</v>
      </c>
      <c r="F84" s="120">
        <f t="shared" ref="F84:F95" si="13">IF(C84=0,0,E84/C84)</f>
        <v>-3.8672279374326442E-2</v>
      </c>
    </row>
    <row r="85" spans="1:6" ht="15.75" x14ac:dyDescent="0.25">
      <c r="A85" s="130">
        <v>2</v>
      </c>
      <c r="B85" s="122" t="s">
        <v>114</v>
      </c>
      <c r="C85" s="119">
        <f t="shared" si="11"/>
        <v>29876036</v>
      </c>
      <c r="D85" s="119">
        <f t="shared" si="11"/>
        <v>34179941</v>
      </c>
      <c r="E85" s="119">
        <f t="shared" si="12"/>
        <v>4303905</v>
      </c>
      <c r="F85" s="120">
        <f t="shared" si="13"/>
        <v>0.1440587700456647</v>
      </c>
    </row>
    <row r="86" spans="1:6" ht="15.75" x14ac:dyDescent="0.25">
      <c r="A86" s="130">
        <v>3</v>
      </c>
      <c r="B86" s="122" t="s">
        <v>115</v>
      </c>
      <c r="C86" s="119">
        <f t="shared" si="11"/>
        <v>49985935</v>
      </c>
      <c r="D86" s="119">
        <f t="shared" si="11"/>
        <v>59259456</v>
      </c>
      <c r="E86" s="119">
        <f t="shared" si="12"/>
        <v>9273521</v>
      </c>
      <c r="F86" s="120">
        <f t="shared" si="13"/>
        <v>0.18552260750949243</v>
      </c>
    </row>
    <row r="87" spans="1:6" ht="15.75" x14ac:dyDescent="0.25">
      <c r="A87" s="130">
        <v>4</v>
      </c>
      <c r="B87" s="122" t="s">
        <v>116</v>
      </c>
      <c r="C87" s="119">
        <f t="shared" si="11"/>
        <v>5968723</v>
      </c>
      <c r="D87" s="119">
        <f t="shared" si="11"/>
        <v>0</v>
      </c>
      <c r="E87" s="119">
        <f t="shared" si="12"/>
        <v>-5968723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514496</v>
      </c>
      <c r="D88" s="119">
        <f t="shared" si="11"/>
        <v>375866</v>
      </c>
      <c r="E88" s="119">
        <f t="shared" si="12"/>
        <v>-138630</v>
      </c>
      <c r="F88" s="120">
        <f t="shared" si="13"/>
        <v>-0.26944815897499691</v>
      </c>
    </row>
    <row r="89" spans="1:6" ht="15.75" x14ac:dyDescent="0.25">
      <c r="A89" s="130">
        <v>6</v>
      </c>
      <c r="B89" s="122" t="s">
        <v>118</v>
      </c>
      <c r="C89" s="119">
        <f t="shared" si="11"/>
        <v>1887409</v>
      </c>
      <c r="D89" s="119">
        <f t="shared" si="11"/>
        <v>2331868</v>
      </c>
      <c r="E89" s="119">
        <f t="shared" si="12"/>
        <v>444459</v>
      </c>
      <c r="F89" s="120">
        <f t="shared" si="13"/>
        <v>0.23548632013516943</v>
      </c>
    </row>
    <row r="90" spans="1:6" ht="15.75" x14ac:dyDescent="0.25">
      <c r="A90" s="130">
        <v>7</v>
      </c>
      <c r="B90" s="122" t="s">
        <v>119</v>
      </c>
      <c r="C90" s="119">
        <f t="shared" si="11"/>
        <v>154673132</v>
      </c>
      <c r="D90" s="119">
        <f t="shared" si="11"/>
        <v>150745850</v>
      </c>
      <c r="E90" s="119">
        <f t="shared" si="12"/>
        <v>-3927282</v>
      </c>
      <c r="F90" s="120">
        <f t="shared" si="13"/>
        <v>-2.5390848101530653E-2</v>
      </c>
    </row>
    <row r="91" spans="1:6" ht="15.75" x14ac:dyDescent="0.25">
      <c r="A91" s="130">
        <v>8</v>
      </c>
      <c r="B91" s="122" t="s">
        <v>120</v>
      </c>
      <c r="C91" s="119">
        <f t="shared" si="11"/>
        <v>7007140</v>
      </c>
      <c r="D91" s="119">
        <f t="shared" si="11"/>
        <v>6249591</v>
      </c>
      <c r="E91" s="119">
        <f t="shared" si="12"/>
        <v>-757549</v>
      </c>
      <c r="F91" s="120">
        <f t="shared" si="13"/>
        <v>-0.10811101248155452</v>
      </c>
    </row>
    <row r="92" spans="1:6" ht="15.75" x14ac:dyDescent="0.25">
      <c r="A92" s="130">
        <v>9</v>
      </c>
      <c r="B92" s="122" t="s">
        <v>121</v>
      </c>
      <c r="C92" s="119">
        <f t="shared" si="11"/>
        <v>4546615</v>
      </c>
      <c r="D92" s="119">
        <f t="shared" si="11"/>
        <v>1278286</v>
      </c>
      <c r="E92" s="119">
        <f t="shared" si="12"/>
        <v>-3268329</v>
      </c>
      <c r="F92" s="120">
        <f t="shared" si="13"/>
        <v>-0.71884885788658159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365257584</v>
      </c>
      <c r="D95" s="128">
        <f>SUM(D84:D94)</f>
        <v>360934141</v>
      </c>
      <c r="E95" s="128">
        <f t="shared" si="12"/>
        <v>-4323443</v>
      </c>
      <c r="F95" s="129">
        <f t="shared" si="13"/>
        <v>-1.1836696045166854E-2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6565</v>
      </c>
      <c r="D100" s="133">
        <v>6267</v>
      </c>
      <c r="E100" s="133">
        <f t="shared" ref="E100:E111" si="14">D100-C100</f>
        <v>-298</v>
      </c>
      <c r="F100" s="114">
        <f t="shared" ref="F100:F111" si="15">IF(C100=0,0,E100/C100)</f>
        <v>-4.5392231530845394E-2</v>
      </c>
    </row>
    <row r="101" spans="1:6" x14ac:dyDescent="0.2">
      <c r="A101" s="115">
        <v>2</v>
      </c>
      <c r="B101" s="116" t="s">
        <v>114</v>
      </c>
      <c r="C101" s="133">
        <v>1959</v>
      </c>
      <c r="D101" s="133">
        <v>2197</v>
      </c>
      <c r="E101" s="133">
        <f t="shared" si="14"/>
        <v>238</v>
      </c>
      <c r="F101" s="114">
        <f t="shared" si="15"/>
        <v>0.12149055640632976</v>
      </c>
    </row>
    <row r="102" spans="1:6" x14ac:dyDescent="0.2">
      <c r="A102" s="115">
        <v>3</v>
      </c>
      <c r="B102" s="116" t="s">
        <v>115</v>
      </c>
      <c r="C102" s="133">
        <v>3947</v>
      </c>
      <c r="D102" s="133">
        <v>4668</v>
      </c>
      <c r="E102" s="133">
        <f t="shared" si="14"/>
        <v>721</v>
      </c>
      <c r="F102" s="114">
        <f t="shared" si="15"/>
        <v>0.18267038256903978</v>
      </c>
    </row>
    <row r="103" spans="1:6" x14ac:dyDescent="0.2">
      <c r="A103" s="115">
        <v>4</v>
      </c>
      <c r="B103" s="116" t="s">
        <v>116</v>
      </c>
      <c r="C103" s="133">
        <v>405</v>
      </c>
      <c r="D103" s="133">
        <v>0</v>
      </c>
      <c r="E103" s="133">
        <f t="shared" si="14"/>
        <v>-405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31</v>
      </c>
      <c r="D104" s="133">
        <v>19</v>
      </c>
      <c r="E104" s="133">
        <f t="shared" si="14"/>
        <v>-12</v>
      </c>
      <c r="F104" s="114">
        <f t="shared" si="15"/>
        <v>-0.38709677419354838</v>
      </c>
    </row>
    <row r="105" spans="1:6" x14ac:dyDescent="0.2">
      <c r="A105" s="115">
        <v>6</v>
      </c>
      <c r="B105" s="116" t="s">
        <v>118</v>
      </c>
      <c r="C105" s="133">
        <v>73</v>
      </c>
      <c r="D105" s="133">
        <v>73</v>
      </c>
      <c r="E105" s="133">
        <f t="shared" si="14"/>
        <v>0</v>
      </c>
      <c r="F105" s="114">
        <f t="shared" si="15"/>
        <v>0</v>
      </c>
    </row>
    <row r="106" spans="1:6" x14ac:dyDescent="0.2">
      <c r="A106" s="115">
        <v>7</v>
      </c>
      <c r="B106" s="116" t="s">
        <v>119</v>
      </c>
      <c r="C106" s="133">
        <v>5006</v>
      </c>
      <c r="D106" s="133">
        <v>4438</v>
      </c>
      <c r="E106" s="133">
        <f t="shared" si="14"/>
        <v>-568</v>
      </c>
      <c r="F106" s="114">
        <f t="shared" si="15"/>
        <v>-0.11346384338793448</v>
      </c>
    </row>
    <row r="107" spans="1:6" x14ac:dyDescent="0.2">
      <c r="A107" s="115">
        <v>8</v>
      </c>
      <c r="B107" s="116" t="s">
        <v>120</v>
      </c>
      <c r="C107" s="133">
        <v>66</v>
      </c>
      <c r="D107" s="133">
        <v>39</v>
      </c>
      <c r="E107" s="133">
        <f t="shared" si="14"/>
        <v>-27</v>
      </c>
      <c r="F107" s="114">
        <f t="shared" si="15"/>
        <v>-0.40909090909090912</v>
      </c>
    </row>
    <row r="108" spans="1:6" x14ac:dyDescent="0.2">
      <c r="A108" s="115">
        <v>9</v>
      </c>
      <c r="B108" s="116" t="s">
        <v>121</v>
      </c>
      <c r="C108" s="133">
        <v>200</v>
      </c>
      <c r="D108" s="133">
        <v>206</v>
      </c>
      <c r="E108" s="133">
        <f t="shared" si="14"/>
        <v>6</v>
      </c>
      <c r="F108" s="114">
        <f t="shared" si="15"/>
        <v>0.03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18252</v>
      </c>
      <c r="D111" s="134">
        <f>SUM(D100:D110)</f>
        <v>17907</v>
      </c>
      <c r="E111" s="134">
        <f t="shared" si="14"/>
        <v>-345</v>
      </c>
      <c r="F111" s="120">
        <f t="shared" si="15"/>
        <v>-1.8902038132807365E-2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32445</v>
      </c>
      <c r="D113" s="133">
        <v>31284</v>
      </c>
      <c r="E113" s="133">
        <f t="shared" ref="E113:E124" si="16">D113-C113</f>
        <v>-1161</v>
      </c>
      <c r="F113" s="114">
        <f t="shared" ref="F113:F124" si="17">IF(C113=0,0,E113/C113)</f>
        <v>-3.5783633841886271E-2</v>
      </c>
    </row>
    <row r="114" spans="1:6" x14ac:dyDescent="0.2">
      <c r="A114" s="115">
        <v>2</v>
      </c>
      <c r="B114" s="116" t="s">
        <v>114</v>
      </c>
      <c r="C114" s="133">
        <v>8575</v>
      </c>
      <c r="D114" s="133">
        <v>9486</v>
      </c>
      <c r="E114" s="133">
        <f t="shared" si="16"/>
        <v>911</v>
      </c>
      <c r="F114" s="114">
        <f t="shared" si="17"/>
        <v>0.10623906705539359</v>
      </c>
    </row>
    <row r="115" spans="1:6" x14ac:dyDescent="0.2">
      <c r="A115" s="115">
        <v>3</v>
      </c>
      <c r="B115" s="116" t="s">
        <v>115</v>
      </c>
      <c r="C115" s="133">
        <v>17138</v>
      </c>
      <c r="D115" s="133">
        <v>18724</v>
      </c>
      <c r="E115" s="133">
        <f t="shared" si="16"/>
        <v>1586</v>
      </c>
      <c r="F115" s="114">
        <f t="shared" si="17"/>
        <v>9.2542887151359554E-2</v>
      </c>
    </row>
    <row r="116" spans="1:6" x14ac:dyDescent="0.2">
      <c r="A116" s="115">
        <v>4</v>
      </c>
      <c r="B116" s="116" t="s">
        <v>116</v>
      </c>
      <c r="C116" s="133">
        <v>1217</v>
      </c>
      <c r="D116" s="133">
        <v>0</v>
      </c>
      <c r="E116" s="133">
        <f t="shared" si="16"/>
        <v>-1217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86</v>
      </c>
      <c r="D117" s="133">
        <v>46</v>
      </c>
      <c r="E117" s="133">
        <f t="shared" si="16"/>
        <v>-40</v>
      </c>
      <c r="F117" s="114">
        <f t="shared" si="17"/>
        <v>-0.46511627906976744</v>
      </c>
    </row>
    <row r="118" spans="1:6" x14ac:dyDescent="0.2">
      <c r="A118" s="115">
        <v>6</v>
      </c>
      <c r="B118" s="116" t="s">
        <v>118</v>
      </c>
      <c r="C118" s="133">
        <v>263</v>
      </c>
      <c r="D118" s="133">
        <v>315</v>
      </c>
      <c r="E118" s="133">
        <f t="shared" si="16"/>
        <v>52</v>
      </c>
      <c r="F118" s="114">
        <f t="shared" si="17"/>
        <v>0.19771863117870722</v>
      </c>
    </row>
    <row r="119" spans="1:6" x14ac:dyDescent="0.2">
      <c r="A119" s="115">
        <v>7</v>
      </c>
      <c r="B119" s="116" t="s">
        <v>119</v>
      </c>
      <c r="C119" s="133">
        <v>16088</v>
      </c>
      <c r="D119" s="133">
        <v>14927</v>
      </c>
      <c r="E119" s="133">
        <f t="shared" si="16"/>
        <v>-1161</v>
      </c>
      <c r="F119" s="114">
        <f t="shared" si="17"/>
        <v>-7.2165589259075083E-2</v>
      </c>
    </row>
    <row r="120" spans="1:6" x14ac:dyDescent="0.2">
      <c r="A120" s="115">
        <v>8</v>
      </c>
      <c r="B120" s="116" t="s">
        <v>120</v>
      </c>
      <c r="C120" s="133">
        <v>212</v>
      </c>
      <c r="D120" s="133">
        <v>128</v>
      </c>
      <c r="E120" s="133">
        <f t="shared" si="16"/>
        <v>-84</v>
      </c>
      <c r="F120" s="114">
        <f t="shared" si="17"/>
        <v>-0.39622641509433965</v>
      </c>
    </row>
    <row r="121" spans="1:6" x14ac:dyDescent="0.2">
      <c r="A121" s="115">
        <v>9</v>
      </c>
      <c r="B121" s="116" t="s">
        <v>121</v>
      </c>
      <c r="C121" s="133">
        <v>747</v>
      </c>
      <c r="D121" s="133">
        <v>557</v>
      </c>
      <c r="E121" s="133">
        <f t="shared" si="16"/>
        <v>-190</v>
      </c>
      <c r="F121" s="114">
        <f t="shared" si="17"/>
        <v>-0.25435073627844712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76771</v>
      </c>
      <c r="D124" s="134">
        <f>SUM(D113:D123)</f>
        <v>75467</v>
      </c>
      <c r="E124" s="134">
        <f t="shared" si="16"/>
        <v>-1304</v>
      </c>
      <c r="F124" s="120">
        <f t="shared" si="17"/>
        <v>-1.6985580492633937E-2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66607</v>
      </c>
      <c r="D126" s="133">
        <v>63158</v>
      </c>
      <c r="E126" s="133">
        <f t="shared" ref="E126:E137" si="18">D126-C126</f>
        <v>-3449</v>
      </c>
      <c r="F126" s="114">
        <f t="shared" ref="F126:F137" si="19">IF(C126=0,0,E126/C126)</f>
        <v>-5.1781344303151323E-2</v>
      </c>
    </row>
    <row r="127" spans="1:6" x14ac:dyDescent="0.2">
      <c r="A127" s="115">
        <v>2</v>
      </c>
      <c r="B127" s="116" t="s">
        <v>114</v>
      </c>
      <c r="C127" s="133">
        <v>23911</v>
      </c>
      <c r="D127" s="133">
        <v>27516</v>
      </c>
      <c r="E127" s="133">
        <f t="shared" si="18"/>
        <v>3605</v>
      </c>
      <c r="F127" s="114">
        <f t="shared" si="19"/>
        <v>0.15076742921667852</v>
      </c>
    </row>
    <row r="128" spans="1:6" x14ac:dyDescent="0.2">
      <c r="A128" s="115">
        <v>3</v>
      </c>
      <c r="B128" s="116" t="s">
        <v>115</v>
      </c>
      <c r="C128" s="133">
        <v>67231</v>
      </c>
      <c r="D128" s="133">
        <v>81567</v>
      </c>
      <c r="E128" s="133">
        <f t="shared" si="18"/>
        <v>14336</v>
      </c>
      <c r="F128" s="114">
        <f t="shared" si="19"/>
        <v>0.21323496601270248</v>
      </c>
    </row>
    <row r="129" spans="1:6" x14ac:dyDescent="0.2">
      <c r="A129" s="115">
        <v>4</v>
      </c>
      <c r="B129" s="116" t="s">
        <v>116</v>
      </c>
      <c r="C129" s="133">
        <v>9788</v>
      </c>
      <c r="D129" s="133">
        <v>0</v>
      </c>
      <c r="E129" s="133">
        <f t="shared" si="18"/>
        <v>-9788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494</v>
      </c>
      <c r="D130" s="133">
        <v>467</v>
      </c>
      <c r="E130" s="133">
        <f t="shared" si="18"/>
        <v>-27</v>
      </c>
      <c r="F130" s="114">
        <f t="shared" si="19"/>
        <v>-5.4655870445344132E-2</v>
      </c>
    </row>
    <row r="131" spans="1:6" x14ac:dyDescent="0.2">
      <c r="A131" s="115">
        <v>6</v>
      </c>
      <c r="B131" s="116" t="s">
        <v>118</v>
      </c>
      <c r="C131" s="133">
        <v>1949</v>
      </c>
      <c r="D131" s="133">
        <v>2006</v>
      </c>
      <c r="E131" s="133">
        <f t="shared" si="18"/>
        <v>57</v>
      </c>
      <c r="F131" s="114">
        <f t="shared" si="19"/>
        <v>2.9245767060030785E-2</v>
      </c>
    </row>
    <row r="132" spans="1:6" x14ac:dyDescent="0.2">
      <c r="A132" s="115">
        <v>7</v>
      </c>
      <c r="B132" s="116" t="s">
        <v>119</v>
      </c>
      <c r="C132" s="133">
        <v>101903</v>
      </c>
      <c r="D132" s="133">
        <v>98289</v>
      </c>
      <c r="E132" s="133">
        <f t="shared" si="18"/>
        <v>-3614</v>
      </c>
      <c r="F132" s="114">
        <f t="shared" si="19"/>
        <v>-3.5465099162929455E-2</v>
      </c>
    </row>
    <row r="133" spans="1:6" x14ac:dyDescent="0.2">
      <c r="A133" s="115">
        <v>8</v>
      </c>
      <c r="B133" s="116" t="s">
        <v>120</v>
      </c>
      <c r="C133" s="133">
        <v>1987</v>
      </c>
      <c r="D133" s="133">
        <v>2130</v>
      </c>
      <c r="E133" s="133">
        <f t="shared" si="18"/>
        <v>143</v>
      </c>
      <c r="F133" s="114">
        <f t="shared" si="19"/>
        <v>7.1967790639154511E-2</v>
      </c>
    </row>
    <row r="134" spans="1:6" x14ac:dyDescent="0.2">
      <c r="A134" s="115">
        <v>9</v>
      </c>
      <c r="B134" s="116" t="s">
        <v>121</v>
      </c>
      <c r="C134" s="133">
        <v>10009</v>
      </c>
      <c r="D134" s="133">
        <v>9883</v>
      </c>
      <c r="E134" s="133">
        <f t="shared" si="18"/>
        <v>-126</v>
      </c>
      <c r="F134" s="114">
        <f t="shared" si="19"/>
        <v>-1.258867019682286E-2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283879</v>
      </c>
      <c r="D137" s="134">
        <f>SUM(D126:D136)</f>
        <v>285016</v>
      </c>
      <c r="E137" s="134">
        <f t="shared" si="18"/>
        <v>1137</v>
      </c>
      <c r="F137" s="120">
        <f t="shared" si="19"/>
        <v>4.005227579355993E-3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24723953</v>
      </c>
      <c r="D142" s="113">
        <v>23225011</v>
      </c>
      <c r="E142" s="113">
        <f t="shared" ref="E142:E153" si="20">D142-C142</f>
        <v>-1498942</v>
      </c>
      <c r="F142" s="114">
        <f t="shared" ref="F142:F153" si="21">IF(C142=0,0,E142/C142)</f>
        <v>-6.0627117354575134E-2</v>
      </c>
    </row>
    <row r="143" spans="1:6" x14ac:dyDescent="0.2">
      <c r="A143" s="115">
        <v>2</v>
      </c>
      <c r="B143" s="116" t="s">
        <v>114</v>
      </c>
      <c r="C143" s="113">
        <v>6827248</v>
      </c>
      <c r="D143" s="113">
        <v>8487305</v>
      </c>
      <c r="E143" s="113">
        <f t="shared" si="20"/>
        <v>1660057</v>
      </c>
      <c r="F143" s="114">
        <f t="shared" si="21"/>
        <v>0.24315170622189206</v>
      </c>
    </row>
    <row r="144" spans="1:6" x14ac:dyDescent="0.2">
      <c r="A144" s="115">
        <v>3</v>
      </c>
      <c r="B144" s="116" t="s">
        <v>115</v>
      </c>
      <c r="C144" s="113">
        <v>53853509</v>
      </c>
      <c r="D144" s="113">
        <v>63115412</v>
      </c>
      <c r="E144" s="113">
        <f t="shared" si="20"/>
        <v>9261903</v>
      </c>
      <c r="F144" s="114">
        <f t="shared" si="21"/>
        <v>0.17198327782132081</v>
      </c>
    </row>
    <row r="145" spans="1:6" x14ac:dyDescent="0.2">
      <c r="A145" s="115">
        <v>4</v>
      </c>
      <c r="B145" s="116" t="s">
        <v>116</v>
      </c>
      <c r="C145" s="113">
        <v>8138476</v>
      </c>
      <c r="D145" s="113">
        <v>0</v>
      </c>
      <c r="E145" s="113">
        <f t="shared" si="20"/>
        <v>-8138476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328249</v>
      </c>
      <c r="D146" s="113">
        <v>396858</v>
      </c>
      <c r="E146" s="113">
        <f t="shared" si="20"/>
        <v>68609</v>
      </c>
      <c r="F146" s="114">
        <f t="shared" si="21"/>
        <v>0.20901510743368601</v>
      </c>
    </row>
    <row r="147" spans="1:6" x14ac:dyDescent="0.2">
      <c r="A147" s="115">
        <v>6</v>
      </c>
      <c r="B147" s="116" t="s">
        <v>118</v>
      </c>
      <c r="C147" s="113">
        <v>1640567</v>
      </c>
      <c r="D147" s="113">
        <v>1951943</v>
      </c>
      <c r="E147" s="113">
        <f t="shared" si="20"/>
        <v>311376</v>
      </c>
      <c r="F147" s="114">
        <f t="shared" si="21"/>
        <v>0.18979779551825679</v>
      </c>
    </row>
    <row r="148" spans="1:6" x14ac:dyDescent="0.2">
      <c r="A148" s="115">
        <v>7</v>
      </c>
      <c r="B148" s="116" t="s">
        <v>119</v>
      </c>
      <c r="C148" s="113">
        <v>37083415</v>
      </c>
      <c r="D148" s="113">
        <v>35295380</v>
      </c>
      <c r="E148" s="113">
        <f t="shared" si="20"/>
        <v>-1788035</v>
      </c>
      <c r="F148" s="114">
        <f t="shared" si="21"/>
        <v>-4.8216567972501991E-2</v>
      </c>
    </row>
    <row r="149" spans="1:6" x14ac:dyDescent="0.2">
      <c r="A149" s="115">
        <v>8</v>
      </c>
      <c r="B149" s="116" t="s">
        <v>120</v>
      </c>
      <c r="C149" s="113">
        <v>1815293</v>
      </c>
      <c r="D149" s="113">
        <v>1672709</v>
      </c>
      <c r="E149" s="113">
        <f t="shared" si="20"/>
        <v>-142584</v>
      </c>
      <c r="F149" s="114">
        <f t="shared" si="21"/>
        <v>-7.854599780861822E-2</v>
      </c>
    </row>
    <row r="150" spans="1:6" x14ac:dyDescent="0.2">
      <c r="A150" s="115">
        <v>9</v>
      </c>
      <c r="B150" s="116" t="s">
        <v>121</v>
      </c>
      <c r="C150" s="113">
        <v>11555026</v>
      </c>
      <c r="D150" s="113">
        <v>11435005</v>
      </c>
      <c r="E150" s="113">
        <f t="shared" si="20"/>
        <v>-120021</v>
      </c>
      <c r="F150" s="114">
        <f t="shared" si="21"/>
        <v>-1.0386908692373345E-2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145965736</v>
      </c>
      <c r="D153" s="119">
        <f>SUM(D142:D152)</f>
        <v>145579623</v>
      </c>
      <c r="E153" s="119">
        <f t="shared" si="20"/>
        <v>-386113</v>
      </c>
      <c r="F153" s="120">
        <f t="shared" si="21"/>
        <v>-2.6452303847527615E-3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5215394</v>
      </c>
      <c r="D155" s="113">
        <v>4918724</v>
      </c>
      <c r="E155" s="113">
        <f t="shared" ref="E155:E166" si="22">D155-C155</f>
        <v>-296670</v>
      </c>
      <c r="F155" s="114">
        <f t="shared" ref="F155:F166" si="23">IF(C155=0,0,E155/C155)</f>
        <v>-5.6883525961796945E-2</v>
      </c>
    </row>
    <row r="156" spans="1:6" x14ac:dyDescent="0.2">
      <c r="A156" s="115">
        <v>2</v>
      </c>
      <c r="B156" s="116" t="s">
        <v>114</v>
      </c>
      <c r="C156" s="113">
        <v>1555999</v>
      </c>
      <c r="D156" s="113">
        <v>1850323</v>
      </c>
      <c r="E156" s="113">
        <f t="shared" si="22"/>
        <v>294324</v>
      </c>
      <c r="F156" s="114">
        <f t="shared" si="23"/>
        <v>0.18915436320974499</v>
      </c>
    </row>
    <row r="157" spans="1:6" x14ac:dyDescent="0.2">
      <c r="A157" s="115">
        <v>3</v>
      </c>
      <c r="B157" s="116" t="s">
        <v>115</v>
      </c>
      <c r="C157" s="113">
        <v>10450047</v>
      </c>
      <c r="D157" s="113">
        <v>14095160</v>
      </c>
      <c r="E157" s="113">
        <f t="shared" si="22"/>
        <v>3645113</v>
      </c>
      <c r="F157" s="114">
        <f t="shared" si="23"/>
        <v>0.34881307232398095</v>
      </c>
    </row>
    <row r="158" spans="1:6" x14ac:dyDescent="0.2">
      <c r="A158" s="115">
        <v>4</v>
      </c>
      <c r="B158" s="116" t="s">
        <v>116</v>
      </c>
      <c r="C158" s="113">
        <v>2747718</v>
      </c>
      <c r="D158" s="113">
        <v>0</v>
      </c>
      <c r="E158" s="113">
        <f t="shared" si="22"/>
        <v>-2747718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65728</v>
      </c>
      <c r="D159" s="113">
        <v>80728</v>
      </c>
      <c r="E159" s="113">
        <f t="shared" si="22"/>
        <v>15000</v>
      </c>
      <c r="F159" s="114">
        <f t="shared" si="23"/>
        <v>0.22821324245374877</v>
      </c>
    </row>
    <row r="160" spans="1:6" x14ac:dyDescent="0.2">
      <c r="A160" s="115">
        <v>6</v>
      </c>
      <c r="B160" s="116" t="s">
        <v>118</v>
      </c>
      <c r="C160" s="113">
        <v>661075</v>
      </c>
      <c r="D160" s="113">
        <v>847752</v>
      </c>
      <c r="E160" s="113">
        <f t="shared" si="22"/>
        <v>186677</v>
      </c>
      <c r="F160" s="114">
        <f t="shared" si="23"/>
        <v>0.28238399576447454</v>
      </c>
    </row>
    <row r="161" spans="1:6" x14ac:dyDescent="0.2">
      <c r="A161" s="115">
        <v>7</v>
      </c>
      <c r="B161" s="116" t="s">
        <v>119</v>
      </c>
      <c r="C161" s="113">
        <v>26715601</v>
      </c>
      <c r="D161" s="113">
        <v>24969868</v>
      </c>
      <c r="E161" s="113">
        <f t="shared" si="22"/>
        <v>-1745733</v>
      </c>
      <c r="F161" s="114">
        <f t="shared" si="23"/>
        <v>-6.5345076833570021E-2</v>
      </c>
    </row>
    <row r="162" spans="1:6" x14ac:dyDescent="0.2">
      <c r="A162" s="115">
        <v>8</v>
      </c>
      <c r="B162" s="116" t="s">
        <v>120</v>
      </c>
      <c r="C162" s="113">
        <v>1268496</v>
      </c>
      <c r="D162" s="113">
        <v>1202845</v>
      </c>
      <c r="E162" s="113">
        <f t="shared" si="22"/>
        <v>-65651</v>
      </c>
      <c r="F162" s="114">
        <f t="shared" si="23"/>
        <v>-5.1754991738247498E-2</v>
      </c>
    </row>
    <row r="163" spans="1:6" x14ac:dyDescent="0.2">
      <c r="A163" s="115">
        <v>9</v>
      </c>
      <c r="B163" s="116" t="s">
        <v>121</v>
      </c>
      <c r="C163" s="113">
        <v>279397</v>
      </c>
      <c r="D163" s="113">
        <v>268198</v>
      </c>
      <c r="E163" s="113">
        <f t="shared" si="22"/>
        <v>-11199</v>
      </c>
      <c r="F163" s="114">
        <f t="shared" si="23"/>
        <v>-4.008274963582286E-2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48959455</v>
      </c>
      <c r="D166" s="119">
        <f>SUM(D155:D165)</f>
        <v>48233598</v>
      </c>
      <c r="E166" s="119">
        <f t="shared" si="22"/>
        <v>-725857</v>
      </c>
      <c r="F166" s="120">
        <f t="shared" si="23"/>
        <v>-1.4825675653456518E-2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11835</v>
      </c>
      <c r="D168" s="133">
        <v>10543</v>
      </c>
      <c r="E168" s="133">
        <f t="shared" ref="E168:E179" si="24">D168-C168</f>
        <v>-1292</v>
      </c>
      <c r="F168" s="114">
        <f t="shared" ref="F168:F179" si="25">IF(C168=0,0,E168/C168)</f>
        <v>-0.10916772285593579</v>
      </c>
    </row>
    <row r="169" spans="1:6" x14ac:dyDescent="0.2">
      <c r="A169" s="115">
        <v>2</v>
      </c>
      <c r="B169" s="116" t="s">
        <v>114</v>
      </c>
      <c r="C169" s="133">
        <v>3196</v>
      </c>
      <c r="D169" s="133">
        <v>3757</v>
      </c>
      <c r="E169" s="133">
        <f t="shared" si="24"/>
        <v>561</v>
      </c>
      <c r="F169" s="114">
        <f t="shared" si="25"/>
        <v>0.17553191489361702</v>
      </c>
    </row>
    <row r="170" spans="1:6" x14ac:dyDescent="0.2">
      <c r="A170" s="115">
        <v>3</v>
      </c>
      <c r="B170" s="116" t="s">
        <v>115</v>
      </c>
      <c r="C170" s="133">
        <v>41860</v>
      </c>
      <c r="D170" s="133">
        <v>48391</v>
      </c>
      <c r="E170" s="133">
        <f t="shared" si="24"/>
        <v>6531</v>
      </c>
      <c r="F170" s="114">
        <f t="shared" si="25"/>
        <v>0.1560200668896321</v>
      </c>
    </row>
    <row r="171" spans="1:6" x14ac:dyDescent="0.2">
      <c r="A171" s="115">
        <v>4</v>
      </c>
      <c r="B171" s="116" t="s">
        <v>116</v>
      </c>
      <c r="C171" s="133">
        <v>7334</v>
      </c>
      <c r="D171" s="133">
        <v>0</v>
      </c>
      <c r="E171" s="133">
        <f t="shared" si="24"/>
        <v>-7334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253</v>
      </c>
      <c r="D172" s="133">
        <v>274</v>
      </c>
      <c r="E172" s="133">
        <f t="shared" si="24"/>
        <v>21</v>
      </c>
      <c r="F172" s="114">
        <f t="shared" si="25"/>
        <v>8.3003952569169967E-2</v>
      </c>
    </row>
    <row r="173" spans="1:6" x14ac:dyDescent="0.2">
      <c r="A173" s="115">
        <v>6</v>
      </c>
      <c r="B173" s="116" t="s">
        <v>118</v>
      </c>
      <c r="C173" s="133">
        <v>855</v>
      </c>
      <c r="D173" s="133">
        <v>957</v>
      </c>
      <c r="E173" s="133">
        <f t="shared" si="24"/>
        <v>102</v>
      </c>
      <c r="F173" s="114">
        <f t="shared" si="25"/>
        <v>0.11929824561403508</v>
      </c>
    </row>
    <row r="174" spans="1:6" x14ac:dyDescent="0.2">
      <c r="A174" s="115">
        <v>7</v>
      </c>
      <c r="B174" s="116" t="s">
        <v>119</v>
      </c>
      <c r="C174" s="133">
        <v>21454</v>
      </c>
      <c r="D174" s="133">
        <v>19691</v>
      </c>
      <c r="E174" s="133">
        <f t="shared" si="24"/>
        <v>-1763</v>
      </c>
      <c r="F174" s="114">
        <f t="shared" si="25"/>
        <v>-8.217581802927193E-2</v>
      </c>
    </row>
    <row r="175" spans="1:6" x14ac:dyDescent="0.2">
      <c r="A175" s="115">
        <v>8</v>
      </c>
      <c r="B175" s="116" t="s">
        <v>120</v>
      </c>
      <c r="C175" s="133">
        <v>1459</v>
      </c>
      <c r="D175" s="133">
        <v>1267</v>
      </c>
      <c r="E175" s="133">
        <f t="shared" si="24"/>
        <v>-192</v>
      </c>
      <c r="F175" s="114">
        <f t="shared" si="25"/>
        <v>-0.13159698423577793</v>
      </c>
    </row>
    <row r="176" spans="1:6" x14ac:dyDescent="0.2">
      <c r="A176" s="115">
        <v>9</v>
      </c>
      <c r="B176" s="116" t="s">
        <v>121</v>
      </c>
      <c r="C176" s="133">
        <v>8188</v>
      </c>
      <c r="D176" s="133">
        <v>7714</v>
      </c>
      <c r="E176" s="133">
        <f t="shared" si="24"/>
        <v>-474</v>
      </c>
      <c r="F176" s="114">
        <f t="shared" si="25"/>
        <v>-5.7889594528578406E-2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96434</v>
      </c>
      <c r="D179" s="134">
        <f>SUM(D168:D178)</f>
        <v>92594</v>
      </c>
      <c r="E179" s="134">
        <f t="shared" si="24"/>
        <v>-3840</v>
      </c>
      <c r="F179" s="120">
        <f t="shared" si="25"/>
        <v>-3.9819980504801213E-2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60308808</v>
      </c>
      <c r="D15" s="157">
        <v>59452944</v>
      </c>
      <c r="E15" s="157">
        <f>+D15-C15</f>
        <v>-855864</v>
      </c>
      <c r="F15" s="161">
        <f>IF(C15=0,0,E15/C15)</f>
        <v>-1.4191359908821279E-2</v>
      </c>
    </row>
    <row r="16" spans="1:6" ht="15" customHeight="1" x14ac:dyDescent="0.2">
      <c r="A16" s="147">
        <v>2</v>
      </c>
      <c r="B16" s="160" t="s">
        <v>157</v>
      </c>
      <c r="C16" s="157">
        <v>27064007</v>
      </c>
      <c r="D16" s="157">
        <v>28826455</v>
      </c>
      <c r="E16" s="157">
        <f>+D16-C16</f>
        <v>1762448</v>
      </c>
      <c r="F16" s="161">
        <f>IF(C16=0,0,E16/C16)</f>
        <v>6.5121472958531226E-2</v>
      </c>
    </row>
    <row r="17" spans="1:6" ht="15" customHeight="1" x14ac:dyDescent="0.2">
      <c r="A17" s="147">
        <v>3</v>
      </c>
      <c r="B17" s="160" t="s">
        <v>158</v>
      </c>
      <c r="C17" s="157">
        <v>77920320</v>
      </c>
      <c r="D17" s="157">
        <v>80427441</v>
      </c>
      <c r="E17" s="157">
        <f>+D17-C17</f>
        <v>2507121</v>
      </c>
      <c r="F17" s="161">
        <f>IF(C17=0,0,E17/C17)</f>
        <v>3.2175445378047729E-2</v>
      </c>
    </row>
    <row r="18" spans="1:6" ht="15.75" customHeight="1" x14ac:dyDescent="0.25">
      <c r="A18" s="147"/>
      <c r="B18" s="162" t="s">
        <v>159</v>
      </c>
      <c r="C18" s="158">
        <f>SUM(C15:C17)</f>
        <v>165293135</v>
      </c>
      <c r="D18" s="158">
        <f>SUM(D15:D17)</f>
        <v>168706840</v>
      </c>
      <c r="E18" s="158">
        <f>+D18-C18</f>
        <v>3413705</v>
      </c>
      <c r="F18" s="159">
        <f>IF(C18=0,0,E18/C18)</f>
        <v>2.0652430604574109E-2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15653134</v>
      </c>
      <c r="D21" s="157">
        <v>18429333</v>
      </c>
      <c r="E21" s="157">
        <f>+D21-C21</f>
        <v>2776199</v>
      </c>
      <c r="F21" s="161">
        <f>IF(C21=0,0,E21/C21)</f>
        <v>0.17735739053917254</v>
      </c>
    </row>
    <row r="22" spans="1:6" ht="15" customHeight="1" x14ac:dyDescent="0.2">
      <c r="A22" s="147">
        <v>2</v>
      </c>
      <c r="B22" s="160" t="s">
        <v>162</v>
      </c>
      <c r="C22" s="157">
        <v>7024455</v>
      </c>
      <c r="D22" s="157">
        <v>8638705</v>
      </c>
      <c r="E22" s="157">
        <f>+D22-C22</f>
        <v>1614250</v>
      </c>
      <c r="F22" s="161">
        <f>IF(C22=0,0,E22/C22)</f>
        <v>0.22980430510267344</v>
      </c>
    </row>
    <row r="23" spans="1:6" ht="15" customHeight="1" x14ac:dyDescent="0.2">
      <c r="A23" s="147">
        <v>3</v>
      </c>
      <c r="B23" s="160" t="s">
        <v>163</v>
      </c>
      <c r="C23" s="157">
        <v>20224197</v>
      </c>
      <c r="D23" s="157">
        <v>24660487</v>
      </c>
      <c r="E23" s="157">
        <f>+D23-C23</f>
        <v>4436290</v>
      </c>
      <c r="F23" s="161">
        <f>IF(C23=0,0,E23/C23)</f>
        <v>0.21935555710815119</v>
      </c>
    </row>
    <row r="24" spans="1:6" ht="15.75" customHeight="1" x14ac:dyDescent="0.25">
      <c r="A24" s="147"/>
      <c r="B24" s="162" t="s">
        <v>164</v>
      </c>
      <c r="C24" s="158">
        <f>SUM(C21:C23)</f>
        <v>42901786</v>
      </c>
      <c r="D24" s="158">
        <f>SUM(D21:D23)</f>
        <v>51728525</v>
      </c>
      <c r="E24" s="158">
        <f>+D24-C24</f>
        <v>8826739</v>
      </c>
      <c r="F24" s="159">
        <f>IF(C24=0,0,E24/C24)</f>
        <v>0.20574292641336656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386550</v>
      </c>
      <c r="D27" s="157">
        <v>398431</v>
      </c>
      <c r="E27" s="157">
        <f>+D27-C27</f>
        <v>11881</v>
      </c>
      <c r="F27" s="161">
        <f>IF(C27=0,0,E27/C27)</f>
        <v>3.0735997930410038E-2</v>
      </c>
    </row>
    <row r="28" spans="1:6" ht="15" customHeight="1" x14ac:dyDescent="0.2">
      <c r="A28" s="147">
        <v>2</v>
      </c>
      <c r="B28" s="160" t="s">
        <v>167</v>
      </c>
      <c r="C28" s="157">
        <v>11822724</v>
      </c>
      <c r="D28" s="157">
        <v>10145410</v>
      </c>
      <c r="E28" s="157">
        <f>+D28-C28</f>
        <v>-1677314</v>
      </c>
      <c r="F28" s="161">
        <f>IF(C28=0,0,E28/C28)</f>
        <v>-0.14187204234827777</v>
      </c>
    </row>
    <row r="29" spans="1:6" ht="15" customHeight="1" x14ac:dyDescent="0.2">
      <c r="A29" s="147">
        <v>3</v>
      </c>
      <c r="B29" s="160" t="s">
        <v>168</v>
      </c>
      <c r="C29" s="157">
        <v>6303155</v>
      </c>
      <c r="D29" s="157">
        <v>4087695</v>
      </c>
      <c r="E29" s="157">
        <f>+D29-C29</f>
        <v>-2215460</v>
      </c>
      <c r="F29" s="161">
        <f>IF(C29=0,0,E29/C29)</f>
        <v>-0.35148429635634854</v>
      </c>
    </row>
    <row r="30" spans="1:6" ht="15.75" customHeight="1" x14ac:dyDescent="0.25">
      <c r="A30" s="147"/>
      <c r="B30" s="162" t="s">
        <v>169</v>
      </c>
      <c r="C30" s="158">
        <f>SUM(C27:C29)</f>
        <v>18512429</v>
      </c>
      <c r="D30" s="158">
        <f>SUM(D27:D29)</f>
        <v>14631536</v>
      </c>
      <c r="E30" s="158">
        <f>+D30-C30</f>
        <v>-3880893</v>
      </c>
      <c r="F30" s="159">
        <f>IF(C30=0,0,E30/C30)</f>
        <v>-0.20963715782515627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37354598</v>
      </c>
      <c r="D33" s="157">
        <v>42279593</v>
      </c>
      <c r="E33" s="157">
        <f>+D33-C33</f>
        <v>4924995</v>
      </c>
      <c r="F33" s="161">
        <f>IF(C33=0,0,E33/C33)</f>
        <v>0.13184441176424921</v>
      </c>
    </row>
    <row r="34" spans="1:6" ht="15" customHeight="1" x14ac:dyDescent="0.2">
      <c r="A34" s="147">
        <v>2</v>
      </c>
      <c r="B34" s="160" t="s">
        <v>173</v>
      </c>
      <c r="C34" s="157">
        <v>12180858</v>
      </c>
      <c r="D34" s="157">
        <v>11910007</v>
      </c>
      <c r="E34" s="157">
        <f>+D34-C34</f>
        <v>-270851</v>
      </c>
      <c r="F34" s="161">
        <f>IF(C34=0,0,E34/C34)</f>
        <v>-2.2235789958309996E-2</v>
      </c>
    </row>
    <row r="35" spans="1:6" ht="15.75" customHeight="1" x14ac:dyDescent="0.25">
      <c r="A35" s="147"/>
      <c r="B35" s="162" t="s">
        <v>174</v>
      </c>
      <c r="C35" s="158">
        <f>SUM(C33:C34)</f>
        <v>49535456</v>
      </c>
      <c r="D35" s="158">
        <f>SUM(D33:D34)</f>
        <v>54189600</v>
      </c>
      <c r="E35" s="158">
        <f>+D35-C35</f>
        <v>4654144</v>
      </c>
      <c r="F35" s="159">
        <f>IF(C35=0,0,E35/C35)</f>
        <v>9.3955812176231904E-2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8916398</v>
      </c>
      <c r="D38" s="157">
        <v>9298428</v>
      </c>
      <c r="E38" s="157">
        <f>+D38-C38</f>
        <v>382030</v>
      </c>
      <c r="F38" s="161">
        <f>IF(C38=0,0,E38/C38)</f>
        <v>4.2845776960606735E-2</v>
      </c>
    </row>
    <row r="39" spans="1:6" ht="15" customHeight="1" x14ac:dyDescent="0.2">
      <c r="A39" s="147">
        <v>2</v>
      </c>
      <c r="B39" s="160" t="s">
        <v>178</v>
      </c>
      <c r="C39" s="157">
        <v>10436660</v>
      </c>
      <c r="D39" s="157">
        <v>10180905</v>
      </c>
      <c r="E39" s="157">
        <f>+D39-C39</f>
        <v>-255755</v>
      </c>
      <c r="F39" s="161">
        <f>IF(C39=0,0,E39/C39)</f>
        <v>-2.4505445228645947E-2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19353058</v>
      </c>
      <c r="D41" s="158">
        <f>SUM(D38:D40)</f>
        <v>19479333</v>
      </c>
      <c r="E41" s="158">
        <f>+D41-C41</f>
        <v>126275</v>
      </c>
      <c r="F41" s="159">
        <f>IF(C41=0,0,E41/C41)</f>
        <v>6.5248086374773435E-3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17293190</v>
      </c>
      <c r="D44" s="157">
        <v>0</v>
      </c>
      <c r="E44" s="157">
        <f>+D44-C44</f>
        <v>-17293190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1957216</v>
      </c>
      <c r="D47" s="157">
        <v>1563598</v>
      </c>
      <c r="E47" s="157">
        <f>+D47-C47</f>
        <v>-393618</v>
      </c>
      <c r="F47" s="161">
        <f>IF(C47=0,0,E47/C47)</f>
        <v>-0.2011111701518892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5136177</v>
      </c>
      <c r="D50" s="157">
        <v>2558127</v>
      </c>
      <c r="E50" s="157">
        <f>+D50-C50</f>
        <v>-2578050</v>
      </c>
      <c r="F50" s="161">
        <f>IF(C50=0,0,E50/C50)</f>
        <v>-0.50193947755305157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197286</v>
      </c>
      <c r="D53" s="157">
        <v>188971</v>
      </c>
      <c r="E53" s="157">
        <f t="shared" ref="E53:E59" si="0">+D53-C53</f>
        <v>-8315</v>
      </c>
      <c r="F53" s="161">
        <f t="shared" ref="F53:F59" si="1">IF(C53=0,0,E53/C53)</f>
        <v>-4.2146933892927022E-2</v>
      </c>
    </row>
    <row r="54" spans="1:6" ht="15" customHeight="1" x14ac:dyDescent="0.2">
      <c r="A54" s="147">
        <v>2</v>
      </c>
      <c r="B54" s="160" t="s">
        <v>189</v>
      </c>
      <c r="C54" s="157">
        <v>1538959</v>
      </c>
      <c r="D54" s="157">
        <v>1387279</v>
      </c>
      <c r="E54" s="157">
        <f t="shared" si="0"/>
        <v>-151680</v>
      </c>
      <c r="F54" s="161">
        <f t="shared" si="1"/>
        <v>-9.8560130581776387E-2</v>
      </c>
    </row>
    <row r="55" spans="1:6" ht="15" customHeight="1" x14ac:dyDescent="0.2">
      <c r="A55" s="147">
        <v>3</v>
      </c>
      <c r="B55" s="160" t="s">
        <v>190</v>
      </c>
      <c r="C55" s="157">
        <v>36435</v>
      </c>
      <c r="D55" s="157">
        <v>47843</v>
      </c>
      <c r="E55" s="157">
        <f t="shared" si="0"/>
        <v>11408</v>
      </c>
      <c r="F55" s="161">
        <f t="shared" si="1"/>
        <v>0.31310553039659667</v>
      </c>
    </row>
    <row r="56" spans="1:6" ht="15" customHeight="1" x14ac:dyDescent="0.2">
      <c r="A56" s="147">
        <v>4</v>
      </c>
      <c r="B56" s="160" t="s">
        <v>191</v>
      </c>
      <c r="C56" s="157">
        <v>3963694</v>
      </c>
      <c r="D56" s="157">
        <v>3784083</v>
      </c>
      <c r="E56" s="157">
        <f t="shared" si="0"/>
        <v>-179611</v>
      </c>
      <c r="F56" s="161">
        <f t="shared" si="1"/>
        <v>-4.5314042910476943E-2</v>
      </c>
    </row>
    <row r="57" spans="1:6" ht="15" customHeight="1" x14ac:dyDescent="0.2">
      <c r="A57" s="147">
        <v>5</v>
      </c>
      <c r="B57" s="160" t="s">
        <v>192</v>
      </c>
      <c r="C57" s="157">
        <v>708562</v>
      </c>
      <c r="D57" s="157">
        <v>771349</v>
      </c>
      <c r="E57" s="157">
        <f t="shared" si="0"/>
        <v>62787</v>
      </c>
      <c r="F57" s="161">
        <f t="shared" si="1"/>
        <v>8.8611864593359513E-2</v>
      </c>
    </row>
    <row r="58" spans="1:6" ht="15" customHeight="1" x14ac:dyDescent="0.2">
      <c r="A58" s="147">
        <v>6</v>
      </c>
      <c r="B58" s="160" t="s">
        <v>193</v>
      </c>
      <c r="C58" s="157">
        <v>207076</v>
      </c>
      <c r="D58" s="157">
        <v>233018</v>
      </c>
      <c r="E58" s="157">
        <f t="shared" si="0"/>
        <v>25942</v>
      </c>
      <c r="F58" s="161">
        <f t="shared" si="1"/>
        <v>0.12527767582916416</v>
      </c>
    </row>
    <row r="59" spans="1:6" ht="15.75" customHeight="1" x14ac:dyDescent="0.25">
      <c r="A59" s="147"/>
      <c r="B59" s="162" t="s">
        <v>194</v>
      </c>
      <c r="C59" s="158">
        <f>SUM(C53:C58)</f>
        <v>6652012</v>
      </c>
      <c r="D59" s="158">
        <f>SUM(D53:D58)</f>
        <v>6412543</v>
      </c>
      <c r="E59" s="158">
        <f t="shared" si="0"/>
        <v>-239469</v>
      </c>
      <c r="F59" s="159">
        <f t="shared" si="1"/>
        <v>-3.5999484065873603E-2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409431</v>
      </c>
      <c r="D62" s="157">
        <v>-340301</v>
      </c>
      <c r="E62" s="157">
        <f t="shared" ref="E62:E90" si="2">+D62-C62</f>
        <v>-749732</v>
      </c>
      <c r="F62" s="161">
        <f t="shared" ref="F62:F90" si="3">IF(C62=0,0,E62/C62)</f>
        <v>-1.8311559212663429</v>
      </c>
    </row>
    <row r="63" spans="1:6" ht="15" customHeight="1" x14ac:dyDescent="0.2">
      <c r="A63" s="147">
        <v>2</v>
      </c>
      <c r="B63" s="160" t="s">
        <v>198</v>
      </c>
      <c r="C63" s="157">
        <v>351166</v>
      </c>
      <c r="D63" s="157">
        <v>379808</v>
      </c>
      <c r="E63" s="157">
        <f t="shared" si="2"/>
        <v>28642</v>
      </c>
      <c r="F63" s="161">
        <f t="shared" si="3"/>
        <v>8.1562565852047186E-2</v>
      </c>
    </row>
    <row r="64" spans="1:6" ht="15" customHeight="1" x14ac:dyDescent="0.2">
      <c r="A64" s="147">
        <v>3</v>
      </c>
      <c r="B64" s="160" t="s">
        <v>199</v>
      </c>
      <c r="C64" s="157">
        <v>886492</v>
      </c>
      <c r="D64" s="157">
        <v>1459098</v>
      </c>
      <c r="E64" s="157">
        <f t="shared" si="2"/>
        <v>572606</v>
      </c>
      <c r="F64" s="161">
        <f t="shared" si="3"/>
        <v>0.6459234826710224</v>
      </c>
    </row>
    <row r="65" spans="1:6" ht="15" customHeight="1" x14ac:dyDescent="0.2">
      <c r="A65" s="147">
        <v>4</v>
      </c>
      <c r="B65" s="160" t="s">
        <v>200</v>
      </c>
      <c r="C65" s="157">
        <v>754141</v>
      </c>
      <c r="D65" s="157">
        <v>716492</v>
      </c>
      <c r="E65" s="157">
        <f t="shared" si="2"/>
        <v>-37649</v>
      </c>
      <c r="F65" s="161">
        <f t="shared" si="3"/>
        <v>-4.9923025004607893E-2</v>
      </c>
    </row>
    <row r="66" spans="1:6" ht="15" customHeight="1" x14ac:dyDescent="0.2">
      <c r="A66" s="147">
        <v>5</v>
      </c>
      <c r="B66" s="160" t="s">
        <v>201</v>
      </c>
      <c r="C66" s="157">
        <v>2216457</v>
      </c>
      <c r="D66" s="157">
        <v>1614064</v>
      </c>
      <c r="E66" s="157">
        <f t="shared" si="2"/>
        <v>-602393</v>
      </c>
      <c r="F66" s="161">
        <f t="shared" si="3"/>
        <v>-0.2717819474954849</v>
      </c>
    </row>
    <row r="67" spans="1:6" ht="15" customHeight="1" x14ac:dyDescent="0.2">
      <c r="A67" s="147">
        <v>6</v>
      </c>
      <c r="B67" s="160" t="s">
        <v>202</v>
      </c>
      <c r="C67" s="157">
        <v>2233549</v>
      </c>
      <c r="D67" s="157">
        <v>2203341</v>
      </c>
      <c r="E67" s="157">
        <f t="shared" si="2"/>
        <v>-30208</v>
      </c>
      <c r="F67" s="161">
        <f t="shared" si="3"/>
        <v>-1.3524664110794078E-2</v>
      </c>
    </row>
    <row r="68" spans="1:6" ht="15" customHeight="1" x14ac:dyDescent="0.2">
      <c r="A68" s="147">
        <v>7</v>
      </c>
      <c r="B68" s="160" t="s">
        <v>203</v>
      </c>
      <c r="C68" s="157">
        <v>5739760</v>
      </c>
      <c r="D68" s="157">
        <v>6353987</v>
      </c>
      <c r="E68" s="157">
        <f t="shared" si="2"/>
        <v>614227</v>
      </c>
      <c r="F68" s="161">
        <f t="shared" si="3"/>
        <v>0.10701266255035054</v>
      </c>
    </row>
    <row r="69" spans="1:6" ht="15" customHeight="1" x14ac:dyDescent="0.2">
      <c r="A69" s="147">
        <v>8</v>
      </c>
      <c r="B69" s="160" t="s">
        <v>204</v>
      </c>
      <c r="C69" s="157">
        <v>450200</v>
      </c>
      <c r="D69" s="157">
        <v>432483</v>
      </c>
      <c r="E69" s="157">
        <f t="shared" si="2"/>
        <v>-17717</v>
      </c>
      <c r="F69" s="161">
        <f t="shared" si="3"/>
        <v>-3.9353620613060865E-2</v>
      </c>
    </row>
    <row r="70" spans="1:6" ht="15" customHeight="1" x14ac:dyDescent="0.2">
      <c r="A70" s="147">
        <v>9</v>
      </c>
      <c r="B70" s="160" t="s">
        <v>205</v>
      </c>
      <c r="C70" s="157">
        <v>802103</v>
      </c>
      <c r="D70" s="157">
        <v>603587</v>
      </c>
      <c r="E70" s="157">
        <f t="shared" si="2"/>
        <v>-198516</v>
      </c>
      <c r="F70" s="161">
        <f t="shared" si="3"/>
        <v>-0.24749439909837015</v>
      </c>
    </row>
    <row r="71" spans="1:6" ht="15" customHeight="1" x14ac:dyDescent="0.2">
      <c r="A71" s="147">
        <v>10</v>
      </c>
      <c r="B71" s="160" t="s">
        <v>206</v>
      </c>
      <c r="C71" s="157">
        <v>244459</v>
      </c>
      <c r="D71" s="157">
        <v>257568</v>
      </c>
      <c r="E71" s="157">
        <f t="shared" si="2"/>
        <v>13109</v>
      </c>
      <c r="F71" s="161">
        <f t="shared" si="3"/>
        <v>5.3624534175465005E-2</v>
      </c>
    </row>
    <row r="72" spans="1:6" ht="15" customHeight="1" x14ac:dyDescent="0.2">
      <c r="A72" s="147">
        <v>11</v>
      </c>
      <c r="B72" s="160" t="s">
        <v>207</v>
      </c>
      <c r="C72" s="157">
        <v>207968</v>
      </c>
      <c r="D72" s="157">
        <v>105976</v>
      </c>
      <c r="E72" s="157">
        <f t="shared" si="2"/>
        <v>-101992</v>
      </c>
      <c r="F72" s="161">
        <f t="shared" si="3"/>
        <v>-0.49042160332358825</v>
      </c>
    </row>
    <row r="73" spans="1:6" ht="15" customHeight="1" x14ac:dyDescent="0.2">
      <c r="A73" s="147">
        <v>12</v>
      </c>
      <c r="B73" s="160" t="s">
        <v>208</v>
      </c>
      <c r="C73" s="157">
        <v>1307614</v>
      </c>
      <c r="D73" s="157">
        <v>1367290</v>
      </c>
      <c r="E73" s="157">
        <f t="shared" si="2"/>
        <v>59676</v>
      </c>
      <c r="F73" s="161">
        <f t="shared" si="3"/>
        <v>4.5637321105463848E-2</v>
      </c>
    </row>
    <row r="74" spans="1:6" ht="15" customHeight="1" x14ac:dyDescent="0.2">
      <c r="A74" s="147">
        <v>13</v>
      </c>
      <c r="B74" s="160" t="s">
        <v>209</v>
      </c>
      <c r="C74" s="157">
        <v>242688</v>
      </c>
      <c r="D74" s="157">
        <v>216459</v>
      </c>
      <c r="E74" s="157">
        <f t="shared" si="2"/>
        <v>-26229</v>
      </c>
      <c r="F74" s="161">
        <f t="shared" si="3"/>
        <v>-0.10807703718354431</v>
      </c>
    </row>
    <row r="75" spans="1:6" ht="15" customHeight="1" x14ac:dyDescent="0.2">
      <c r="A75" s="147">
        <v>14</v>
      </c>
      <c r="B75" s="160" t="s">
        <v>210</v>
      </c>
      <c r="C75" s="157">
        <v>428271</v>
      </c>
      <c r="D75" s="157">
        <v>459200</v>
      </c>
      <c r="E75" s="157">
        <f t="shared" si="2"/>
        <v>30929</v>
      </c>
      <c r="F75" s="161">
        <f t="shared" si="3"/>
        <v>7.2218291689140748E-2</v>
      </c>
    </row>
    <row r="76" spans="1:6" ht="15" customHeight="1" x14ac:dyDescent="0.2">
      <c r="A76" s="147">
        <v>15</v>
      </c>
      <c r="B76" s="160" t="s">
        <v>211</v>
      </c>
      <c r="C76" s="157">
        <v>717244</v>
      </c>
      <c r="D76" s="157">
        <v>2260460</v>
      </c>
      <c r="E76" s="157">
        <f t="shared" si="2"/>
        <v>1543216</v>
      </c>
      <c r="F76" s="161">
        <f t="shared" si="3"/>
        <v>2.1515913691853816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5610528</v>
      </c>
      <c r="D78" s="157">
        <v>5235497</v>
      </c>
      <c r="E78" s="157">
        <f t="shared" si="2"/>
        <v>-375031</v>
      </c>
      <c r="F78" s="161">
        <f t="shared" si="3"/>
        <v>-6.6844154418265092E-2</v>
      </c>
    </row>
    <row r="79" spans="1:6" ht="15" customHeight="1" x14ac:dyDescent="0.2">
      <c r="A79" s="147">
        <v>18</v>
      </c>
      <c r="B79" s="160" t="s">
        <v>214</v>
      </c>
      <c r="C79" s="157">
        <v>1266177</v>
      </c>
      <c r="D79" s="157">
        <v>218101</v>
      </c>
      <c r="E79" s="157">
        <f t="shared" si="2"/>
        <v>-1048076</v>
      </c>
      <c r="F79" s="161">
        <f t="shared" si="3"/>
        <v>-0.82774841116210451</v>
      </c>
    </row>
    <row r="80" spans="1:6" ht="15" customHeight="1" x14ac:dyDescent="0.2">
      <c r="A80" s="147">
        <v>19</v>
      </c>
      <c r="B80" s="160" t="s">
        <v>215</v>
      </c>
      <c r="C80" s="157">
        <v>2932414</v>
      </c>
      <c r="D80" s="157">
        <v>2826592</v>
      </c>
      <c r="E80" s="157">
        <f t="shared" si="2"/>
        <v>-105822</v>
      </c>
      <c r="F80" s="161">
        <f t="shared" si="3"/>
        <v>-3.6086991809478469E-2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1182002</v>
      </c>
      <c r="D82" s="157">
        <v>786789</v>
      </c>
      <c r="E82" s="157">
        <f t="shared" si="2"/>
        <v>-395213</v>
      </c>
      <c r="F82" s="161">
        <f t="shared" si="3"/>
        <v>-0.33435899431642246</v>
      </c>
    </row>
    <row r="83" spans="1:6" ht="15" customHeight="1" x14ac:dyDescent="0.2">
      <c r="A83" s="147">
        <v>22</v>
      </c>
      <c r="B83" s="160" t="s">
        <v>218</v>
      </c>
      <c r="C83" s="157">
        <v>1662460</v>
      </c>
      <c r="D83" s="157">
        <v>1518560</v>
      </c>
      <c r="E83" s="157">
        <f t="shared" si="2"/>
        <v>-143900</v>
      </c>
      <c r="F83" s="161">
        <f t="shared" si="3"/>
        <v>-8.6558473587334428E-2</v>
      </c>
    </row>
    <row r="84" spans="1:6" ht="15" customHeight="1" x14ac:dyDescent="0.2">
      <c r="A84" s="147">
        <v>23</v>
      </c>
      <c r="B84" s="160" t="s">
        <v>219</v>
      </c>
      <c r="C84" s="157">
        <v>269365</v>
      </c>
      <c r="D84" s="157">
        <v>178373</v>
      </c>
      <c r="E84" s="157">
        <f t="shared" si="2"/>
        <v>-90992</v>
      </c>
      <c r="F84" s="161">
        <f t="shared" si="3"/>
        <v>-0.33780186735470458</v>
      </c>
    </row>
    <row r="85" spans="1:6" ht="15" customHeight="1" x14ac:dyDescent="0.2">
      <c r="A85" s="147">
        <v>24</v>
      </c>
      <c r="B85" s="160" t="s">
        <v>220</v>
      </c>
      <c r="C85" s="157">
        <v>2190047</v>
      </c>
      <c r="D85" s="157">
        <v>2159096</v>
      </c>
      <c r="E85" s="157">
        <f t="shared" si="2"/>
        <v>-30951</v>
      </c>
      <c r="F85" s="161">
        <f t="shared" si="3"/>
        <v>-1.4132573410524979E-2</v>
      </c>
    </row>
    <row r="86" spans="1:6" ht="15" customHeight="1" x14ac:dyDescent="0.2">
      <c r="A86" s="147">
        <v>25</v>
      </c>
      <c r="B86" s="160" t="s">
        <v>221</v>
      </c>
      <c r="C86" s="157">
        <v>420351</v>
      </c>
      <c r="D86" s="157">
        <v>380380</v>
      </c>
      <c r="E86" s="157">
        <f t="shared" si="2"/>
        <v>-39971</v>
      </c>
      <c r="F86" s="161">
        <f t="shared" si="3"/>
        <v>-9.5089579898703702E-2</v>
      </c>
    </row>
    <row r="87" spans="1:6" ht="15" customHeight="1" x14ac:dyDescent="0.2">
      <c r="A87" s="147">
        <v>26</v>
      </c>
      <c r="B87" s="160" t="s">
        <v>222</v>
      </c>
      <c r="C87" s="157">
        <v>20573</v>
      </c>
      <c r="D87" s="157">
        <v>24475</v>
      </c>
      <c r="E87" s="157">
        <f t="shared" si="2"/>
        <v>3902</v>
      </c>
      <c r="F87" s="161">
        <f t="shared" si="3"/>
        <v>0.18966606717542411</v>
      </c>
    </row>
    <row r="88" spans="1:6" ht="15" customHeight="1" x14ac:dyDescent="0.2">
      <c r="A88" s="147">
        <v>27</v>
      </c>
      <c r="B88" s="160" t="s">
        <v>223</v>
      </c>
      <c r="C88" s="157">
        <v>56550</v>
      </c>
      <c r="D88" s="157">
        <v>163603</v>
      </c>
      <c r="E88" s="157">
        <f t="shared" si="2"/>
        <v>107053</v>
      </c>
      <c r="F88" s="161">
        <f t="shared" si="3"/>
        <v>1.8930680813439433</v>
      </c>
    </row>
    <row r="89" spans="1:6" ht="15" customHeight="1" x14ac:dyDescent="0.2">
      <c r="A89" s="147">
        <v>28</v>
      </c>
      <c r="B89" s="160" t="s">
        <v>224</v>
      </c>
      <c r="C89" s="157">
        <v>30285025</v>
      </c>
      <c r="D89" s="157">
        <v>26596127</v>
      </c>
      <c r="E89" s="157">
        <f t="shared" si="2"/>
        <v>-3688898</v>
      </c>
      <c r="F89" s="161">
        <f t="shared" si="3"/>
        <v>-0.12180600808485381</v>
      </c>
    </row>
    <row r="90" spans="1:6" ht="15.75" customHeight="1" x14ac:dyDescent="0.25">
      <c r="A90" s="147"/>
      <c r="B90" s="162" t="s">
        <v>225</v>
      </c>
      <c r="C90" s="158">
        <f>SUM(C62:C89)</f>
        <v>62887035</v>
      </c>
      <c r="D90" s="158">
        <f>SUM(D62:D89)</f>
        <v>58177105</v>
      </c>
      <c r="E90" s="158">
        <f t="shared" si="2"/>
        <v>-4709930</v>
      </c>
      <c r="F90" s="159">
        <f t="shared" si="3"/>
        <v>-7.4895087675861963E-2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389521494</v>
      </c>
      <c r="D95" s="158">
        <f>+D93+D90+D59+D50+D47+D44+D41+D35+D30+D24+D18</f>
        <v>377447207</v>
      </c>
      <c r="E95" s="158">
        <f>+D95-C95</f>
        <v>-12074287</v>
      </c>
      <c r="F95" s="159">
        <f>IF(C95=0,0,E95/C95)</f>
        <v>-3.09977425790013E-2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15370808</v>
      </c>
      <c r="D103" s="157">
        <v>15075496</v>
      </c>
      <c r="E103" s="157">
        <f t="shared" ref="E103:E121" si="4">D103-C103</f>
        <v>-295312</v>
      </c>
      <c r="F103" s="161">
        <f t="shared" ref="F103:F121" si="5">IF(C103=0,0,E103/C103)</f>
        <v>-1.9212522855011915E-2</v>
      </c>
    </row>
    <row r="104" spans="1:6" ht="15" customHeight="1" x14ac:dyDescent="0.2">
      <c r="A104" s="147">
        <v>2</v>
      </c>
      <c r="B104" s="169" t="s">
        <v>234</v>
      </c>
      <c r="C104" s="157">
        <v>2559171</v>
      </c>
      <c r="D104" s="157">
        <v>2268553</v>
      </c>
      <c r="E104" s="157">
        <f t="shared" si="4"/>
        <v>-290618</v>
      </c>
      <c r="F104" s="161">
        <f t="shared" si="5"/>
        <v>-0.11355942998728885</v>
      </c>
    </row>
    <row r="105" spans="1:6" ht="15" customHeight="1" x14ac:dyDescent="0.2">
      <c r="A105" s="147">
        <v>3</v>
      </c>
      <c r="B105" s="169" t="s">
        <v>235</v>
      </c>
      <c r="C105" s="157">
        <v>4708127</v>
      </c>
      <c r="D105" s="157">
        <v>6544116</v>
      </c>
      <c r="E105" s="157">
        <f t="shared" si="4"/>
        <v>1835989</v>
      </c>
      <c r="F105" s="161">
        <f t="shared" si="5"/>
        <v>0.38996165566476859</v>
      </c>
    </row>
    <row r="106" spans="1:6" ht="15" customHeight="1" x14ac:dyDescent="0.2">
      <c r="A106" s="147">
        <v>4</v>
      </c>
      <c r="B106" s="169" t="s">
        <v>236</v>
      </c>
      <c r="C106" s="157">
        <v>1830899</v>
      </c>
      <c r="D106" s="157">
        <v>1660188</v>
      </c>
      <c r="E106" s="157">
        <f t="shared" si="4"/>
        <v>-170711</v>
      </c>
      <c r="F106" s="161">
        <f t="shared" si="5"/>
        <v>-9.3238895209402595E-2</v>
      </c>
    </row>
    <row r="107" spans="1:6" ht="15" customHeight="1" x14ac:dyDescent="0.2">
      <c r="A107" s="147">
        <v>5</v>
      </c>
      <c r="B107" s="169" t="s">
        <v>237</v>
      </c>
      <c r="C107" s="157">
        <v>20931807</v>
      </c>
      <c r="D107" s="157">
        <v>19497806</v>
      </c>
      <c r="E107" s="157">
        <f t="shared" si="4"/>
        <v>-1434001</v>
      </c>
      <c r="F107" s="161">
        <f t="shared" si="5"/>
        <v>-6.8508227693863222E-2</v>
      </c>
    </row>
    <row r="108" spans="1:6" ht="15" customHeight="1" x14ac:dyDescent="0.2">
      <c r="A108" s="147">
        <v>6</v>
      </c>
      <c r="B108" s="169" t="s">
        <v>238</v>
      </c>
      <c r="C108" s="157">
        <v>1402904</v>
      </c>
      <c r="D108" s="157">
        <v>1394248</v>
      </c>
      <c r="E108" s="157">
        <f t="shared" si="4"/>
        <v>-8656</v>
      </c>
      <c r="F108" s="161">
        <f t="shared" si="5"/>
        <v>-6.1700586782844728E-3</v>
      </c>
    </row>
    <row r="109" spans="1:6" ht="15" customHeight="1" x14ac:dyDescent="0.2">
      <c r="A109" s="147">
        <v>7</v>
      </c>
      <c r="B109" s="169" t="s">
        <v>239</v>
      </c>
      <c r="C109" s="157">
        <v>40830970</v>
      </c>
      <c r="D109" s="157">
        <v>57349980</v>
      </c>
      <c r="E109" s="157">
        <f t="shared" si="4"/>
        <v>16519010</v>
      </c>
      <c r="F109" s="161">
        <f t="shared" si="5"/>
        <v>0.4045705992289676</v>
      </c>
    </row>
    <row r="110" spans="1:6" ht="15" customHeight="1" x14ac:dyDescent="0.2">
      <c r="A110" s="147">
        <v>8</v>
      </c>
      <c r="B110" s="169" t="s">
        <v>240</v>
      </c>
      <c r="C110" s="157">
        <v>3199808</v>
      </c>
      <c r="D110" s="157">
        <v>3131620</v>
      </c>
      <c r="E110" s="157">
        <f t="shared" si="4"/>
        <v>-68188</v>
      </c>
      <c r="F110" s="161">
        <f t="shared" si="5"/>
        <v>-2.1310028601716102E-2</v>
      </c>
    </row>
    <row r="111" spans="1:6" ht="15" customHeight="1" x14ac:dyDescent="0.2">
      <c r="A111" s="147">
        <v>9</v>
      </c>
      <c r="B111" s="169" t="s">
        <v>241</v>
      </c>
      <c r="C111" s="157">
        <v>1731179</v>
      </c>
      <c r="D111" s="157">
        <v>1740694</v>
      </c>
      <c r="E111" s="157">
        <f t="shared" si="4"/>
        <v>9515</v>
      </c>
      <c r="F111" s="161">
        <f t="shared" si="5"/>
        <v>5.4962542868184049E-3</v>
      </c>
    </row>
    <row r="112" spans="1:6" ht="15" customHeight="1" x14ac:dyDescent="0.2">
      <c r="A112" s="147">
        <v>10</v>
      </c>
      <c r="B112" s="169" t="s">
        <v>242</v>
      </c>
      <c r="C112" s="157">
        <v>5320310</v>
      </c>
      <c r="D112" s="157">
        <v>5237627</v>
      </c>
      <c r="E112" s="157">
        <f t="shared" si="4"/>
        <v>-82683</v>
      </c>
      <c r="F112" s="161">
        <f t="shared" si="5"/>
        <v>-1.5541011707964385E-2</v>
      </c>
    </row>
    <row r="113" spans="1:6" ht="15" customHeight="1" x14ac:dyDescent="0.2">
      <c r="A113" s="147">
        <v>11</v>
      </c>
      <c r="B113" s="169" t="s">
        <v>243</v>
      </c>
      <c r="C113" s="157">
        <v>6212287</v>
      </c>
      <c r="D113" s="157">
        <v>5493942</v>
      </c>
      <c r="E113" s="157">
        <f t="shared" si="4"/>
        <v>-718345</v>
      </c>
      <c r="F113" s="161">
        <f t="shared" si="5"/>
        <v>-0.11563293840094638</v>
      </c>
    </row>
    <row r="114" spans="1:6" ht="15" customHeight="1" x14ac:dyDescent="0.2">
      <c r="A114" s="147">
        <v>12</v>
      </c>
      <c r="B114" s="169" t="s">
        <v>244</v>
      </c>
      <c r="C114" s="157">
        <v>1580173</v>
      </c>
      <c r="D114" s="157">
        <v>1389572</v>
      </c>
      <c r="E114" s="157">
        <f t="shared" si="4"/>
        <v>-190601</v>
      </c>
      <c r="F114" s="161">
        <f t="shared" si="5"/>
        <v>-0.12062033714030046</v>
      </c>
    </row>
    <row r="115" spans="1:6" ht="15" customHeight="1" x14ac:dyDescent="0.2">
      <c r="A115" s="147">
        <v>13</v>
      </c>
      <c r="B115" s="169" t="s">
        <v>245</v>
      </c>
      <c r="C115" s="157">
        <v>16828637</v>
      </c>
      <c r="D115" s="157">
        <v>15645742</v>
      </c>
      <c r="E115" s="157">
        <f t="shared" si="4"/>
        <v>-1182895</v>
      </c>
      <c r="F115" s="161">
        <f t="shared" si="5"/>
        <v>-7.0290600480597445E-2</v>
      </c>
    </row>
    <row r="116" spans="1:6" ht="15" customHeight="1" x14ac:dyDescent="0.2">
      <c r="A116" s="147">
        <v>14</v>
      </c>
      <c r="B116" s="169" t="s">
        <v>246</v>
      </c>
      <c r="C116" s="157">
        <v>1735274</v>
      </c>
      <c r="D116" s="157">
        <v>1713411</v>
      </c>
      <c r="E116" s="157">
        <f t="shared" si="4"/>
        <v>-21863</v>
      </c>
      <c r="F116" s="161">
        <f t="shared" si="5"/>
        <v>-1.2599163014025451E-2</v>
      </c>
    </row>
    <row r="117" spans="1:6" ht="15" customHeight="1" x14ac:dyDescent="0.2">
      <c r="A117" s="147">
        <v>15</v>
      </c>
      <c r="B117" s="169" t="s">
        <v>203</v>
      </c>
      <c r="C117" s="157">
        <v>2808343</v>
      </c>
      <c r="D117" s="157">
        <v>1933537</v>
      </c>
      <c r="E117" s="157">
        <f t="shared" si="4"/>
        <v>-874806</v>
      </c>
      <c r="F117" s="161">
        <f t="shared" si="5"/>
        <v>-0.31150254794375187</v>
      </c>
    </row>
    <row r="118" spans="1:6" ht="15" customHeight="1" x14ac:dyDescent="0.2">
      <c r="A118" s="147">
        <v>16</v>
      </c>
      <c r="B118" s="169" t="s">
        <v>247</v>
      </c>
      <c r="C118" s="157">
        <v>1952457</v>
      </c>
      <c r="D118" s="157">
        <v>1925902</v>
      </c>
      <c r="E118" s="157">
        <f t="shared" si="4"/>
        <v>-26555</v>
      </c>
      <c r="F118" s="161">
        <f t="shared" si="5"/>
        <v>-1.3600811695212749E-2</v>
      </c>
    </row>
    <row r="119" spans="1:6" ht="15" customHeight="1" x14ac:dyDescent="0.2">
      <c r="A119" s="147">
        <v>17</v>
      </c>
      <c r="B119" s="169" t="s">
        <v>248</v>
      </c>
      <c r="C119" s="157">
        <v>16882025</v>
      </c>
      <c r="D119" s="157">
        <v>16568041</v>
      </c>
      <c r="E119" s="157">
        <f t="shared" si="4"/>
        <v>-313984</v>
      </c>
      <c r="F119" s="161">
        <f t="shared" si="5"/>
        <v>-1.8598716682388518E-2</v>
      </c>
    </row>
    <row r="120" spans="1:6" ht="15" customHeight="1" x14ac:dyDescent="0.2">
      <c r="A120" s="147">
        <v>18</v>
      </c>
      <c r="B120" s="169" t="s">
        <v>249</v>
      </c>
      <c r="C120" s="157">
        <v>5570595</v>
      </c>
      <c r="D120" s="157">
        <v>6237057</v>
      </c>
      <c r="E120" s="157">
        <f t="shared" si="4"/>
        <v>666462</v>
      </c>
      <c r="F120" s="161">
        <f t="shared" si="5"/>
        <v>0.11963928449294914</v>
      </c>
    </row>
    <row r="121" spans="1:6" ht="15.75" customHeight="1" x14ac:dyDescent="0.25">
      <c r="A121" s="147"/>
      <c r="B121" s="165" t="s">
        <v>250</v>
      </c>
      <c r="C121" s="158">
        <f>SUM(C103:C120)</f>
        <v>151455774</v>
      </c>
      <c r="D121" s="158">
        <f>SUM(D103:D120)</f>
        <v>164807532</v>
      </c>
      <c r="E121" s="158">
        <f t="shared" si="4"/>
        <v>13351758</v>
      </c>
      <c r="F121" s="159">
        <f t="shared" si="5"/>
        <v>8.815615045485159E-2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18680196</v>
      </c>
      <c r="D124" s="157">
        <v>19472860</v>
      </c>
      <c r="E124" s="157">
        <f t="shared" ref="E124:E130" si="6">D124-C124</f>
        <v>792664</v>
      </c>
      <c r="F124" s="161">
        <f t="shared" ref="F124:F130" si="7">IF(C124=0,0,E124/C124)</f>
        <v>4.2433387743897336E-2</v>
      </c>
    </row>
    <row r="125" spans="1:6" ht="15" customHeight="1" x14ac:dyDescent="0.2">
      <c r="A125" s="147">
        <v>2</v>
      </c>
      <c r="B125" s="169" t="s">
        <v>253</v>
      </c>
      <c r="C125" s="157">
        <v>6165989</v>
      </c>
      <c r="D125" s="157">
        <v>6267068</v>
      </c>
      <c r="E125" s="157">
        <f t="shared" si="6"/>
        <v>101079</v>
      </c>
      <c r="F125" s="161">
        <f t="shared" si="7"/>
        <v>1.6392990645945037E-2</v>
      </c>
    </row>
    <row r="126" spans="1:6" ht="15" customHeight="1" x14ac:dyDescent="0.2">
      <c r="A126" s="147">
        <v>3</v>
      </c>
      <c r="B126" s="169" t="s">
        <v>254</v>
      </c>
      <c r="C126" s="157">
        <v>2870523</v>
      </c>
      <c r="D126" s="157">
        <v>2889939</v>
      </c>
      <c r="E126" s="157">
        <f t="shared" si="6"/>
        <v>19416</v>
      </c>
      <c r="F126" s="161">
        <f t="shared" si="7"/>
        <v>6.7639242047529318E-3</v>
      </c>
    </row>
    <row r="127" spans="1:6" ht="15" customHeight="1" x14ac:dyDescent="0.2">
      <c r="A127" s="147">
        <v>4</v>
      </c>
      <c r="B127" s="169" t="s">
        <v>255</v>
      </c>
      <c r="C127" s="157">
        <v>3406834</v>
      </c>
      <c r="D127" s="157">
        <v>2864032</v>
      </c>
      <c r="E127" s="157">
        <f t="shared" si="6"/>
        <v>-542802</v>
      </c>
      <c r="F127" s="161">
        <f t="shared" si="7"/>
        <v>-0.15932739898685994</v>
      </c>
    </row>
    <row r="128" spans="1:6" ht="15" customHeight="1" x14ac:dyDescent="0.2">
      <c r="A128" s="147">
        <v>5</v>
      </c>
      <c r="B128" s="169" t="s">
        <v>256</v>
      </c>
      <c r="C128" s="157">
        <v>3216044</v>
      </c>
      <c r="D128" s="157">
        <v>4792555</v>
      </c>
      <c r="E128" s="157">
        <f t="shared" si="6"/>
        <v>1576511</v>
      </c>
      <c r="F128" s="161">
        <f t="shared" si="7"/>
        <v>0.49020193753568048</v>
      </c>
    </row>
    <row r="129" spans="1:6" ht="15" customHeight="1" x14ac:dyDescent="0.2">
      <c r="A129" s="147">
        <v>6</v>
      </c>
      <c r="B129" s="169" t="s">
        <v>257</v>
      </c>
      <c r="C129" s="157">
        <v>9998205</v>
      </c>
      <c r="D129" s="157">
        <v>9528742</v>
      </c>
      <c r="E129" s="157">
        <f t="shared" si="6"/>
        <v>-469463</v>
      </c>
      <c r="F129" s="161">
        <f t="shared" si="7"/>
        <v>-4.6954728373743086E-2</v>
      </c>
    </row>
    <row r="130" spans="1:6" ht="15.75" customHeight="1" x14ac:dyDescent="0.25">
      <c r="A130" s="147"/>
      <c r="B130" s="165" t="s">
        <v>258</v>
      </c>
      <c r="C130" s="158">
        <f>SUM(C124:C129)</f>
        <v>44337791</v>
      </c>
      <c r="D130" s="158">
        <f>SUM(D124:D129)</f>
        <v>45815196</v>
      </c>
      <c r="E130" s="158">
        <f t="shared" si="6"/>
        <v>1477405</v>
      </c>
      <c r="F130" s="159">
        <f t="shared" si="7"/>
        <v>3.3321574365308367E-2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20632893</v>
      </c>
      <c r="D133" s="157">
        <v>20283618</v>
      </c>
      <c r="E133" s="157">
        <f t="shared" ref="E133:E167" si="8">D133-C133</f>
        <v>-349275</v>
      </c>
      <c r="F133" s="161">
        <f t="shared" ref="F133:F167" si="9">IF(C133=0,0,E133/C133)</f>
        <v>-1.6928067237105333E-2</v>
      </c>
    </row>
    <row r="134" spans="1:6" ht="15" customHeight="1" x14ac:dyDescent="0.2">
      <c r="A134" s="147">
        <v>2</v>
      </c>
      <c r="B134" s="169" t="s">
        <v>261</v>
      </c>
      <c r="C134" s="157">
        <v>1992227</v>
      </c>
      <c r="D134" s="157">
        <v>1843386</v>
      </c>
      <c r="E134" s="157">
        <f t="shared" si="8"/>
        <v>-148841</v>
      </c>
      <c r="F134" s="161">
        <f t="shared" si="9"/>
        <v>-7.4710863772050079E-2</v>
      </c>
    </row>
    <row r="135" spans="1:6" ht="15" customHeight="1" x14ac:dyDescent="0.2">
      <c r="A135" s="147">
        <v>3</v>
      </c>
      <c r="B135" s="169" t="s">
        <v>262</v>
      </c>
      <c r="C135" s="157">
        <v>1326536</v>
      </c>
      <c r="D135" s="157">
        <v>1228068</v>
      </c>
      <c r="E135" s="157">
        <f t="shared" si="8"/>
        <v>-98468</v>
      </c>
      <c r="F135" s="161">
        <f t="shared" si="9"/>
        <v>-7.4229421591272313E-2</v>
      </c>
    </row>
    <row r="136" spans="1:6" ht="15" customHeight="1" x14ac:dyDescent="0.2">
      <c r="A136" s="147">
        <v>4</v>
      </c>
      <c r="B136" s="169" t="s">
        <v>263</v>
      </c>
      <c r="C136" s="157">
        <v>4325273</v>
      </c>
      <c r="D136" s="157">
        <v>4469857</v>
      </c>
      <c r="E136" s="157">
        <f t="shared" si="8"/>
        <v>144584</v>
      </c>
      <c r="F136" s="161">
        <f t="shared" si="9"/>
        <v>3.342771658575077E-2</v>
      </c>
    </row>
    <row r="137" spans="1:6" ht="15" customHeight="1" x14ac:dyDescent="0.2">
      <c r="A137" s="147">
        <v>5</v>
      </c>
      <c r="B137" s="169" t="s">
        <v>264</v>
      </c>
      <c r="C137" s="157">
        <v>10133542</v>
      </c>
      <c r="D137" s="157">
        <v>9515952</v>
      </c>
      <c r="E137" s="157">
        <f t="shared" si="8"/>
        <v>-617590</v>
      </c>
      <c r="F137" s="161">
        <f t="shared" si="9"/>
        <v>-6.0945126590485343E-2</v>
      </c>
    </row>
    <row r="138" spans="1:6" ht="15" customHeight="1" x14ac:dyDescent="0.2">
      <c r="A138" s="147">
        <v>6</v>
      </c>
      <c r="B138" s="169" t="s">
        <v>265</v>
      </c>
      <c r="C138" s="157">
        <v>1486425</v>
      </c>
      <c r="D138" s="157">
        <v>1531690</v>
      </c>
      <c r="E138" s="157">
        <f t="shared" si="8"/>
        <v>45265</v>
      </c>
      <c r="F138" s="161">
        <f t="shared" si="9"/>
        <v>3.0452259616193217E-2</v>
      </c>
    </row>
    <row r="139" spans="1:6" ht="15" customHeight="1" x14ac:dyDescent="0.2">
      <c r="A139" s="147">
        <v>7</v>
      </c>
      <c r="B139" s="169" t="s">
        <v>266</v>
      </c>
      <c r="C139" s="157">
        <v>3250175</v>
      </c>
      <c r="D139" s="157">
        <v>2968705</v>
      </c>
      <c r="E139" s="157">
        <f t="shared" si="8"/>
        <v>-281470</v>
      </c>
      <c r="F139" s="161">
        <f t="shared" si="9"/>
        <v>-8.6601490688962904E-2</v>
      </c>
    </row>
    <row r="140" spans="1:6" ht="15" customHeight="1" x14ac:dyDescent="0.2">
      <c r="A140" s="147">
        <v>8</v>
      </c>
      <c r="B140" s="169" t="s">
        <v>267</v>
      </c>
      <c r="C140" s="157">
        <v>1235643</v>
      </c>
      <c r="D140" s="157">
        <v>1470327</v>
      </c>
      <c r="E140" s="157">
        <f t="shared" si="8"/>
        <v>234684</v>
      </c>
      <c r="F140" s="161">
        <f t="shared" si="9"/>
        <v>0.18992864443856355</v>
      </c>
    </row>
    <row r="141" spans="1:6" ht="15" customHeight="1" x14ac:dyDescent="0.2">
      <c r="A141" s="147">
        <v>9</v>
      </c>
      <c r="B141" s="169" t="s">
        <v>268</v>
      </c>
      <c r="C141" s="157">
        <v>3514579</v>
      </c>
      <c r="D141" s="157">
        <v>3505065</v>
      </c>
      <c r="E141" s="157">
        <f t="shared" si="8"/>
        <v>-9514</v>
      </c>
      <c r="F141" s="161">
        <f t="shared" si="9"/>
        <v>-2.7070098580797303E-3</v>
      </c>
    </row>
    <row r="142" spans="1:6" ht="15" customHeight="1" x14ac:dyDescent="0.2">
      <c r="A142" s="147">
        <v>10</v>
      </c>
      <c r="B142" s="169" t="s">
        <v>269</v>
      </c>
      <c r="C142" s="157">
        <v>14113342</v>
      </c>
      <c r="D142" s="157">
        <v>14213116</v>
      </c>
      <c r="E142" s="157">
        <f t="shared" si="8"/>
        <v>99774</v>
      </c>
      <c r="F142" s="161">
        <f t="shared" si="9"/>
        <v>7.0694807792512932E-3</v>
      </c>
    </row>
    <row r="143" spans="1:6" ht="15" customHeight="1" x14ac:dyDescent="0.2">
      <c r="A143" s="147">
        <v>11</v>
      </c>
      <c r="B143" s="169" t="s">
        <v>270</v>
      </c>
      <c r="C143" s="157">
        <v>2234966</v>
      </c>
      <c r="D143" s="157">
        <v>2237665</v>
      </c>
      <c r="E143" s="157">
        <f t="shared" si="8"/>
        <v>2699</v>
      </c>
      <c r="F143" s="161">
        <f t="shared" si="9"/>
        <v>1.2076246350056332E-3</v>
      </c>
    </row>
    <row r="144" spans="1:6" ht="15" customHeight="1" x14ac:dyDescent="0.2">
      <c r="A144" s="147">
        <v>12</v>
      </c>
      <c r="B144" s="169" t="s">
        <v>271</v>
      </c>
      <c r="C144" s="157">
        <v>2032699</v>
      </c>
      <c r="D144" s="157">
        <v>2017858</v>
      </c>
      <c r="E144" s="157">
        <f t="shared" si="8"/>
        <v>-14841</v>
      </c>
      <c r="F144" s="161">
        <f t="shared" si="9"/>
        <v>-7.3011301722488179E-3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2386016</v>
      </c>
      <c r="D146" s="157">
        <v>2480879</v>
      </c>
      <c r="E146" s="157">
        <f t="shared" si="8"/>
        <v>94863</v>
      </c>
      <c r="F146" s="161">
        <f t="shared" si="9"/>
        <v>3.9757906066011289E-2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2943366</v>
      </c>
      <c r="D150" s="157">
        <v>2796457</v>
      </c>
      <c r="E150" s="157">
        <f t="shared" si="8"/>
        <v>-146909</v>
      </c>
      <c r="F150" s="161">
        <f t="shared" si="9"/>
        <v>-4.9911903582497044E-2</v>
      </c>
    </row>
    <row r="151" spans="1:6" ht="15" customHeight="1" x14ac:dyDescent="0.2">
      <c r="A151" s="147">
        <v>19</v>
      </c>
      <c r="B151" s="169" t="s">
        <v>278</v>
      </c>
      <c r="C151" s="157">
        <v>355224</v>
      </c>
      <c r="D151" s="157">
        <v>362910</v>
      </c>
      <c r="E151" s="157">
        <f t="shared" si="8"/>
        <v>7686</v>
      </c>
      <c r="F151" s="161">
        <f t="shared" si="9"/>
        <v>2.1637051550570906E-2</v>
      </c>
    </row>
    <row r="152" spans="1:6" ht="15" customHeight="1" x14ac:dyDescent="0.2">
      <c r="A152" s="147">
        <v>20</v>
      </c>
      <c r="B152" s="169" t="s">
        <v>279</v>
      </c>
      <c r="C152" s="157">
        <v>600933</v>
      </c>
      <c r="D152" s="157">
        <v>540858</v>
      </c>
      <c r="E152" s="157">
        <f t="shared" si="8"/>
        <v>-60075</v>
      </c>
      <c r="F152" s="161">
        <f t="shared" si="9"/>
        <v>-9.9969547353864735E-2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3792706</v>
      </c>
      <c r="D154" s="157">
        <v>3580515</v>
      </c>
      <c r="E154" s="157">
        <f t="shared" si="8"/>
        <v>-212191</v>
      </c>
      <c r="F154" s="161">
        <f t="shared" si="9"/>
        <v>-5.5947125877935176E-2</v>
      </c>
    </row>
    <row r="155" spans="1:6" ht="15" customHeight="1" x14ac:dyDescent="0.2">
      <c r="A155" s="147">
        <v>23</v>
      </c>
      <c r="B155" s="169" t="s">
        <v>282</v>
      </c>
      <c r="C155" s="157">
        <v>3086687</v>
      </c>
      <c r="D155" s="157">
        <v>3003401</v>
      </c>
      <c r="E155" s="157">
        <f t="shared" si="8"/>
        <v>-83286</v>
      </c>
      <c r="F155" s="161">
        <f t="shared" si="9"/>
        <v>-2.6982327654213076E-2</v>
      </c>
    </row>
    <row r="156" spans="1:6" ht="15" customHeight="1" x14ac:dyDescent="0.2">
      <c r="A156" s="147">
        <v>24</v>
      </c>
      <c r="B156" s="169" t="s">
        <v>283</v>
      </c>
      <c r="C156" s="157">
        <v>21261153</v>
      </c>
      <c r="D156" s="157">
        <v>20577817</v>
      </c>
      <c r="E156" s="157">
        <f t="shared" si="8"/>
        <v>-683336</v>
      </c>
      <c r="F156" s="161">
        <f t="shared" si="9"/>
        <v>-3.214011958805809E-2</v>
      </c>
    </row>
    <row r="157" spans="1:6" ht="15" customHeight="1" x14ac:dyDescent="0.2">
      <c r="A157" s="147">
        <v>25</v>
      </c>
      <c r="B157" s="169" t="s">
        <v>284</v>
      </c>
      <c r="C157" s="157">
        <v>1167093</v>
      </c>
      <c r="D157" s="157">
        <v>1138696</v>
      </c>
      <c r="E157" s="157">
        <f t="shared" si="8"/>
        <v>-28397</v>
      </c>
      <c r="F157" s="161">
        <f t="shared" si="9"/>
        <v>-2.4331394327615708E-2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3231243</v>
      </c>
      <c r="D160" s="157">
        <v>3120804</v>
      </c>
      <c r="E160" s="157">
        <f t="shared" si="8"/>
        <v>-110439</v>
      </c>
      <c r="F160" s="161">
        <f t="shared" si="9"/>
        <v>-3.4178487968871421E-2</v>
      </c>
    </row>
    <row r="161" spans="1:6" ht="15" customHeight="1" x14ac:dyDescent="0.2">
      <c r="A161" s="147">
        <v>29</v>
      </c>
      <c r="B161" s="169" t="s">
        <v>288</v>
      </c>
      <c r="C161" s="157">
        <v>788913</v>
      </c>
      <c r="D161" s="157">
        <v>637299</v>
      </c>
      <c r="E161" s="157">
        <f t="shared" si="8"/>
        <v>-151614</v>
      </c>
      <c r="F161" s="161">
        <f t="shared" si="9"/>
        <v>-0.19218088686585214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4264791</v>
      </c>
      <c r="D163" s="157">
        <v>4901693</v>
      </c>
      <c r="E163" s="157">
        <f t="shared" si="8"/>
        <v>636902</v>
      </c>
      <c r="F163" s="161">
        <f t="shared" si="9"/>
        <v>0.14933955731945597</v>
      </c>
    </row>
    <row r="164" spans="1:6" ht="15" customHeight="1" x14ac:dyDescent="0.2">
      <c r="A164" s="147">
        <v>32</v>
      </c>
      <c r="B164" s="169" t="s">
        <v>291</v>
      </c>
      <c r="C164" s="157">
        <v>2534558</v>
      </c>
      <c r="D164" s="157">
        <v>3661352</v>
      </c>
      <c r="E164" s="157">
        <f t="shared" si="8"/>
        <v>1126794</v>
      </c>
      <c r="F164" s="161">
        <f t="shared" si="9"/>
        <v>0.44457218970723889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1714635</v>
      </c>
      <c r="D166" s="157">
        <v>2099641</v>
      </c>
      <c r="E166" s="157">
        <f t="shared" si="8"/>
        <v>385006</v>
      </c>
      <c r="F166" s="161">
        <f t="shared" si="9"/>
        <v>0.22454108308765422</v>
      </c>
    </row>
    <row r="167" spans="1:6" ht="15.75" customHeight="1" x14ac:dyDescent="0.25">
      <c r="A167" s="147"/>
      <c r="B167" s="165" t="s">
        <v>294</v>
      </c>
      <c r="C167" s="158">
        <f>SUM(C133:C166)</f>
        <v>114405618</v>
      </c>
      <c r="D167" s="158">
        <f>SUM(D133:D166)</f>
        <v>114187629</v>
      </c>
      <c r="E167" s="158">
        <f t="shared" si="8"/>
        <v>-217989</v>
      </c>
      <c r="F167" s="159">
        <f t="shared" si="9"/>
        <v>-1.9054046803890347E-3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21059786</v>
      </c>
      <c r="D170" s="157">
        <v>19786081</v>
      </c>
      <c r="E170" s="157">
        <f t="shared" ref="E170:E183" si="10">D170-C170</f>
        <v>-1273705</v>
      </c>
      <c r="F170" s="161">
        <f t="shared" ref="F170:F183" si="11">IF(C170=0,0,E170/C170)</f>
        <v>-6.0480434131666864E-2</v>
      </c>
    </row>
    <row r="171" spans="1:6" ht="15" customHeight="1" x14ac:dyDescent="0.2">
      <c r="A171" s="147">
        <v>2</v>
      </c>
      <c r="B171" s="169" t="s">
        <v>297</v>
      </c>
      <c r="C171" s="157">
        <v>8105706</v>
      </c>
      <c r="D171" s="157">
        <v>7984544</v>
      </c>
      <c r="E171" s="157">
        <f t="shared" si="10"/>
        <v>-121162</v>
      </c>
      <c r="F171" s="161">
        <f t="shared" si="11"/>
        <v>-1.4947741751304575E-2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2292567</v>
      </c>
      <c r="D173" s="157">
        <v>2158352</v>
      </c>
      <c r="E173" s="157">
        <f t="shared" si="10"/>
        <v>-134215</v>
      </c>
      <c r="F173" s="161">
        <f t="shared" si="11"/>
        <v>-5.8543545292242274E-2</v>
      </c>
    </row>
    <row r="174" spans="1:6" ht="15" customHeight="1" x14ac:dyDescent="0.2">
      <c r="A174" s="147">
        <v>5</v>
      </c>
      <c r="B174" s="169" t="s">
        <v>300</v>
      </c>
      <c r="C174" s="157">
        <v>1305087</v>
      </c>
      <c r="D174" s="157">
        <v>1224380</v>
      </c>
      <c r="E174" s="157">
        <f t="shared" si="10"/>
        <v>-80707</v>
      </c>
      <c r="F174" s="161">
        <f t="shared" si="11"/>
        <v>-6.1840321756327359E-2</v>
      </c>
    </row>
    <row r="175" spans="1:6" ht="15" customHeight="1" x14ac:dyDescent="0.2">
      <c r="A175" s="147">
        <v>6</v>
      </c>
      <c r="B175" s="169" t="s">
        <v>301</v>
      </c>
      <c r="C175" s="157">
        <v>2546549</v>
      </c>
      <c r="D175" s="157">
        <v>2420322</v>
      </c>
      <c r="E175" s="157">
        <f t="shared" si="10"/>
        <v>-126227</v>
      </c>
      <c r="F175" s="161">
        <f t="shared" si="11"/>
        <v>-4.9567866159261023E-2</v>
      </c>
    </row>
    <row r="176" spans="1:6" ht="15" customHeight="1" x14ac:dyDescent="0.2">
      <c r="A176" s="147">
        <v>7</v>
      </c>
      <c r="B176" s="169" t="s">
        <v>302</v>
      </c>
      <c r="C176" s="157">
        <v>849717</v>
      </c>
      <c r="D176" s="157">
        <v>844091</v>
      </c>
      <c r="E176" s="157">
        <f t="shared" si="10"/>
        <v>-5626</v>
      </c>
      <c r="F176" s="161">
        <f t="shared" si="11"/>
        <v>-6.6210279422442998E-3</v>
      </c>
    </row>
    <row r="177" spans="1:6" ht="15" customHeight="1" x14ac:dyDescent="0.2">
      <c r="A177" s="147">
        <v>8</v>
      </c>
      <c r="B177" s="169" t="s">
        <v>303</v>
      </c>
      <c r="C177" s="157">
        <v>1852066</v>
      </c>
      <c r="D177" s="157">
        <v>1694894</v>
      </c>
      <c r="E177" s="157">
        <f t="shared" si="10"/>
        <v>-157172</v>
      </c>
      <c r="F177" s="161">
        <f t="shared" si="11"/>
        <v>-8.4863066434997456E-2</v>
      </c>
    </row>
    <row r="178" spans="1:6" ht="15" customHeight="1" x14ac:dyDescent="0.2">
      <c r="A178" s="147">
        <v>9</v>
      </c>
      <c r="B178" s="169" t="s">
        <v>304</v>
      </c>
      <c r="C178" s="157">
        <v>3122162</v>
      </c>
      <c r="D178" s="157">
        <v>2791750</v>
      </c>
      <c r="E178" s="157">
        <f t="shared" si="10"/>
        <v>-330412</v>
      </c>
      <c r="F178" s="161">
        <f t="shared" si="11"/>
        <v>-0.10582794870990038</v>
      </c>
    </row>
    <row r="179" spans="1:6" ht="15" customHeight="1" x14ac:dyDescent="0.2">
      <c r="A179" s="147">
        <v>10</v>
      </c>
      <c r="B179" s="169" t="s">
        <v>305</v>
      </c>
      <c r="C179" s="157">
        <v>6275201</v>
      </c>
      <c r="D179" s="157">
        <v>5672890</v>
      </c>
      <c r="E179" s="157">
        <f t="shared" si="10"/>
        <v>-602311</v>
      </c>
      <c r="F179" s="161">
        <f t="shared" si="11"/>
        <v>-9.5982742226105588E-2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4396006</v>
      </c>
      <c r="D181" s="157">
        <v>4173915</v>
      </c>
      <c r="E181" s="157">
        <f t="shared" si="10"/>
        <v>-222091</v>
      </c>
      <c r="F181" s="161">
        <f t="shared" si="11"/>
        <v>-5.0521086640919054E-2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51804847</v>
      </c>
      <c r="D183" s="158">
        <f>SUM(D170:D182)</f>
        <v>48751219</v>
      </c>
      <c r="E183" s="158">
        <f t="shared" si="10"/>
        <v>-3053628</v>
      </c>
      <c r="F183" s="159">
        <f t="shared" si="11"/>
        <v>-5.8944831938216126E-2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27517464</v>
      </c>
      <c r="D186" s="157">
        <v>3885631</v>
      </c>
      <c r="E186" s="157">
        <f>D186-C186</f>
        <v>-23631833</v>
      </c>
      <c r="F186" s="161">
        <f>IF(C186=0,0,E186/C186)</f>
        <v>-0.85879400078437462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389521494</v>
      </c>
      <c r="D188" s="158">
        <f>+D186+D183+D167+D130+D121</f>
        <v>377447207</v>
      </c>
      <c r="E188" s="158">
        <f>D188-C188</f>
        <v>-12074287</v>
      </c>
      <c r="F188" s="159">
        <f>IF(C188=0,0,E188/C188)</f>
        <v>-3.09977425790013E-2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/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383316464</v>
      </c>
      <c r="D11" s="183">
        <v>393528986</v>
      </c>
      <c r="E11" s="76">
        <v>371907491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9281147</v>
      </c>
      <c r="D12" s="185">
        <v>15421287</v>
      </c>
      <c r="E12" s="185">
        <v>19118992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392597611</v>
      </c>
      <c r="D13" s="76">
        <f>+D11+D12</f>
        <v>408950273</v>
      </c>
      <c r="E13" s="76">
        <f>+E11+E12</f>
        <v>391026483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368573386</v>
      </c>
      <c r="D14" s="185">
        <v>389521494</v>
      </c>
      <c r="E14" s="185">
        <v>377447207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24024225</v>
      </c>
      <c r="D15" s="76">
        <f>+D13-D14</f>
        <v>19428779</v>
      </c>
      <c r="E15" s="76">
        <f>+E13-E14</f>
        <v>13579276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26025</v>
      </c>
      <c r="D16" s="185">
        <v>9965362</v>
      </c>
      <c r="E16" s="185">
        <v>11638482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24050250</v>
      </c>
      <c r="D17" s="76">
        <f>D15+D16</f>
        <v>29394141</v>
      </c>
      <c r="E17" s="76">
        <f>E15+E16</f>
        <v>25217758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6.118894227753522E-2</v>
      </c>
      <c r="D20" s="189">
        <f>IF(+D27=0,0,+D24/+D27)</f>
        <v>4.637873924185236E-2</v>
      </c>
      <c r="E20" s="189">
        <f>IF(+E27=0,0,+E24/+E27)</f>
        <v>3.3723510064999074E-2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6.62848530086966E-5</v>
      </c>
      <c r="D21" s="189">
        <f>IF(D27=0,0,+D26/D27)</f>
        <v>2.3788469962454373E-2</v>
      </c>
      <c r="E21" s="189">
        <f>IF(E27=0,0,+E26/E27)</f>
        <v>2.8903637047240999E-2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6.1255227130543918E-2</v>
      </c>
      <c r="D22" s="189">
        <f>IF(D27=0,0,+D28/D27)</f>
        <v>7.0167209204306732E-2</v>
      </c>
      <c r="E22" s="189">
        <f>IF(E27=0,0,+E28/E27)</f>
        <v>6.2627147112240072E-2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24024225</v>
      </c>
      <c r="D24" s="76">
        <f>+D15</f>
        <v>19428779</v>
      </c>
      <c r="E24" s="76">
        <f>+E15</f>
        <v>13579276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392597611</v>
      </c>
      <c r="D25" s="76">
        <f>+D13</f>
        <v>408950273</v>
      </c>
      <c r="E25" s="76">
        <f>+E13</f>
        <v>391026483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26025</v>
      </c>
      <c r="D26" s="76">
        <f>+D16</f>
        <v>9965362</v>
      </c>
      <c r="E26" s="76">
        <f>+E16</f>
        <v>11638482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392623636</v>
      </c>
      <c r="D27" s="76">
        <f>+D25+D26</f>
        <v>418915635</v>
      </c>
      <c r="E27" s="76">
        <f>+E25+E26</f>
        <v>402664965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24050250</v>
      </c>
      <c r="D28" s="76">
        <f>+D17</f>
        <v>29394141</v>
      </c>
      <c r="E28" s="76">
        <f>+E17</f>
        <v>25217758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128627309</v>
      </c>
      <c r="D31" s="76">
        <v>93203114</v>
      </c>
      <c r="E31" s="76">
        <v>194567882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165443112</v>
      </c>
      <c r="D32" s="76">
        <v>135010987</v>
      </c>
      <c r="E32" s="76">
        <v>241711563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31887972</v>
      </c>
      <c r="D33" s="76">
        <f>+D32-C32</f>
        <v>-30432125</v>
      </c>
      <c r="E33" s="76">
        <f>+E32-D32</f>
        <v>106700576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1.2386999999999999</v>
      </c>
      <c r="D34" s="193">
        <f>IF(C32=0,0,+D33/C32)</f>
        <v>-0.18394313690134165</v>
      </c>
      <c r="E34" s="193">
        <f>IF(D32=0,0,+E33/D32)</f>
        <v>0.79031031748549474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0.42702133759689431</v>
      </c>
      <c r="D38" s="195">
        <f>IF((D40+D41)=0,0,+D39/(D40+D41))</f>
        <v>0.43822457320738761</v>
      </c>
      <c r="E38" s="195">
        <f>IF((E40+E41)=0,0,+E39/(E40+E41))</f>
        <v>0.41218039593722644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368573386</v>
      </c>
      <c r="D39" s="76">
        <v>389521494</v>
      </c>
      <c r="E39" s="196">
        <v>377447207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841847719</v>
      </c>
      <c r="D40" s="76">
        <v>860748119</v>
      </c>
      <c r="E40" s="196">
        <v>883915401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21278672</v>
      </c>
      <c r="D41" s="76">
        <v>28114619</v>
      </c>
      <c r="E41" s="196">
        <v>31817639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1.5098101190591817</v>
      </c>
      <c r="D43" s="197">
        <f>IF(D38=0,0,IF((D46-D47)=0,0,((+D44-D45)/(D46-D47)/D38)))</f>
        <v>1.4258632386479215</v>
      </c>
      <c r="E43" s="197">
        <f>IF(E38=0,0,IF((E46-E47)=0,0,((+E44-E45)/(E46-E47)/E38)))</f>
        <v>1.512132936787896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174807350</v>
      </c>
      <c r="D44" s="76">
        <v>168114296</v>
      </c>
      <c r="E44" s="196">
        <v>160605595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3532090</v>
      </c>
      <c r="D45" s="76">
        <v>4546615</v>
      </c>
      <c r="E45" s="196">
        <v>1278286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283229097</v>
      </c>
      <c r="D46" s="76">
        <v>284837307</v>
      </c>
      <c r="E46" s="196">
        <v>275411417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17571202</v>
      </c>
      <c r="D47" s="76">
        <v>23065484</v>
      </c>
      <c r="E47" s="76">
        <v>19780772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0.83747003651261531</v>
      </c>
      <c r="D49" s="198">
        <f>IF(D38=0,0,IF(D51=0,0,(D50/D51)/D38))</f>
        <v>0.83107884922746367</v>
      </c>
      <c r="E49" s="198">
        <f>IF(E38=0,0,IF(E51=0,0,(E50/E51)/E38))</f>
        <v>0.84985448423829035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137749529</v>
      </c>
      <c r="D50" s="199">
        <v>140674134</v>
      </c>
      <c r="E50" s="199">
        <v>140693224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385186687</v>
      </c>
      <c r="D51" s="199">
        <v>386256049</v>
      </c>
      <c r="E51" s="199">
        <v>401643996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0.80754282333383487</v>
      </c>
      <c r="D53" s="198">
        <f>IF(D38=0,0,IF(D55=0,0,(D54/D55)/D38))</f>
        <v>0.67819279485166661</v>
      </c>
      <c r="E53" s="198">
        <f>IF(E38=0,0,IF(E55=0,0,(E54/E55)/E38))</f>
        <v>0.69884951971712028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59380843</v>
      </c>
      <c r="D54" s="199">
        <v>55954658</v>
      </c>
      <c r="E54" s="199">
        <v>59259456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172199236</v>
      </c>
      <c r="D55" s="199">
        <v>188272265</v>
      </c>
      <c r="E55" s="199">
        <v>205724804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7858309.2725806711</v>
      </c>
      <c r="D57" s="88">
        <f>+D60*D38</f>
        <v>10554538.492272666</v>
      </c>
      <c r="E57" s="88">
        <f>+E60*E38</f>
        <v>10738539.97715652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17262086</v>
      </c>
      <c r="D58" s="199">
        <v>6791581</v>
      </c>
      <c r="E58" s="199">
        <v>16310702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1140529</v>
      </c>
      <c r="D59" s="199">
        <v>17293190</v>
      </c>
      <c r="E59" s="199">
        <v>9742308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18402615</v>
      </c>
      <c r="D60" s="76">
        <v>24084771</v>
      </c>
      <c r="E60" s="201">
        <v>26053010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2.13208809183544E-2</v>
      </c>
      <c r="D62" s="202">
        <f>IF(D63=0,0,+D57/D63)</f>
        <v>2.7096164537386648E-2</v>
      </c>
      <c r="E62" s="202">
        <f>IF(E63=0,0,+E57/E63)</f>
        <v>2.8450442281737483E-2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368573386</v>
      </c>
      <c r="D63" s="199">
        <v>389521494</v>
      </c>
      <c r="E63" s="199">
        <v>377447207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0.9983919972423656</v>
      </c>
      <c r="D67" s="203">
        <f>IF(D69=0,0,D68/D69)</f>
        <v>1.1913256909562158</v>
      </c>
      <c r="E67" s="203">
        <f>IF(E69=0,0,E68/E69)</f>
        <v>1.3865851007724985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77628570</v>
      </c>
      <c r="D68" s="204">
        <v>92118717</v>
      </c>
      <c r="E68" s="204">
        <v>90990310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77753598</v>
      </c>
      <c r="D69" s="204">
        <v>77324545</v>
      </c>
      <c r="E69" s="204">
        <v>65621872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17.911979346618644</v>
      </c>
      <c r="D71" s="203">
        <f>IF((D77/365)=0,0,+D74/(D77/365))</f>
        <v>26.774670031563684</v>
      </c>
      <c r="E71" s="203">
        <f>IF((E77/365)=0,0,+E74/(E77/365))</f>
        <v>24.195073675801421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17170654</v>
      </c>
      <c r="D72" s="183">
        <v>27153802</v>
      </c>
      <c r="E72" s="183">
        <v>23728929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17170654</v>
      </c>
      <c r="D74" s="204">
        <f>+D72+D73</f>
        <v>27153802</v>
      </c>
      <c r="E74" s="204">
        <f>+E72+E73</f>
        <v>23728929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368573386</v>
      </c>
      <c r="D75" s="204">
        <f>+D14</f>
        <v>389521494</v>
      </c>
      <c r="E75" s="204">
        <f>+E14</f>
        <v>377447207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18679687</v>
      </c>
      <c r="D76" s="204">
        <v>19353058</v>
      </c>
      <c r="E76" s="204">
        <v>19479333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349893699</v>
      </c>
      <c r="D77" s="204">
        <f>+D75-D76</f>
        <v>370168436</v>
      </c>
      <c r="E77" s="204">
        <f>+E75-E76</f>
        <v>357967874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23.906774038278723</v>
      </c>
      <c r="D79" s="203">
        <f>IF((D84/365)=0,0,+D83/(D84/365))</f>
        <v>27.051787831964173</v>
      </c>
      <c r="E79" s="203">
        <f>IF((E84/365)=0,0,+E83/(E84/365))</f>
        <v>32.679126527731057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48945018</v>
      </c>
      <c r="D80" s="212">
        <v>48473300</v>
      </c>
      <c r="E80" s="212">
        <v>45274226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23838552</v>
      </c>
      <c r="D82" s="212">
        <v>19307101</v>
      </c>
      <c r="E82" s="212">
        <v>11976659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25106466</v>
      </c>
      <c r="D83" s="212">
        <f>+D80+D81-D82</f>
        <v>29166199</v>
      </c>
      <c r="E83" s="212">
        <f>+E80+E81-E82</f>
        <v>33297567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383316464</v>
      </c>
      <c r="D84" s="204">
        <f>+D11</f>
        <v>393528986</v>
      </c>
      <c r="E84" s="204">
        <f>+E11</f>
        <v>371907491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81.110529715483665</v>
      </c>
      <c r="D86" s="203">
        <f>IF((D90/365)=0,0,+D87/(D90/365))</f>
        <v>76.24490956057636</v>
      </c>
      <c r="E86" s="203">
        <f>IF((E90/365)=0,0,+E87/(E90/365))</f>
        <v>66.910985648952405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77753598</v>
      </c>
      <c r="D87" s="76">
        <f>+D69</f>
        <v>77324545</v>
      </c>
      <c r="E87" s="76">
        <f>+E69</f>
        <v>65621872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368573386</v>
      </c>
      <c r="D88" s="76">
        <f t="shared" si="0"/>
        <v>389521494</v>
      </c>
      <c r="E88" s="76">
        <f t="shared" si="0"/>
        <v>377447207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18679687</v>
      </c>
      <c r="D89" s="201">
        <f t="shared" si="0"/>
        <v>19353058</v>
      </c>
      <c r="E89" s="201">
        <f t="shared" si="0"/>
        <v>19479333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349893699</v>
      </c>
      <c r="D90" s="76">
        <f>+D88-D89</f>
        <v>370168436</v>
      </c>
      <c r="E90" s="76">
        <f>+E88-E89</f>
        <v>357967874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44.281694079220351</v>
      </c>
      <c r="D94" s="214">
        <f>IF(D96=0,0,(D95/D96)*100)</f>
        <v>33.767573331679543</v>
      </c>
      <c r="E94" s="214">
        <f>IF(E96=0,0,(E95/E96)*100)</f>
        <v>56.083668050036309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165443112</v>
      </c>
      <c r="D95" s="76">
        <f>+D32</f>
        <v>135010987</v>
      </c>
      <c r="E95" s="76">
        <f>+E32</f>
        <v>241711563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373615137</v>
      </c>
      <c r="D96" s="76">
        <v>399824369</v>
      </c>
      <c r="E96" s="76">
        <v>430983870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52.497673568247315</v>
      </c>
      <c r="D98" s="214">
        <f>IF(D104=0,0,(D101/D104)*100)</f>
        <v>61.94660427071593</v>
      </c>
      <c r="E98" s="214">
        <f>IF(E104=0,0,(E101/E104)*100)</f>
        <v>67.441990718985807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24050250</v>
      </c>
      <c r="D99" s="76">
        <f>+D28</f>
        <v>29394141</v>
      </c>
      <c r="E99" s="76">
        <f>+E28</f>
        <v>25217758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18679687</v>
      </c>
      <c r="D100" s="201">
        <f>+D76</f>
        <v>19353058</v>
      </c>
      <c r="E100" s="201">
        <f>+E76</f>
        <v>19479333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42729937</v>
      </c>
      <c r="D101" s="76">
        <f>+D99+D100</f>
        <v>48747199</v>
      </c>
      <c r="E101" s="76">
        <f>+E99+E100</f>
        <v>44697091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77753598</v>
      </c>
      <c r="D102" s="204">
        <f>+D69</f>
        <v>77324545</v>
      </c>
      <c r="E102" s="204">
        <f>+E69</f>
        <v>65621872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3640365</v>
      </c>
      <c r="D103" s="216">
        <v>1367741</v>
      </c>
      <c r="E103" s="216">
        <v>652997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81393963</v>
      </c>
      <c r="D104" s="204">
        <f>+D102+D103</f>
        <v>78692286</v>
      </c>
      <c r="E104" s="204">
        <f>+E102+E103</f>
        <v>66274869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2.1529986634944818</v>
      </c>
      <c r="D106" s="214">
        <f>IF(D109=0,0,(D107/D109)*100)</f>
        <v>1.0028990738203689</v>
      </c>
      <c r="E106" s="214">
        <f>IF(E109=0,0,(E107/E109)*100)</f>
        <v>0.2694275928790909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3640365</v>
      </c>
      <c r="D107" s="204">
        <f>+D103</f>
        <v>1367741</v>
      </c>
      <c r="E107" s="204">
        <f>+E103</f>
        <v>652997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165443112</v>
      </c>
      <c r="D108" s="204">
        <f>+D32</f>
        <v>135010987</v>
      </c>
      <c r="E108" s="204">
        <f>+E32</f>
        <v>241711563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169083477</v>
      </c>
      <c r="D109" s="204">
        <f>+D107+D108</f>
        <v>136378728</v>
      </c>
      <c r="E109" s="204">
        <f>+E107+E108</f>
        <v>242364560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9.2171994715145722</v>
      </c>
      <c r="D111" s="214">
        <f>IF((+D113+D115)=0,0,((+D112+D113+D114)/(+D113+D115)))</f>
        <v>10.783066360485439</v>
      </c>
      <c r="E111" s="214">
        <f>IF((+E113+E115)=0,0,((+E112+E113+E114)/(+E113+E115)))</f>
        <v>12.404667421232473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24050250</v>
      </c>
      <c r="D112" s="76">
        <f>+D17</f>
        <v>29394141</v>
      </c>
      <c r="E112" s="76">
        <f>+E17</f>
        <v>25217758</v>
      </c>
    </row>
    <row r="113" spans="1:8" ht="24" customHeight="1" x14ac:dyDescent="0.2">
      <c r="A113" s="85">
        <v>17</v>
      </c>
      <c r="B113" s="75" t="s">
        <v>88</v>
      </c>
      <c r="C113" s="218">
        <v>837138</v>
      </c>
      <c r="D113" s="76">
        <v>1957216</v>
      </c>
      <c r="E113" s="76">
        <v>1563598</v>
      </c>
    </row>
    <row r="114" spans="1:8" ht="24" customHeight="1" x14ac:dyDescent="0.2">
      <c r="A114" s="85">
        <v>18</v>
      </c>
      <c r="B114" s="75" t="s">
        <v>374</v>
      </c>
      <c r="C114" s="218">
        <v>18679687</v>
      </c>
      <c r="D114" s="76">
        <v>19353058</v>
      </c>
      <c r="E114" s="76">
        <v>19479333</v>
      </c>
    </row>
    <row r="115" spans="1:8" ht="24" customHeight="1" x14ac:dyDescent="0.2">
      <c r="A115" s="85">
        <v>19</v>
      </c>
      <c r="B115" s="75" t="s">
        <v>104</v>
      </c>
      <c r="C115" s="218">
        <v>3889577</v>
      </c>
      <c r="D115" s="76">
        <v>2745010</v>
      </c>
      <c r="E115" s="76">
        <v>2165699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13.933579508050643</v>
      </c>
      <c r="D119" s="214">
        <f>IF(+D121=0,0,(+D120)/(+D121))</f>
        <v>14.190666818649538</v>
      </c>
      <c r="E119" s="214">
        <f>IF(+E121=0,0,(+E120)/(+E121))</f>
        <v>11.852035488073437</v>
      </c>
    </row>
    <row r="120" spans="1:8" ht="24" customHeight="1" x14ac:dyDescent="0.2">
      <c r="A120" s="85">
        <v>21</v>
      </c>
      <c r="B120" s="75" t="s">
        <v>378</v>
      </c>
      <c r="C120" s="218">
        <v>260274904</v>
      </c>
      <c r="D120" s="218">
        <v>274632798</v>
      </c>
      <c r="E120" s="218">
        <v>230869746</v>
      </c>
    </row>
    <row r="121" spans="1:8" ht="24" customHeight="1" x14ac:dyDescent="0.2">
      <c r="A121" s="85">
        <v>22</v>
      </c>
      <c r="B121" s="75" t="s">
        <v>374</v>
      </c>
      <c r="C121" s="218">
        <v>18679687</v>
      </c>
      <c r="D121" s="218">
        <v>19353058</v>
      </c>
      <c r="E121" s="218">
        <v>19479333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83137</v>
      </c>
      <c r="D124" s="218">
        <v>76771</v>
      </c>
      <c r="E124" s="218">
        <v>75467</v>
      </c>
    </row>
    <row r="125" spans="1:8" ht="24" customHeight="1" x14ac:dyDescent="0.2">
      <c r="A125" s="85">
        <v>2</v>
      </c>
      <c r="B125" s="75" t="s">
        <v>381</v>
      </c>
      <c r="C125" s="218">
        <v>20546</v>
      </c>
      <c r="D125" s="218">
        <v>18252</v>
      </c>
      <c r="E125" s="218">
        <v>17907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4.0463837243259029</v>
      </c>
      <c r="D126" s="219">
        <f>IF(D125=0,0,D124/D125)</f>
        <v>4.2061691869384177</v>
      </c>
      <c r="E126" s="219">
        <f>IF(E125=0,0,E124/E125)</f>
        <v>4.2143854358630701</v>
      </c>
    </row>
    <row r="127" spans="1:8" ht="24" customHeight="1" x14ac:dyDescent="0.2">
      <c r="A127" s="85">
        <v>4</v>
      </c>
      <c r="B127" s="75" t="s">
        <v>383</v>
      </c>
      <c r="C127" s="218">
        <v>356</v>
      </c>
      <c r="D127" s="218">
        <v>356</v>
      </c>
      <c r="E127" s="218">
        <v>304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383</v>
      </c>
      <c r="E128" s="218">
        <v>373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383</v>
      </c>
      <c r="D129" s="218">
        <v>446</v>
      </c>
      <c r="E129" s="218">
        <v>446</v>
      </c>
    </row>
    <row r="130" spans="1:7" ht="24" customHeight="1" x14ac:dyDescent="0.2">
      <c r="A130" s="85">
        <v>7</v>
      </c>
      <c r="B130" s="75" t="s">
        <v>386</v>
      </c>
      <c r="C130" s="193">
        <v>0.63980000000000004</v>
      </c>
      <c r="D130" s="193">
        <v>0.59079999999999999</v>
      </c>
      <c r="E130" s="193">
        <v>0.68010000000000004</v>
      </c>
    </row>
    <row r="131" spans="1:7" ht="24" customHeight="1" x14ac:dyDescent="0.2">
      <c r="A131" s="85">
        <v>8</v>
      </c>
      <c r="B131" s="75" t="s">
        <v>387</v>
      </c>
      <c r="C131" s="193">
        <v>0.59470000000000001</v>
      </c>
      <c r="D131" s="193">
        <v>0.54910000000000003</v>
      </c>
      <c r="E131" s="193">
        <v>0.55430000000000001</v>
      </c>
    </row>
    <row r="132" spans="1:7" ht="24" customHeight="1" x14ac:dyDescent="0.2">
      <c r="A132" s="85">
        <v>9</v>
      </c>
      <c r="B132" s="75" t="s">
        <v>388</v>
      </c>
      <c r="C132" s="219">
        <v>2172</v>
      </c>
      <c r="D132" s="219">
        <v>2299.5</v>
      </c>
      <c r="E132" s="219">
        <v>2272.9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0.31556526079985731</v>
      </c>
      <c r="D135" s="227">
        <f>IF(D149=0,0,D143/D149)</f>
        <v>0.30412128382472831</v>
      </c>
      <c r="E135" s="227">
        <f>IF(E149=0,0,E143/E149)</f>
        <v>0.2892026145384472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0.45754912474853426</v>
      </c>
      <c r="D136" s="227">
        <f>IF(D149=0,0,D144/D149)</f>
        <v>0.44874457518274286</v>
      </c>
      <c r="E136" s="227">
        <f>IF(E149=0,0,E144/E149)</f>
        <v>0.45439189717206885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0.20454915077105532</v>
      </c>
      <c r="D137" s="227">
        <f>IF(D149=0,0,D145/D149)</f>
        <v>0.21873096303565667</v>
      </c>
      <c r="E137" s="227">
        <f>IF(E149=0,0,E145/E149)</f>
        <v>0.23274264003914555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2.087218579254712E-2</v>
      </c>
      <c r="D139" s="227">
        <f>IF(D149=0,0,D147/D149)</f>
        <v>2.6797019349629272E-2</v>
      </c>
      <c r="E139" s="227">
        <f>IF(E149=0,0,E147/E149)</f>
        <v>2.2378580549248739E-2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1.4642778880060135E-3</v>
      </c>
      <c r="D140" s="227">
        <f>IF(D149=0,0,D148/D149)</f>
        <v>1.6061586072429162E-3</v>
      </c>
      <c r="E140" s="227">
        <f>IF(E149=0,0,E148/E149)</f>
        <v>1.2842677010896431E-3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265657895</v>
      </c>
      <c r="D143" s="229">
        <f>+D46-D147</f>
        <v>261771823</v>
      </c>
      <c r="E143" s="229">
        <f>+E46-E147</f>
        <v>255630645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385186687</v>
      </c>
      <c r="D144" s="229">
        <f>+D51</f>
        <v>386256049</v>
      </c>
      <c r="E144" s="229">
        <f>+E51</f>
        <v>401643996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172199236</v>
      </c>
      <c r="D145" s="229">
        <f>+D55</f>
        <v>188272265</v>
      </c>
      <c r="E145" s="229">
        <f>+E55</f>
        <v>205724804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17571202</v>
      </c>
      <c r="D147" s="229">
        <f>+D47</f>
        <v>23065484</v>
      </c>
      <c r="E147" s="229">
        <f>+E47</f>
        <v>19780772</v>
      </c>
    </row>
    <row r="148" spans="1:7" ht="20.100000000000001" customHeight="1" x14ac:dyDescent="0.2">
      <c r="A148" s="226">
        <v>13</v>
      </c>
      <c r="B148" s="224" t="s">
        <v>402</v>
      </c>
      <c r="C148" s="230">
        <v>1232699</v>
      </c>
      <c r="D148" s="229">
        <v>1382498</v>
      </c>
      <c r="E148" s="229">
        <v>1135184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841847719</v>
      </c>
      <c r="D149" s="229">
        <f>SUM(D143:D148)</f>
        <v>860748119</v>
      </c>
      <c r="E149" s="229">
        <f>SUM(E143:E148)</f>
        <v>883915401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0.4599206945134317</v>
      </c>
      <c r="D152" s="227">
        <f>IF(D166=0,0,D160/D166)</f>
        <v>0.44781460581527582</v>
      </c>
      <c r="E152" s="227">
        <f>IF(E166=0,0,E160/E166)</f>
        <v>0.4414304187422381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0.36989498101814644</v>
      </c>
      <c r="D153" s="227">
        <f>IF(D166=0,0,D161/D166)</f>
        <v>0.38513679157446323</v>
      </c>
      <c r="E153" s="227">
        <f>IF(E166=0,0,E161/E166)</f>
        <v>0.38980303611677458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0.15945372702019572</v>
      </c>
      <c r="D154" s="227">
        <f>IF(D166=0,0,D162/D166)</f>
        <v>0.15319232358499091</v>
      </c>
      <c r="E154" s="227">
        <f>IF(E166=0,0,E162/E166)</f>
        <v>0.16418357054230567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9.4846230908302055E-3</v>
      </c>
      <c r="D156" s="227">
        <f>IF(D166=0,0,D164/D166)</f>
        <v>1.2447694994335833E-2</v>
      </c>
      <c r="E156" s="227">
        <f>IF(E166=0,0,E164/E166)</f>
        <v>3.5416045610381867E-3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1.2459743573959008E-3</v>
      </c>
      <c r="D157" s="227">
        <f>IF(D166=0,0,D165/D166)</f>
        <v>1.4085840309341804E-3</v>
      </c>
      <c r="E157" s="227">
        <f>IF(E166=0,0,E165/E166)</f>
        <v>1.0413700376435157E-3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171275260</v>
      </c>
      <c r="D160" s="229">
        <f>+D44-D164</f>
        <v>163567681</v>
      </c>
      <c r="E160" s="229">
        <f>+E44-E164</f>
        <v>159327309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137749529</v>
      </c>
      <c r="D161" s="229">
        <f>+D50</f>
        <v>140674134</v>
      </c>
      <c r="E161" s="229">
        <f>+E50</f>
        <v>140693224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59380843</v>
      </c>
      <c r="D162" s="229">
        <f>+D54</f>
        <v>55954658</v>
      </c>
      <c r="E162" s="229">
        <f>+E54</f>
        <v>59259456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3532090</v>
      </c>
      <c r="D164" s="229">
        <f>+D45</f>
        <v>4546615</v>
      </c>
      <c r="E164" s="229">
        <f>+E45</f>
        <v>1278286</v>
      </c>
    </row>
    <row r="165" spans="1:6" ht="20.100000000000001" customHeight="1" x14ac:dyDescent="0.2">
      <c r="A165" s="226">
        <v>13</v>
      </c>
      <c r="B165" s="224" t="s">
        <v>417</v>
      </c>
      <c r="C165" s="230">
        <v>464003</v>
      </c>
      <c r="D165" s="229">
        <v>514496</v>
      </c>
      <c r="E165" s="229">
        <v>375866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372401725</v>
      </c>
      <c r="D166" s="229">
        <f>SUM(D160:D165)</f>
        <v>365257584</v>
      </c>
      <c r="E166" s="229">
        <f>SUM(E160:E165)</f>
        <v>360934141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6033</v>
      </c>
      <c r="D169" s="218">
        <v>5345</v>
      </c>
      <c r="E169" s="218">
        <v>4756</v>
      </c>
    </row>
    <row r="170" spans="1:6" ht="20.100000000000001" customHeight="1" x14ac:dyDescent="0.2">
      <c r="A170" s="226">
        <v>2</v>
      </c>
      <c r="B170" s="224" t="s">
        <v>420</v>
      </c>
      <c r="C170" s="218">
        <v>9651</v>
      </c>
      <c r="D170" s="218">
        <v>8524</v>
      </c>
      <c r="E170" s="218">
        <v>8464</v>
      </c>
    </row>
    <row r="171" spans="1:6" ht="20.100000000000001" customHeight="1" x14ac:dyDescent="0.2">
      <c r="A171" s="226">
        <v>3</v>
      </c>
      <c r="B171" s="224" t="s">
        <v>421</v>
      </c>
      <c r="C171" s="218">
        <v>4816</v>
      </c>
      <c r="D171" s="218">
        <v>4352</v>
      </c>
      <c r="E171" s="218">
        <v>4668</v>
      </c>
    </row>
    <row r="172" spans="1:6" ht="20.100000000000001" customHeight="1" x14ac:dyDescent="0.2">
      <c r="A172" s="226">
        <v>4</v>
      </c>
      <c r="B172" s="224" t="s">
        <v>422</v>
      </c>
      <c r="C172" s="218">
        <v>4816</v>
      </c>
      <c r="D172" s="218">
        <v>4352</v>
      </c>
      <c r="E172" s="218">
        <v>4668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46</v>
      </c>
      <c r="D174" s="218">
        <v>31</v>
      </c>
      <c r="E174" s="218">
        <v>19</v>
      </c>
    </row>
    <row r="175" spans="1:6" ht="20.100000000000001" customHeight="1" x14ac:dyDescent="0.2">
      <c r="A175" s="226">
        <v>7</v>
      </c>
      <c r="B175" s="224" t="s">
        <v>425</v>
      </c>
      <c r="C175" s="218">
        <v>187</v>
      </c>
      <c r="D175" s="218">
        <v>200</v>
      </c>
      <c r="E175" s="218">
        <v>206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20546</v>
      </c>
      <c r="D176" s="218">
        <f>+D169+D170+D171+D174</f>
        <v>18252</v>
      </c>
      <c r="E176" s="218">
        <f>+E169+E170+E171+E174</f>
        <v>17907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1.09074</v>
      </c>
      <c r="D179" s="231">
        <v>1.0782</v>
      </c>
      <c r="E179" s="231">
        <v>1.1322000000000001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1.3198799999999999</v>
      </c>
      <c r="D180" s="231">
        <v>1.3797999999999999</v>
      </c>
      <c r="E180" s="231">
        <v>1.4821200000000001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0.97274000000000005</v>
      </c>
      <c r="D181" s="231">
        <v>0.99860000000000004</v>
      </c>
      <c r="E181" s="231">
        <v>1.00952</v>
      </c>
    </row>
    <row r="182" spans="1:6" ht="20.100000000000001" customHeight="1" x14ac:dyDescent="0.2">
      <c r="A182" s="226">
        <v>4</v>
      </c>
      <c r="B182" s="224" t="s">
        <v>422</v>
      </c>
      <c r="C182" s="231">
        <v>0.97274000000000005</v>
      </c>
      <c r="D182" s="231">
        <v>0.99860000000000004</v>
      </c>
      <c r="E182" s="231">
        <v>1.00952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0.76080999999999999</v>
      </c>
      <c r="D184" s="231">
        <v>1.1358999999999999</v>
      </c>
      <c r="E184" s="231">
        <v>1.35307</v>
      </c>
    </row>
    <row r="185" spans="1:6" ht="20.100000000000001" customHeight="1" x14ac:dyDescent="0.2">
      <c r="A185" s="226">
        <v>7</v>
      </c>
      <c r="B185" s="224" t="s">
        <v>425</v>
      </c>
      <c r="C185" s="231">
        <v>1.0122800000000001</v>
      </c>
      <c r="D185" s="231">
        <v>0.99860000000000004</v>
      </c>
      <c r="E185" s="231">
        <v>1.0947100000000001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1.169975</v>
      </c>
      <c r="D186" s="231">
        <v>1.20017</v>
      </c>
      <c r="E186" s="231">
        <v>1.2658480000000001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14219</v>
      </c>
      <c r="D189" s="218">
        <v>14064</v>
      </c>
      <c r="E189" s="218">
        <v>14470</v>
      </c>
    </row>
    <row r="190" spans="1:6" ht="20.100000000000001" customHeight="1" x14ac:dyDescent="0.2">
      <c r="A190" s="226">
        <v>2</v>
      </c>
      <c r="B190" s="224" t="s">
        <v>433</v>
      </c>
      <c r="C190" s="218">
        <v>94835</v>
      </c>
      <c r="D190" s="218">
        <v>96434</v>
      </c>
      <c r="E190" s="218">
        <v>92594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109054</v>
      </c>
      <c r="D191" s="218">
        <f>+D190+D189</f>
        <v>110498</v>
      </c>
      <c r="E191" s="218">
        <f>+E190+E189</f>
        <v>107064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2246334</v>
      </c>
      <c r="D14" s="258">
        <v>2052657</v>
      </c>
      <c r="E14" s="258">
        <f t="shared" ref="E14:E24" si="0">D14-C14</f>
        <v>-193677</v>
      </c>
      <c r="F14" s="259">
        <f t="shared" ref="F14:F24" si="1">IF(C14=0,0,E14/C14)</f>
        <v>-8.6219146395860993E-2</v>
      </c>
    </row>
    <row r="15" spans="1:7" ht="20.25" customHeight="1" x14ac:dyDescent="0.3">
      <c r="A15" s="256">
        <v>2</v>
      </c>
      <c r="B15" s="257" t="s">
        <v>442</v>
      </c>
      <c r="C15" s="258">
        <v>865157</v>
      </c>
      <c r="D15" s="258">
        <v>816615</v>
      </c>
      <c r="E15" s="258">
        <f t="shared" si="0"/>
        <v>-48542</v>
      </c>
      <c r="F15" s="259">
        <f t="shared" si="1"/>
        <v>-5.610773535901576E-2</v>
      </c>
    </row>
    <row r="16" spans="1:7" ht="20.25" customHeight="1" x14ac:dyDescent="0.3">
      <c r="A16" s="256">
        <v>3</v>
      </c>
      <c r="B16" s="257" t="s">
        <v>443</v>
      </c>
      <c r="C16" s="258">
        <v>1814548</v>
      </c>
      <c r="D16" s="258">
        <v>2254727</v>
      </c>
      <c r="E16" s="258">
        <f t="shared" si="0"/>
        <v>440179</v>
      </c>
      <c r="F16" s="259">
        <f t="shared" si="1"/>
        <v>0.24258327693728687</v>
      </c>
    </row>
    <row r="17" spans="1:6" ht="20.25" customHeight="1" x14ac:dyDescent="0.3">
      <c r="A17" s="256">
        <v>4</v>
      </c>
      <c r="B17" s="257" t="s">
        <v>444</v>
      </c>
      <c r="C17" s="258">
        <v>497733</v>
      </c>
      <c r="D17" s="258">
        <v>569953</v>
      </c>
      <c r="E17" s="258">
        <f t="shared" si="0"/>
        <v>72220</v>
      </c>
      <c r="F17" s="259">
        <f t="shared" si="1"/>
        <v>0.14509787375962616</v>
      </c>
    </row>
    <row r="18" spans="1:6" ht="20.25" customHeight="1" x14ac:dyDescent="0.3">
      <c r="A18" s="256">
        <v>5</v>
      </c>
      <c r="B18" s="257" t="s">
        <v>381</v>
      </c>
      <c r="C18" s="260">
        <v>69</v>
      </c>
      <c r="D18" s="260">
        <v>85</v>
      </c>
      <c r="E18" s="260">
        <f t="shared" si="0"/>
        <v>16</v>
      </c>
      <c r="F18" s="259">
        <f t="shared" si="1"/>
        <v>0.2318840579710145</v>
      </c>
    </row>
    <row r="19" spans="1:6" ht="20.25" customHeight="1" x14ac:dyDescent="0.3">
      <c r="A19" s="256">
        <v>6</v>
      </c>
      <c r="B19" s="257" t="s">
        <v>380</v>
      </c>
      <c r="C19" s="260">
        <v>338</v>
      </c>
      <c r="D19" s="260">
        <v>340</v>
      </c>
      <c r="E19" s="260">
        <f t="shared" si="0"/>
        <v>2</v>
      </c>
      <c r="F19" s="259">
        <f t="shared" si="1"/>
        <v>5.9171597633136093E-3</v>
      </c>
    </row>
    <row r="20" spans="1:6" ht="20.25" customHeight="1" x14ac:dyDescent="0.3">
      <c r="A20" s="256">
        <v>7</v>
      </c>
      <c r="B20" s="257" t="s">
        <v>445</v>
      </c>
      <c r="C20" s="260">
        <v>860</v>
      </c>
      <c r="D20" s="260">
        <v>842</v>
      </c>
      <c r="E20" s="260">
        <f t="shared" si="0"/>
        <v>-18</v>
      </c>
      <c r="F20" s="259">
        <f t="shared" si="1"/>
        <v>-2.0930232558139535E-2</v>
      </c>
    </row>
    <row r="21" spans="1:6" ht="20.25" customHeight="1" x14ac:dyDescent="0.3">
      <c r="A21" s="256">
        <v>8</v>
      </c>
      <c r="B21" s="257" t="s">
        <v>446</v>
      </c>
      <c r="C21" s="260">
        <v>133</v>
      </c>
      <c r="D21" s="260">
        <v>133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50</v>
      </c>
      <c r="D22" s="260">
        <v>50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4060882</v>
      </c>
      <c r="D23" s="263">
        <f>+D14+D16</f>
        <v>4307384</v>
      </c>
      <c r="E23" s="263">
        <f t="shared" si="0"/>
        <v>246502</v>
      </c>
      <c r="F23" s="264">
        <f t="shared" si="1"/>
        <v>6.0701591427675068E-2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1362890</v>
      </c>
      <c r="D24" s="263">
        <f>+D15+D17</f>
        <v>1386568</v>
      </c>
      <c r="E24" s="263">
        <f t="shared" si="0"/>
        <v>23678</v>
      </c>
      <c r="F24" s="264">
        <f t="shared" si="1"/>
        <v>1.7373375694296679E-2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1342</v>
      </c>
      <c r="D29" s="258">
        <v>142</v>
      </c>
      <c r="E29" s="258">
        <f t="shared" si="2"/>
        <v>-1200</v>
      </c>
      <c r="F29" s="259">
        <f t="shared" si="3"/>
        <v>-0.89418777943368111</v>
      </c>
    </row>
    <row r="30" spans="1:6" ht="20.25" customHeight="1" x14ac:dyDescent="0.3">
      <c r="A30" s="256">
        <v>4</v>
      </c>
      <c r="B30" s="257" t="s">
        <v>444</v>
      </c>
      <c r="C30" s="258">
        <v>433</v>
      </c>
      <c r="D30" s="258">
        <v>0</v>
      </c>
      <c r="E30" s="258">
        <f t="shared" si="2"/>
        <v>-433</v>
      </c>
      <c r="F30" s="259">
        <f t="shared" si="3"/>
        <v>-1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1</v>
      </c>
      <c r="D33" s="260">
        <v>1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1342</v>
      </c>
      <c r="D36" s="263">
        <f>+D27+D29</f>
        <v>142</v>
      </c>
      <c r="E36" s="263">
        <f t="shared" si="2"/>
        <v>-1200</v>
      </c>
      <c r="F36" s="264">
        <f t="shared" si="3"/>
        <v>-0.89418777943368111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433</v>
      </c>
      <c r="D37" s="263">
        <f>+D28+D30</f>
        <v>0</v>
      </c>
      <c r="E37" s="263">
        <f t="shared" si="2"/>
        <v>-433</v>
      </c>
      <c r="F37" s="264">
        <f t="shared" si="3"/>
        <v>-1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12832086</v>
      </c>
      <c r="D40" s="258">
        <v>15886699</v>
      </c>
      <c r="E40" s="258">
        <f t="shared" ref="E40:E50" si="4">D40-C40</f>
        <v>3054613</v>
      </c>
      <c r="F40" s="259">
        <f t="shared" ref="F40:F50" si="5">IF(C40=0,0,E40/C40)</f>
        <v>0.23804492893828796</v>
      </c>
    </row>
    <row r="41" spans="1:6" ht="20.25" customHeight="1" x14ac:dyDescent="0.3">
      <c r="A41" s="256">
        <v>2</v>
      </c>
      <c r="B41" s="257" t="s">
        <v>442</v>
      </c>
      <c r="C41" s="258">
        <v>5370096</v>
      </c>
      <c r="D41" s="258">
        <v>6548061</v>
      </c>
      <c r="E41" s="258">
        <f t="shared" si="4"/>
        <v>1177965</v>
      </c>
      <c r="F41" s="259">
        <f t="shared" si="5"/>
        <v>0.21935641374008957</v>
      </c>
    </row>
    <row r="42" spans="1:6" ht="20.25" customHeight="1" x14ac:dyDescent="0.3">
      <c r="A42" s="256">
        <v>3</v>
      </c>
      <c r="B42" s="257" t="s">
        <v>443</v>
      </c>
      <c r="C42" s="258">
        <v>10600518</v>
      </c>
      <c r="D42" s="258">
        <v>13032690</v>
      </c>
      <c r="E42" s="258">
        <f t="shared" si="4"/>
        <v>2432172</v>
      </c>
      <c r="F42" s="259">
        <f t="shared" si="5"/>
        <v>0.22943897647265918</v>
      </c>
    </row>
    <row r="43" spans="1:6" ht="20.25" customHeight="1" x14ac:dyDescent="0.3">
      <c r="A43" s="256">
        <v>4</v>
      </c>
      <c r="B43" s="257" t="s">
        <v>444</v>
      </c>
      <c r="C43" s="258">
        <v>2859712</v>
      </c>
      <c r="D43" s="258">
        <v>2979406</v>
      </c>
      <c r="E43" s="258">
        <f t="shared" si="4"/>
        <v>119694</v>
      </c>
      <c r="F43" s="259">
        <f t="shared" si="5"/>
        <v>4.1855263746838844E-2</v>
      </c>
    </row>
    <row r="44" spans="1:6" ht="20.25" customHeight="1" x14ac:dyDescent="0.3">
      <c r="A44" s="256">
        <v>5</v>
      </c>
      <c r="B44" s="257" t="s">
        <v>381</v>
      </c>
      <c r="C44" s="260">
        <v>502</v>
      </c>
      <c r="D44" s="260">
        <v>556</v>
      </c>
      <c r="E44" s="260">
        <f t="shared" si="4"/>
        <v>54</v>
      </c>
      <c r="F44" s="259">
        <f t="shared" si="5"/>
        <v>0.10756972111553785</v>
      </c>
    </row>
    <row r="45" spans="1:6" ht="20.25" customHeight="1" x14ac:dyDescent="0.3">
      <c r="A45" s="256">
        <v>6</v>
      </c>
      <c r="B45" s="257" t="s">
        <v>380</v>
      </c>
      <c r="C45" s="260">
        <v>2142</v>
      </c>
      <c r="D45" s="260">
        <v>2363</v>
      </c>
      <c r="E45" s="260">
        <f t="shared" si="4"/>
        <v>221</v>
      </c>
      <c r="F45" s="259">
        <f t="shared" si="5"/>
        <v>0.10317460317460317</v>
      </c>
    </row>
    <row r="46" spans="1:6" ht="20.25" customHeight="1" x14ac:dyDescent="0.3">
      <c r="A46" s="256">
        <v>7</v>
      </c>
      <c r="B46" s="257" t="s">
        <v>445</v>
      </c>
      <c r="C46" s="260">
        <v>5848</v>
      </c>
      <c r="D46" s="260">
        <v>6215</v>
      </c>
      <c r="E46" s="260">
        <f t="shared" si="4"/>
        <v>367</v>
      </c>
      <c r="F46" s="259">
        <f t="shared" si="5"/>
        <v>6.275649794801641E-2</v>
      </c>
    </row>
    <row r="47" spans="1:6" ht="20.25" customHeight="1" x14ac:dyDescent="0.3">
      <c r="A47" s="256">
        <v>8</v>
      </c>
      <c r="B47" s="257" t="s">
        <v>446</v>
      </c>
      <c r="C47" s="260">
        <v>902</v>
      </c>
      <c r="D47" s="260">
        <v>983</v>
      </c>
      <c r="E47" s="260">
        <f t="shared" si="4"/>
        <v>81</v>
      </c>
      <c r="F47" s="259">
        <f t="shared" si="5"/>
        <v>8.9800443458980042E-2</v>
      </c>
    </row>
    <row r="48" spans="1:6" ht="20.25" customHeight="1" x14ac:dyDescent="0.3">
      <c r="A48" s="256">
        <v>9</v>
      </c>
      <c r="B48" s="257" t="s">
        <v>447</v>
      </c>
      <c r="C48" s="260">
        <v>334</v>
      </c>
      <c r="D48" s="260">
        <v>365</v>
      </c>
      <c r="E48" s="260">
        <f t="shared" si="4"/>
        <v>31</v>
      </c>
      <c r="F48" s="259">
        <f t="shared" si="5"/>
        <v>9.2814371257485026E-2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23432604</v>
      </c>
      <c r="D49" s="263">
        <f>+D40+D42</f>
        <v>28919389</v>
      </c>
      <c r="E49" s="263">
        <f t="shared" si="4"/>
        <v>5486785</v>
      </c>
      <c r="F49" s="264">
        <f t="shared" si="5"/>
        <v>0.23415174002855166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8229808</v>
      </c>
      <c r="D50" s="263">
        <f>+D41+D43</f>
        <v>9527467</v>
      </c>
      <c r="E50" s="263">
        <f t="shared" si="4"/>
        <v>1297659</v>
      </c>
      <c r="F50" s="264">
        <f t="shared" si="5"/>
        <v>0.15767791909604695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2015426</v>
      </c>
      <c r="D66" s="258">
        <v>2065162</v>
      </c>
      <c r="E66" s="258">
        <f t="shared" ref="E66:E76" si="8">D66-C66</f>
        <v>49736</v>
      </c>
      <c r="F66" s="259">
        <f t="shared" ref="F66:F76" si="9">IF(C66=0,0,E66/C66)</f>
        <v>2.4677661199170794E-2</v>
      </c>
    </row>
    <row r="67" spans="1:6" ht="20.25" customHeight="1" x14ac:dyDescent="0.3">
      <c r="A67" s="256">
        <v>2</v>
      </c>
      <c r="B67" s="257" t="s">
        <v>442</v>
      </c>
      <c r="C67" s="258">
        <v>646790</v>
      </c>
      <c r="D67" s="258">
        <v>742566</v>
      </c>
      <c r="E67" s="258">
        <f t="shared" si="8"/>
        <v>95776</v>
      </c>
      <c r="F67" s="259">
        <f t="shared" si="9"/>
        <v>0.14807897462855021</v>
      </c>
    </row>
    <row r="68" spans="1:6" ht="20.25" customHeight="1" x14ac:dyDescent="0.3">
      <c r="A68" s="256">
        <v>3</v>
      </c>
      <c r="B68" s="257" t="s">
        <v>443</v>
      </c>
      <c r="C68" s="258">
        <v>1141271</v>
      </c>
      <c r="D68" s="258">
        <v>816315</v>
      </c>
      <c r="E68" s="258">
        <f t="shared" si="8"/>
        <v>-324956</v>
      </c>
      <c r="F68" s="259">
        <f t="shared" si="9"/>
        <v>-0.28473167196923432</v>
      </c>
    </row>
    <row r="69" spans="1:6" ht="20.25" customHeight="1" x14ac:dyDescent="0.3">
      <c r="A69" s="256">
        <v>4</v>
      </c>
      <c r="B69" s="257" t="s">
        <v>444</v>
      </c>
      <c r="C69" s="258">
        <v>241108</v>
      </c>
      <c r="D69" s="258">
        <v>154930</v>
      </c>
      <c r="E69" s="258">
        <f t="shared" si="8"/>
        <v>-86178</v>
      </c>
      <c r="F69" s="259">
        <f t="shared" si="9"/>
        <v>-0.35742488843174014</v>
      </c>
    </row>
    <row r="70" spans="1:6" ht="20.25" customHeight="1" x14ac:dyDescent="0.3">
      <c r="A70" s="256">
        <v>5</v>
      </c>
      <c r="B70" s="257" t="s">
        <v>381</v>
      </c>
      <c r="C70" s="260">
        <v>82</v>
      </c>
      <c r="D70" s="260">
        <v>77</v>
      </c>
      <c r="E70" s="260">
        <f t="shared" si="8"/>
        <v>-5</v>
      </c>
      <c r="F70" s="259">
        <f t="shared" si="9"/>
        <v>-6.097560975609756E-2</v>
      </c>
    </row>
    <row r="71" spans="1:6" ht="20.25" customHeight="1" x14ac:dyDescent="0.3">
      <c r="A71" s="256">
        <v>6</v>
      </c>
      <c r="B71" s="257" t="s">
        <v>380</v>
      </c>
      <c r="C71" s="260">
        <v>339</v>
      </c>
      <c r="D71" s="260">
        <v>351</v>
      </c>
      <c r="E71" s="260">
        <f t="shared" si="8"/>
        <v>12</v>
      </c>
      <c r="F71" s="259">
        <f t="shared" si="9"/>
        <v>3.5398230088495575E-2</v>
      </c>
    </row>
    <row r="72" spans="1:6" ht="20.25" customHeight="1" x14ac:dyDescent="0.3">
      <c r="A72" s="256">
        <v>7</v>
      </c>
      <c r="B72" s="257" t="s">
        <v>445</v>
      </c>
      <c r="C72" s="260">
        <v>488</v>
      </c>
      <c r="D72" s="260">
        <v>395</v>
      </c>
      <c r="E72" s="260">
        <f t="shared" si="8"/>
        <v>-93</v>
      </c>
      <c r="F72" s="259">
        <f t="shared" si="9"/>
        <v>-0.19057377049180327</v>
      </c>
    </row>
    <row r="73" spans="1:6" ht="20.25" customHeight="1" x14ac:dyDescent="0.3">
      <c r="A73" s="256">
        <v>8</v>
      </c>
      <c r="B73" s="257" t="s">
        <v>446</v>
      </c>
      <c r="C73" s="260">
        <v>75</v>
      </c>
      <c r="D73" s="260">
        <v>63</v>
      </c>
      <c r="E73" s="260">
        <f t="shared" si="8"/>
        <v>-12</v>
      </c>
      <c r="F73" s="259">
        <f t="shared" si="9"/>
        <v>-0.16</v>
      </c>
    </row>
    <row r="74" spans="1:6" ht="20.25" customHeight="1" x14ac:dyDescent="0.3">
      <c r="A74" s="256">
        <v>9</v>
      </c>
      <c r="B74" s="257" t="s">
        <v>447</v>
      </c>
      <c r="C74" s="260">
        <v>28</v>
      </c>
      <c r="D74" s="260">
        <v>23</v>
      </c>
      <c r="E74" s="260">
        <f t="shared" si="8"/>
        <v>-5</v>
      </c>
      <c r="F74" s="259">
        <f t="shared" si="9"/>
        <v>-0.17857142857142858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3156697</v>
      </c>
      <c r="D75" s="263">
        <f>+D66+D68</f>
        <v>2881477</v>
      </c>
      <c r="E75" s="263">
        <f t="shared" si="8"/>
        <v>-275220</v>
      </c>
      <c r="F75" s="264">
        <f t="shared" si="9"/>
        <v>-8.7186068222575686E-2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887898</v>
      </c>
      <c r="D76" s="263">
        <f>+D67+D69</f>
        <v>897496</v>
      </c>
      <c r="E76" s="263">
        <f t="shared" si="8"/>
        <v>9598</v>
      </c>
      <c r="F76" s="264">
        <f t="shared" si="9"/>
        <v>1.0809800224800596E-2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3523878</v>
      </c>
      <c r="D105" s="258">
        <v>5665326</v>
      </c>
      <c r="E105" s="258">
        <f t="shared" ref="E105:E115" si="14">D105-C105</f>
        <v>2141448</v>
      </c>
      <c r="F105" s="259">
        <f t="shared" ref="F105:F115" si="15">IF(C105=0,0,E105/C105)</f>
        <v>0.60769640719684392</v>
      </c>
    </row>
    <row r="106" spans="1:6" ht="20.25" customHeight="1" x14ac:dyDescent="0.3">
      <c r="A106" s="256">
        <v>2</v>
      </c>
      <c r="B106" s="257" t="s">
        <v>442</v>
      </c>
      <c r="C106" s="258">
        <v>1136130</v>
      </c>
      <c r="D106" s="258">
        <v>1974695</v>
      </c>
      <c r="E106" s="258">
        <f t="shared" si="14"/>
        <v>838565</v>
      </c>
      <c r="F106" s="259">
        <f t="shared" si="15"/>
        <v>0.73808895108834371</v>
      </c>
    </row>
    <row r="107" spans="1:6" ht="20.25" customHeight="1" x14ac:dyDescent="0.3">
      <c r="A107" s="256">
        <v>3</v>
      </c>
      <c r="B107" s="257" t="s">
        <v>443</v>
      </c>
      <c r="C107" s="258">
        <v>3553018</v>
      </c>
      <c r="D107" s="258">
        <v>5533685</v>
      </c>
      <c r="E107" s="258">
        <f t="shared" si="14"/>
        <v>1980667</v>
      </c>
      <c r="F107" s="259">
        <f t="shared" si="15"/>
        <v>0.55746044630227032</v>
      </c>
    </row>
    <row r="108" spans="1:6" ht="20.25" customHeight="1" x14ac:dyDescent="0.3">
      <c r="A108" s="256">
        <v>4</v>
      </c>
      <c r="B108" s="257" t="s">
        <v>444</v>
      </c>
      <c r="C108" s="258">
        <v>785537</v>
      </c>
      <c r="D108" s="258">
        <v>1129844</v>
      </c>
      <c r="E108" s="258">
        <f t="shared" si="14"/>
        <v>344307</v>
      </c>
      <c r="F108" s="259">
        <f t="shared" si="15"/>
        <v>0.43830780727069507</v>
      </c>
    </row>
    <row r="109" spans="1:6" ht="20.25" customHeight="1" x14ac:dyDescent="0.3">
      <c r="A109" s="256">
        <v>5</v>
      </c>
      <c r="B109" s="257" t="s">
        <v>381</v>
      </c>
      <c r="C109" s="260">
        <v>167</v>
      </c>
      <c r="D109" s="260">
        <v>217</v>
      </c>
      <c r="E109" s="260">
        <f t="shared" si="14"/>
        <v>50</v>
      </c>
      <c r="F109" s="259">
        <f t="shared" si="15"/>
        <v>0.29940119760479039</v>
      </c>
    </row>
    <row r="110" spans="1:6" ht="20.25" customHeight="1" x14ac:dyDescent="0.3">
      <c r="A110" s="256">
        <v>6</v>
      </c>
      <c r="B110" s="257" t="s">
        <v>380</v>
      </c>
      <c r="C110" s="260">
        <v>652</v>
      </c>
      <c r="D110" s="260">
        <v>881</v>
      </c>
      <c r="E110" s="260">
        <f t="shared" si="14"/>
        <v>229</v>
      </c>
      <c r="F110" s="259">
        <f t="shared" si="15"/>
        <v>0.3512269938650307</v>
      </c>
    </row>
    <row r="111" spans="1:6" ht="20.25" customHeight="1" x14ac:dyDescent="0.3">
      <c r="A111" s="256">
        <v>7</v>
      </c>
      <c r="B111" s="257" t="s">
        <v>445</v>
      </c>
      <c r="C111" s="260">
        <v>1624</v>
      </c>
      <c r="D111" s="260">
        <v>2680</v>
      </c>
      <c r="E111" s="260">
        <f t="shared" si="14"/>
        <v>1056</v>
      </c>
      <c r="F111" s="259">
        <f t="shared" si="15"/>
        <v>0.65024630541871919</v>
      </c>
    </row>
    <row r="112" spans="1:6" ht="20.25" customHeight="1" x14ac:dyDescent="0.3">
      <c r="A112" s="256">
        <v>8</v>
      </c>
      <c r="B112" s="257" t="s">
        <v>446</v>
      </c>
      <c r="C112" s="260">
        <v>251</v>
      </c>
      <c r="D112" s="260">
        <v>424</v>
      </c>
      <c r="E112" s="260">
        <f t="shared" si="14"/>
        <v>173</v>
      </c>
      <c r="F112" s="259">
        <f t="shared" si="15"/>
        <v>0.68924302788844627</v>
      </c>
    </row>
    <row r="113" spans="1:6" ht="20.25" customHeight="1" x14ac:dyDescent="0.3">
      <c r="A113" s="256">
        <v>9</v>
      </c>
      <c r="B113" s="257" t="s">
        <v>447</v>
      </c>
      <c r="C113" s="260">
        <v>93</v>
      </c>
      <c r="D113" s="260">
        <v>158</v>
      </c>
      <c r="E113" s="260">
        <f t="shared" si="14"/>
        <v>65</v>
      </c>
      <c r="F113" s="259">
        <f t="shared" si="15"/>
        <v>0.69892473118279574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7076896</v>
      </c>
      <c r="D114" s="263">
        <f>+D105+D107</f>
        <v>11199011</v>
      </c>
      <c r="E114" s="263">
        <f t="shared" si="14"/>
        <v>4122115</v>
      </c>
      <c r="F114" s="264">
        <f t="shared" si="15"/>
        <v>0.58247500033913169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1921667</v>
      </c>
      <c r="D115" s="263">
        <f>+D106+D108</f>
        <v>3104539</v>
      </c>
      <c r="E115" s="263">
        <f t="shared" si="14"/>
        <v>1182872</v>
      </c>
      <c r="F115" s="264">
        <f t="shared" si="15"/>
        <v>0.6155447327762823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4223658</v>
      </c>
      <c r="D118" s="258">
        <v>7639219</v>
      </c>
      <c r="E118" s="258">
        <f t="shared" ref="E118:E128" si="16">D118-C118</f>
        <v>3415561</v>
      </c>
      <c r="F118" s="259">
        <f t="shared" ref="F118:F128" si="17">IF(C118=0,0,E118/C118)</f>
        <v>0.80867366628642756</v>
      </c>
    </row>
    <row r="119" spans="1:6" ht="20.25" customHeight="1" x14ac:dyDescent="0.3">
      <c r="A119" s="256">
        <v>2</v>
      </c>
      <c r="B119" s="257" t="s">
        <v>442</v>
      </c>
      <c r="C119" s="258">
        <v>1687648</v>
      </c>
      <c r="D119" s="258">
        <v>3090536</v>
      </c>
      <c r="E119" s="258">
        <f t="shared" si="16"/>
        <v>1402888</v>
      </c>
      <c r="F119" s="259">
        <f t="shared" si="17"/>
        <v>0.83126813174311232</v>
      </c>
    </row>
    <row r="120" spans="1:6" ht="20.25" customHeight="1" x14ac:dyDescent="0.3">
      <c r="A120" s="256">
        <v>3</v>
      </c>
      <c r="B120" s="257" t="s">
        <v>443</v>
      </c>
      <c r="C120" s="258">
        <v>2638522</v>
      </c>
      <c r="D120" s="258">
        <v>5421503</v>
      </c>
      <c r="E120" s="258">
        <f t="shared" si="16"/>
        <v>2782981</v>
      </c>
      <c r="F120" s="259">
        <f t="shared" si="17"/>
        <v>1.0547499698694951</v>
      </c>
    </row>
    <row r="121" spans="1:6" ht="20.25" customHeight="1" x14ac:dyDescent="0.3">
      <c r="A121" s="256">
        <v>4</v>
      </c>
      <c r="B121" s="257" t="s">
        <v>444</v>
      </c>
      <c r="C121" s="258">
        <v>736663</v>
      </c>
      <c r="D121" s="258">
        <v>1202982</v>
      </c>
      <c r="E121" s="258">
        <f t="shared" si="16"/>
        <v>466319</v>
      </c>
      <c r="F121" s="259">
        <f t="shared" si="17"/>
        <v>0.63301536794979518</v>
      </c>
    </row>
    <row r="122" spans="1:6" ht="20.25" customHeight="1" x14ac:dyDescent="0.3">
      <c r="A122" s="256">
        <v>5</v>
      </c>
      <c r="B122" s="257" t="s">
        <v>381</v>
      </c>
      <c r="C122" s="260">
        <v>157</v>
      </c>
      <c r="D122" s="260">
        <v>292</v>
      </c>
      <c r="E122" s="260">
        <f t="shared" si="16"/>
        <v>135</v>
      </c>
      <c r="F122" s="259">
        <f t="shared" si="17"/>
        <v>0.85987261146496818</v>
      </c>
    </row>
    <row r="123" spans="1:6" ht="20.25" customHeight="1" x14ac:dyDescent="0.3">
      <c r="A123" s="256">
        <v>6</v>
      </c>
      <c r="B123" s="257" t="s">
        <v>380</v>
      </c>
      <c r="C123" s="260">
        <v>694</v>
      </c>
      <c r="D123" s="260">
        <v>1160</v>
      </c>
      <c r="E123" s="260">
        <f t="shared" si="16"/>
        <v>466</v>
      </c>
      <c r="F123" s="259">
        <f t="shared" si="17"/>
        <v>0.67146974063400577</v>
      </c>
    </row>
    <row r="124" spans="1:6" ht="20.25" customHeight="1" x14ac:dyDescent="0.3">
      <c r="A124" s="256">
        <v>7</v>
      </c>
      <c r="B124" s="257" t="s">
        <v>445</v>
      </c>
      <c r="C124" s="260">
        <v>1402</v>
      </c>
      <c r="D124" s="260">
        <v>2740</v>
      </c>
      <c r="E124" s="260">
        <f t="shared" si="16"/>
        <v>1338</v>
      </c>
      <c r="F124" s="259">
        <f t="shared" si="17"/>
        <v>0.95435092724679027</v>
      </c>
    </row>
    <row r="125" spans="1:6" ht="20.25" customHeight="1" x14ac:dyDescent="0.3">
      <c r="A125" s="256">
        <v>8</v>
      </c>
      <c r="B125" s="257" t="s">
        <v>446</v>
      </c>
      <c r="C125" s="260">
        <v>216</v>
      </c>
      <c r="D125" s="260">
        <v>433</v>
      </c>
      <c r="E125" s="260">
        <f t="shared" si="16"/>
        <v>217</v>
      </c>
      <c r="F125" s="259">
        <f t="shared" si="17"/>
        <v>1.0046296296296295</v>
      </c>
    </row>
    <row r="126" spans="1:6" ht="20.25" customHeight="1" x14ac:dyDescent="0.3">
      <c r="A126" s="256">
        <v>9</v>
      </c>
      <c r="B126" s="257" t="s">
        <v>447</v>
      </c>
      <c r="C126" s="260">
        <v>80</v>
      </c>
      <c r="D126" s="260">
        <v>161</v>
      </c>
      <c r="E126" s="260">
        <f t="shared" si="16"/>
        <v>81</v>
      </c>
      <c r="F126" s="259">
        <f t="shared" si="17"/>
        <v>1.0125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6862180</v>
      </c>
      <c r="D127" s="263">
        <f>+D118+D120</f>
        <v>13060722</v>
      </c>
      <c r="E127" s="263">
        <f t="shared" si="16"/>
        <v>6198542</v>
      </c>
      <c r="F127" s="264">
        <f t="shared" si="17"/>
        <v>0.90329049952056051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2424311</v>
      </c>
      <c r="D128" s="263">
        <f>+D119+D121</f>
        <v>4293518</v>
      </c>
      <c r="E128" s="263">
        <f t="shared" si="16"/>
        <v>1869207</v>
      </c>
      <c r="F128" s="264">
        <f t="shared" si="17"/>
        <v>0.77102607709984405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25735857</v>
      </c>
      <c r="D144" s="258">
        <v>27980879</v>
      </c>
      <c r="E144" s="258">
        <f t="shared" ref="E144:E154" si="20">D144-C144</f>
        <v>2245022</v>
      </c>
      <c r="F144" s="259">
        <f t="shared" ref="F144:F154" si="21">IF(C144=0,0,E144/C144)</f>
        <v>8.7233232606165015E-2</v>
      </c>
    </row>
    <row r="145" spans="1:6" ht="20.25" customHeight="1" x14ac:dyDescent="0.3">
      <c r="A145" s="256">
        <v>2</v>
      </c>
      <c r="B145" s="257" t="s">
        <v>442</v>
      </c>
      <c r="C145" s="258">
        <v>10196127</v>
      </c>
      <c r="D145" s="258">
        <v>10781682</v>
      </c>
      <c r="E145" s="258">
        <f t="shared" si="20"/>
        <v>585555</v>
      </c>
      <c r="F145" s="259">
        <f t="shared" si="21"/>
        <v>5.7429159130716986E-2</v>
      </c>
    </row>
    <row r="146" spans="1:6" ht="20.25" customHeight="1" x14ac:dyDescent="0.3">
      <c r="A146" s="256">
        <v>3</v>
      </c>
      <c r="B146" s="257" t="s">
        <v>443</v>
      </c>
      <c r="C146" s="258">
        <v>17933021</v>
      </c>
      <c r="D146" s="258">
        <v>19328335</v>
      </c>
      <c r="E146" s="258">
        <f t="shared" si="20"/>
        <v>1395314</v>
      </c>
      <c r="F146" s="259">
        <f t="shared" si="21"/>
        <v>7.7806968496830511E-2</v>
      </c>
    </row>
    <row r="147" spans="1:6" ht="20.25" customHeight="1" x14ac:dyDescent="0.3">
      <c r="A147" s="256">
        <v>4</v>
      </c>
      <c r="B147" s="257" t="s">
        <v>444</v>
      </c>
      <c r="C147" s="258">
        <v>4852902</v>
      </c>
      <c r="D147" s="258">
        <v>4188671</v>
      </c>
      <c r="E147" s="258">
        <f t="shared" si="20"/>
        <v>-664231</v>
      </c>
      <c r="F147" s="259">
        <f t="shared" si="21"/>
        <v>-0.1368729473622175</v>
      </c>
    </row>
    <row r="148" spans="1:6" ht="20.25" customHeight="1" x14ac:dyDescent="0.3">
      <c r="A148" s="256">
        <v>5</v>
      </c>
      <c r="B148" s="257" t="s">
        <v>381</v>
      </c>
      <c r="C148" s="260">
        <v>982</v>
      </c>
      <c r="D148" s="260">
        <v>970</v>
      </c>
      <c r="E148" s="260">
        <f t="shared" si="20"/>
        <v>-12</v>
      </c>
      <c r="F148" s="259">
        <f t="shared" si="21"/>
        <v>-1.2219959266802444E-2</v>
      </c>
    </row>
    <row r="149" spans="1:6" ht="20.25" customHeight="1" x14ac:dyDescent="0.3">
      <c r="A149" s="256">
        <v>6</v>
      </c>
      <c r="B149" s="257" t="s">
        <v>380</v>
      </c>
      <c r="C149" s="260">
        <v>4410</v>
      </c>
      <c r="D149" s="260">
        <v>4391</v>
      </c>
      <c r="E149" s="260">
        <f t="shared" si="20"/>
        <v>-19</v>
      </c>
      <c r="F149" s="259">
        <f t="shared" si="21"/>
        <v>-4.3083900226757368E-3</v>
      </c>
    </row>
    <row r="150" spans="1:6" ht="20.25" customHeight="1" x14ac:dyDescent="0.3">
      <c r="A150" s="256">
        <v>7</v>
      </c>
      <c r="B150" s="257" t="s">
        <v>445</v>
      </c>
      <c r="C150" s="260">
        <v>10492</v>
      </c>
      <c r="D150" s="260">
        <v>10886</v>
      </c>
      <c r="E150" s="260">
        <f t="shared" si="20"/>
        <v>394</v>
      </c>
      <c r="F150" s="259">
        <f t="shared" si="21"/>
        <v>3.7552420892108272E-2</v>
      </c>
    </row>
    <row r="151" spans="1:6" ht="20.25" customHeight="1" x14ac:dyDescent="0.3">
      <c r="A151" s="256">
        <v>8</v>
      </c>
      <c r="B151" s="257" t="s">
        <v>446</v>
      </c>
      <c r="C151" s="260">
        <v>1619</v>
      </c>
      <c r="D151" s="260">
        <v>1721</v>
      </c>
      <c r="E151" s="260">
        <f t="shared" si="20"/>
        <v>102</v>
      </c>
      <c r="F151" s="259">
        <f t="shared" si="21"/>
        <v>6.3001852995676344E-2</v>
      </c>
    </row>
    <row r="152" spans="1:6" ht="20.25" customHeight="1" x14ac:dyDescent="0.3">
      <c r="A152" s="256">
        <v>9</v>
      </c>
      <c r="B152" s="257" t="s">
        <v>447</v>
      </c>
      <c r="C152" s="260">
        <v>600</v>
      </c>
      <c r="D152" s="260">
        <v>640</v>
      </c>
      <c r="E152" s="260">
        <f t="shared" si="20"/>
        <v>40</v>
      </c>
      <c r="F152" s="259">
        <f t="shared" si="21"/>
        <v>6.6666666666666666E-2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43668878</v>
      </c>
      <c r="D153" s="263">
        <f>+D144+D146</f>
        <v>47309214</v>
      </c>
      <c r="E153" s="263">
        <f t="shared" si="20"/>
        <v>3640336</v>
      </c>
      <c r="F153" s="264">
        <f t="shared" si="21"/>
        <v>8.3362251716199348E-2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15049029</v>
      </c>
      <c r="D154" s="263">
        <f>+D145+D147</f>
        <v>14970353</v>
      </c>
      <c r="E154" s="263">
        <f t="shared" si="20"/>
        <v>-78676</v>
      </c>
      <c r="F154" s="264">
        <f t="shared" si="21"/>
        <v>-5.2279784961541372E-3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50577239</v>
      </c>
      <c r="D198" s="263">
        <f t="shared" si="28"/>
        <v>61289942</v>
      </c>
      <c r="E198" s="263">
        <f t="shared" ref="E198:E208" si="29">D198-C198</f>
        <v>10712703</v>
      </c>
      <c r="F198" s="273">
        <f t="shared" ref="F198:F208" si="30">IF(C198=0,0,E198/C198)</f>
        <v>0.21180877429865241</v>
      </c>
    </row>
    <row r="199" spans="1:9" ht="20.25" customHeight="1" x14ac:dyDescent="0.3">
      <c r="A199" s="271"/>
      <c r="B199" s="272" t="s">
        <v>466</v>
      </c>
      <c r="C199" s="263">
        <f t="shared" si="28"/>
        <v>19901948</v>
      </c>
      <c r="D199" s="263">
        <f t="shared" si="28"/>
        <v>23954155</v>
      </c>
      <c r="E199" s="263">
        <f t="shared" si="29"/>
        <v>4052207</v>
      </c>
      <c r="F199" s="273">
        <f t="shared" si="30"/>
        <v>0.20360856133279015</v>
      </c>
    </row>
    <row r="200" spans="1:9" ht="20.25" customHeight="1" x14ac:dyDescent="0.3">
      <c r="A200" s="271"/>
      <c r="B200" s="272" t="s">
        <v>467</v>
      </c>
      <c r="C200" s="263">
        <f t="shared" si="28"/>
        <v>37682240</v>
      </c>
      <c r="D200" s="263">
        <f t="shared" si="28"/>
        <v>46387397</v>
      </c>
      <c r="E200" s="263">
        <f t="shared" si="29"/>
        <v>8705157</v>
      </c>
      <c r="F200" s="273">
        <f t="shared" si="30"/>
        <v>0.23101484943570233</v>
      </c>
    </row>
    <row r="201" spans="1:9" ht="20.25" customHeight="1" x14ac:dyDescent="0.3">
      <c r="A201" s="271"/>
      <c r="B201" s="272" t="s">
        <v>468</v>
      </c>
      <c r="C201" s="263">
        <f t="shared" si="28"/>
        <v>9974088</v>
      </c>
      <c r="D201" s="263">
        <f t="shared" si="28"/>
        <v>10225786</v>
      </c>
      <c r="E201" s="263">
        <f t="shared" si="29"/>
        <v>251698</v>
      </c>
      <c r="F201" s="273">
        <f t="shared" si="30"/>
        <v>2.5235189422832444E-2</v>
      </c>
    </row>
    <row r="202" spans="1:9" ht="20.25" customHeight="1" x14ac:dyDescent="0.3">
      <c r="A202" s="271"/>
      <c r="B202" s="272" t="s">
        <v>138</v>
      </c>
      <c r="C202" s="274">
        <f t="shared" si="28"/>
        <v>1959</v>
      </c>
      <c r="D202" s="274">
        <f t="shared" si="28"/>
        <v>2197</v>
      </c>
      <c r="E202" s="274">
        <f t="shared" si="29"/>
        <v>238</v>
      </c>
      <c r="F202" s="273">
        <f t="shared" si="30"/>
        <v>0.12149055640632976</v>
      </c>
    </row>
    <row r="203" spans="1:9" ht="20.25" customHeight="1" x14ac:dyDescent="0.3">
      <c r="A203" s="271"/>
      <c r="B203" s="272" t="s">
        <v>140</v>
      </c>
      <c r="C203" s="274">
        <f t="shared" si="28"/>
        <v>8575</v>
      </c>
      <c r="D203" s="274">
        <f t="shared" si="28"/>
        <v>9486</v>
      </c>
      <c r="E203" s="274">
        <f t="shared" si="29"/>
        <v>911</v>
      </c>
      <c r="F203" s="273">
        <f t="shared" si="30"/>
        <v>0.10623906705539359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20715</v>
      </c>
      <c r="D204" s="274">
        <f t="shared" si="28"/>
        <v>23759</v>
      </c>
      <c r="E204" s="274">
        <f t="shared" si="29"/>
        <v>3044</v>
      </c>
      <c r="F204" s="273">
        <f t="shared" si="30"/>
        <v>0.14694665701182719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3196</v>
      </c>
      <c r="D205" s="274">
        <f t="shared" si="28"/>
        <v>3757</v>
      </c>
      <c r="E205" s="274">
        <f t="shared" si="29"/>
        <v>561</v>
      </c>
      <c r="F205" s="273">
        <f t="shared" si="30"/>
        <v>0.17553191489361702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1185</v>
      </c>
      <c r="D206" s="274">
        <f t="shared" si="28"/>
        <v>1397</v>
      </c>
      <c r="E206" s="274">
        <f t="shared" si="29"/>
        <v>212</v>
      </c>
      <c r="F206" s="273">
        <f t="shared" si="30"/>
        <v>0.17890295358649788</v>
      </c>
    </row>
    <row r="207" spans="1:9" ht="20.25" customHeight="1" x14ac:dyDescent="0.3">
      <c r="A207" s="271"/>
      <c r="B207" s="262" t="s">
        <v>471</v>
      </c>
      <c r="C207" s="263">
        <f>+C198+C200</f>
        <v>88259479</v>
      </c>
      <c r="D207" s="263">
        <f>+D198+D200</f>
        <v>107677339</v>
      </c>
      <c r="E207" s="263">
        <f t="shared" si="29"/>
        <v>19417860</v>
      </c>
      <c r="F207" s="273">
        <f t="shared" si="30"/>
        <v>0.2200087766210358</v>
      </c>
    </row>
    <row r="208" spans="1:9" ht="20.25" customHeight="1" x14ac:dyDescent="0.3">
      <c r="A208" s="271"/>
      <c r="B208" s="262" t="s">
        <v>472</v>
      </c>
      <c r="C208" s="263">
        <f>+C199+C201</f>
        <v>29876036</v>
      </c>
      <c r="D208" s="263">
        <f>+D199+D201</f>
        <v>34179941</v>
      </c>
      <c r="E208" s="263">
        <f t="shared" si="29"/>
        <v>4303905</v>
      </c>
      <c r="F208" s="273">
        <f t="shared" si="30"/>
        <v>0.1440587700456647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4892220</v>
      </c>
      <c r="D26" s="258">
        <v>0</v>
      </c>
      <c r="E26" s="258">
        <f t="shared" ref="E26:E36" si="2">D26-C26</f>
        <v>-4892220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837978</v>
      </c>
      <c r="D27" s="258">
        <v>0</v>
      </c>
      <c r="E27" s="258">
        <f t="shared" si="2"/>
        <v>-837978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11092980</v>
      </c>
      <c r="D28" s="258">
        <v>0</v>
      </c>
      <c r="E28" s="258">
        <f t="shared" si="2"/>
        <v>-11092980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4229312</v>
      </c>
      <c r="D29" s="258">
        <v>0</v>
      </c>
      <c r="E29" s="258">
        <f t="shared" si="2"/>
        <v>-4229312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342</v>
      </c>
      <c r="D30" s="260">
        <v>0</v>
      </c>
      <c r="E30" s="260">
        <f t="shared" si="2"/>
        <v>-342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940</v>
      </c>
      <c r="D31" s="260">
        <v>0</v>
      </c>
      <c r="E31" s="260">
        <f t="shared" si="2"/>
        <v>-940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2113</v>
      </c>
      <c r="D32" s="260">
        <v>0</v>
      </c>
      <c r="E32" s="260">
        <f t="shared" si="2"/>
        <v>-2113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6314</v>
      </c>
      <c r="D33" s="260">
        <v>0</v>
      </c>
      <c r="E33" s="260">
        <f t="shared" si="2"/>
        <v>-6314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418</v>
      </c>
      <c r="D34" s="260">
        <v>0</v>
      </c>
      <c r="E34" s="260">
        <f t="shared" si="2"/>
        <v>-418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15985200</v>
      </c>
      <c r="D35" s="263">
        <f>+D26+D28</f>
        <v>0</v>
      </c>
      <c r="E35" s="263">
        <f t="shared" si="2"/>
        <v>-15985200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5067290</v>
      </c>
      <c r="D36" s="263">
        <f>+D27+D29</f>
        <v>0</v>
      </c>
      <c r="E36" s="263">
        <f t="shared" si="2"/>
        <v>-5067290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522792</v>
      </c>
      <c r="D86" s="258">
        <v>0</v>
      </c>
      <c r="E86" s="258">
        <f t="shared" ref="E86:E96" si="12">D86-C86</f>
        <v>-522792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141330</v>
      </c>
      <c r="D87" s="258">
        <v>0</v>
      </c>
      <c r="E87" s="258">
        <f t="shared" si="12"/>
        <v>-141330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991318</v>
      </c>
      <c r="D88" s="258">
        <v>0</v>
      </c>
      <c r="E88" s="258">
        <f t="shared" si="12"/>
        <v>-991318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304610</v>
      </c>
      <c r="D89" s="258">
        <v>0</v>
      </c>
      <c r="E89" s="258">
        <f t="shared" si="12"/>
        <v>-304610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33</v>
      </c>
      <c r="D90" s="260">
        <v>0</v>
      </c>
      <c r="E90" s="260">
        <f t="shared" si="12"/>
        <v>-33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106</v>
      </c>
      <c r="D91" s="260">
        <v>0</v>
      </c>
      <c r="E91" s="260">
        <f t="shared" si="12"/>
        <v>-106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182</v>
      </c>
      <c r="D92" s="260">
        <v>0</v>
      </c>
      <c r="E92" s="260">
        <f t="shared" si="12"/>
        <v>-182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544</v>
      </c>
      <c r="D93" s="260">
        <v>0</v>
      </c>
      <c r="E93" s="260">
        <f t="shared" si="12"/>
        <v>-544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36</v>
      </c>
      <c r="D94" s="260">
        <v>0</v>
      </c>
      <c r="E94" s="260">
        <f t="shared" si="12"/>
        <v>-36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1514110</v>
      </c>
      <c r="D95" s="263">
        <f>+D86+D88</f>
        <v>0</v>
      </c>
      <c r="E95" s="263">
        <f t="shared" si="12"/>
        <v>-1514110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445940</v>
      </c>
      <c r="D96" s="263">
        <f>+D87+D89</f>
        <v>0</v>
      </c>
      <c r="E96" s="263">
        <f t="shared" si="12"/>
        <v>-445940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909846</v>
      </c>
      <c r="D98" s="258">
        <v>0</v>
      </c>
      <c r="E98" s="258">
        <f t="shared" ref="E98:E108" si="14">D98-C98</f>
        <v>-909846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190664</v>
      </c>
      <c r="D99" s="258">
        <v>0</v>
      </c>
      <c r="E99" s="258">
        <f t="shared" si="14"/>
        <v>-190664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1095572</v>
      </c>
      <c r="D100" s="258">
        <v>0</v>
      </c>
      <c r="E100" s="258">
        <f t="shared" si="14"/>
        <v>-1095572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264829</v>
      </c>
      <c r="D101" s="258">
        <v>0</v>
      </c>
      <c r="E101" s="258">
        <f t="shared" si="14"/>
        <v>-264829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30</v>
      </c>
      <c r="D102" s="260">
        <v>0</v>
      </c>
      <c r="E102" s="260">
        <f t="shared" si="14"/>
        <v>-30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171</v>
      </c>
      <c r="D103" s="260">
        <v>0</v>
      </c>
      <c r="E103" s="260">
        <f t="shared" si="14"/>
        <v>-171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159</v>
      </c>
      <c r="D104" s="260">
        <v>0</v>
      </c>
      <c r="E104" s="260">
        <f t="shared" si="14"/>
        <v>-159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476</v>
      </c>
      <c r="D105" s="260">
        <v>0</v>
      </c>
      <c r="E105" s="260">
        <f t="shared" si="14"/>
        <v>-476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31</v>
      </c>
      <c r="D106" s="260">
        <v>0</v>
      </c>
      <c r="E106" s="260">
        <f t="shared" si="14"/>
        <v>-31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2005418</v>
      </c>
      <c r="D107" s="263">
        <f>+D98+D100</f>
        <v>0</v>
      </c>
      <c r="E107" s="263">
        <f t="shared" si="14"/>
        <v>-2005418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455493</v>
      </c>
      <c r="D108" s="263">
        <f>+D99+D101</f>
        <v>0</v>
      </c>
      <c r="E108" s="263">
        <f t="shared" si="14"/>
        <v>-455493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6324858</v>
      </c>
      <c r="D112" s="263">
        <f t="shared" si="16"/>
        <v>0</v>
      </c>
      <c r="E112" s="263">
        <f t="shared" ref="E112:E122" si="17">D112-C112</f>
        <v>-6324858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1169972</v>
      </c>
      <c r="D113" s="263">
        <f t="shared" si="16"/>
        <v>0</v>
      </c>
      <c r="E113" s="263">
        <f t="shared" si="17"/>
        <v>-1169972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13179870</v>
      </c>
      <c r="D114" s="263">
        <f t="shared" si="16"/>
        <v>0</v>
      </c>
      <c r="E114" s="263">
        <f t="shared" si="17"/>
        <v>-13179870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4798751</v>
      </c>
      <c r="D115" s="263">
        <f t="shared" si="16"/>
        <v>0</v>
      </c>
      <c r="E115" s="263">
        <f t="shared" si="17"/>
        <v>-4798751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405</v>
      </c>
      <c r="D116" s="287">
        <f t="shared" si="16"/>
        <v>0</v>
      </c>
      <c r="E116" s="287">
        <f t="shared" si="17"/>
        <v>-405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1217</v>
      </c>
      <c r="D117" s="287">
        <f t="shared" si="16"/>
        <v>0</v>
      </c>
      <c r="E117" s="287">
        <f t="shared" si="17"/>
        <v>-1217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2454</v>
      </c>
      <c r="D118" s="287">
        <f t="shared" si="16"/>
        <v>0</v>
      </c>
      <c r="E118" s="287">
        <f t="shared" si="17"/>
        <v>-2454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7334</v>
      </c>
      <c r="D119" s="287">
        <f t="shared" si="16"/>
        <v>0</v>
      </c>
      <c r="E119" s="287">
        <f t="shared" si="17"/>
        <v>-7334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485</v>
      </c>
      <c r="D120" s="287">
        <f t="shared" si="16"/>
        <v>0</v>
      </c>
      <c r="E120" s="287">
        <f t="shared" si="17"/>
        <v>-485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19504728</v>
      </c>
      <c r="D121" s="263">
        <f>+D112+D114</f>
        <v>0</v>
      </c>
      <c r="E121" s="263">
        <f t="shared" si="17"/>
        <v>-19504728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5968723</v>
      </c>
      <c r="D122" s="263">
        <f>+D113+D115</f>
        <v>0</v>
      </c>
      <c r="E122" s="263">
        <f t="shared" si="17"/>
        <v>-5968723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activeCell="F41" sqref="F4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49255986</v>
      </c>
      <c r="D13" s="22">
        <v>56052328</v>
      </c>
      <c r="E13" s="22">
        <f t="shared" ref="E13:E22" si="0">D13-C13</f>
        <v>6796342</v>
      </c>
      <c r="F13" s="306">
        <f t="shared" ref="F13:F22" si="1">IF(C13=0,0,E13/C13)</f>
        <v>0.13798002135212561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900393</v>
      </c>
      <c r="E14" s="22">
        <f t="shared" si="0"/>
        <v>900393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51017877</v>
      </c>
      <c r="D15" s="22">
        <v>47943669</v>
      </c>
      <c r="E15" s="22">
        <f t="shared" si="0"/>
        <v>-3074208</v>
      </c>
      <c r="F15" s="306">
        <f t="shared" si="1"/>
        <v>-6.0257466221105199E-2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2695758</v>
      </c>
      <c r="D17" s="22">
        <v>7629401</v>
      </c>
      <c r="E17" s="22">
        <f t="shared" si="0"/>
        <v>4933643</v>
      </c>
      <c r="F17" s="306">
        <f t="shared" si="1"/>
        <v>1.8301505550572419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5979074</v>
      </c>
      <c r="D19" s="22">
        <v>5452138</v>
      </c>
      <c r="E19" s="22">
        <f t="shared" si="0"/>
        <v>-526936</v>
      </c>
      <c r="F19" s="306">
        <f t="shared" si="1"/>
        <v>-8.813003485155059E-2</v>
      </c>
    </row>
    <row r="20" spans="1:11" ht="24" customHeight="1" x14ac:dyDescent="0.2">
      <c r="A20" s="304">
        <v>8</v>
      </c>
      <c r="B20" s="305" t="s">
        <v>23</v>
      </c>
      <c r="C20" s="22">
        <v>4865186</v>
      </c>
      <c r="D20" s="22">
        <v>4636259</v>
      </c>
      <c r="E20" s="22">
        <f t="shared" si="0"/>
        <v>-228927</v>
      </c>
      <c r="F20" s="306">
        <f t="shared" si="1"/>
        <v>-4.7054110572545431E-2</v>
      </c>
    </row>
    <row r="21" spans="1:11" ht="24" customHeight="1" x14ac:dyDescent="0.2">
      <c r="A21" s="304">
        <v>9</v>
      </c>
      <c r="B21" s="305" t="s">
        <v>24</v>
      </c>
      <c r="C21" s="22">
        <v>16842387</v>
      </c>
      <c r="D21" s="22">
        <v>12218740</v>
      </c>
      <c r="E21" s="22">
        <f t="shared" si="0"/>
        <v>-4623647</v>
      </c>
      <c r="F21" s="306">
        <f t="shared" si="1"/>
        <v>-0.27452444834571249</v>
      </c>
    </row>
    <row r="22" spans="1:11" ht="24" customHeight="1" x14ac:dyDescent="0.25">
      <c r="A22" s="307"/>
      <c r="B22" s="308" t="s">
        <v>25</v>
      </c>
      <c r="C22" s="309">
        <f>SUM(C13:C21)</f>
        <v>130656268</v>
      </c>
      <c r="D22" s="309">
        <f>SUM(D13:D21)</f>
        <v>134832928</v>
      </c>
      <c r="E22" s="309">
        <f t="shared" si="0"/>
        <v>4176660</v>
      </c>
      <c r="F22" s="310">
        <f t="shared" si="1"/>
        <v>3.1966778662314156E-2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15197497</v>
      </c>
      <c r="D25" s="22">
        <v>15979552</v>
      </c>
      <c r="E25" s="22">
        <f>D25-C25</f>
        <v>782055</v>
      </c>
      <c r="F25" s="306">
        <f>IF(C25=0,0,E25/C25)</f>
        <v>5.1459460725670814E-2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15197497</v>
      </c>
      <c r="D29" s="309">
        <f>SUM(D25:D28)</f>
        <v>15979552</v>
      </c>
      <c r="E29" s="309">
        <f>D29-C29</f>
        <v>782055</v>
      </c>
      <c r="F29" s="310">
        <f>IF(C29=0,0,E29/C29)</f>
        <v>5.1459460725670814E-2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154149077</v>
      </c>
      <c r="D32" s="22">
        <v>154908280</v>
      </c>
      <c r="E32" s="22">
        <f>D32-C32</f>
        <v>759203</v>
      </c>
      <c r="F32" s="306">
        <f>IF(C32=0,0,E32/C32)</f>
        <v>4.9251219324524401E-3</v>
      </c>
    </row>
    <row r="33" spans="1:8" ht="24" customHeight="1" x14ac:dyDescent="0.2">
      <c r="A33" s="304">
        <v>7</v>
      </c>
      <c r="B33" s="305" t="s">
        <v>35</v>
      </c>
      <c r="C33" s="22">
        <v>15100626</v>
      </c>
      <c r="D33" s="22">
        <v>16942475</v>
      </c>
      <c r="E33" s="22">
        <f>D33-C33</f>
        <v>1841849</v>
      </c>
      <c r="F33" s="306">
        <f>IF(C33=0,0,E33/C33)</f>
        <v>0.12197169839184151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446553053</v>
      </c>
      <c r="D36" s="22">
        <v>398370923</v>
      </c>
      <c r="E36" s="22">
        <f>D36-C36</f>
        <v>-48182130</v>
      </c>
      <c r="F36" s="306">
        <f>IF(C36=0,0,E36/C36)</f>
        <v>-0.10789788509183029</v>
      </c>
    </row>
    <row r="37" spans="1:8" ht="24" customHeight="1" x14ac:dyDescent="0.2">
      <c r="A37" s="304">
        <v>2</v>
      </c>
      <c r="B37" s="305" t="s">
        <v>39</v>
      </c>
      <c r="C37" s="22">
        <v>279065637</v>
      </c>
      <c r="D37" s="22">
        <v>236304138</v>
      </c>
      <c r="E37" s="22">
        <f>D37-C37</f>
        <v>-42761499</v>
      </c>
      <c r="F37" s="22">
        <f>IF(C37=0,0,E37/C37)</f>
        <v>-0.15323097268331895</v>
      </c>
    </row>
    <row r="38" spans="1:8" ht="24" customHeight="1" x14ac:dyDescent="0.25">
      <c r="A38" s="307"/>
      <c r="B38" s="308" t="s">
        <v>40</v>
      </c>
      <c r="C38" s="309">
        <f>C36-C37</f>
        <v>167487416</v>
      </c>
      <c r="D38" s="309">
        <f>D36-D37</f>
        <v>162066785</v>
      </c>
      <c r="E38" s="309">
        <f>D38-C38</f>
        <v>-5420631</v>
      </c>
      <c r="F38" s="310">
        <f>IF(C38=0,0,E38/C38)</f>
        <v>-3.2364407604210693E-2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2754963</v>
      </c>
      <c r="D40" s="22">
        <v>20090990</v>
      </c>
      <c r="E40" s="22">
        <f>D40-C40</f>
        <v>17336027</v>
      </c>
      <c r="F40" s="306">
        <f>IF(C40=0,0,E40/C40)</f>
        <v>6.2926532951622214</v>
      </c>
    </row>
    <row r="41" spans="1:8" ht="24" customHeight="1" x14ac:dyDescent="0.25">
      <c r="A41" s="307"/>
      <c r="B41" s="308" t="s">
        <v>42</v>
      </c>
      <c r="C41" s="309">
        <f>+C38+C40</f>
        <v>170242379</v>
      </c>
      <c r="D41" s="309">
        <f>+D38+D40</f>
        <v>182157775</v>
      </c>
      <c r="E41" s="309">
        <f>D41-C41</f>
        <v>11915396</v>
      </c>
      <c r="F41" s="310">
        <f>IF(C41=0,0,E41/C41)</f>
        <v>6.9990774741229389E-2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485345847</v>
      </c>
      <c r="D43" s="309">
        <f>D22+D29+D31+D32+D33+D41</f>
        <v>504821010</v>
      </c>
      <c r="E43" s="309">
        <f>D43-C43</f>
        <v>19475163</v>
      </c>
      <c r="F43" s="310">
        <f>IF(C43=0,0,E43/C43)</f>
        <v>4.0126361686988951E-2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28625638</v>
      </c>
      <c r="D49" s="22">
        <v>28396482</v>
      </c>
      <c r="E49" s="22">
        <f t="shared" ref="E49:E56" si="2">D49-C49</f>
        <v>-229156</v>
      </c>
      <c r="F49" s="306">
        <f t="shared" ref="F49:F56" si="3">IF(C49=0,0,E49/C49)</f>
        <v>-8.0052713584933891E-3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15541850</v>
      </c>
      <c r="D50" s="22">
        <v>14615968</v>
      </c>
      <c r="E50" s="22">
        <f t="shared" si="2"/>
        <v>-925882</v>
      </c>
      <c r="F50" s="306">
        <f t="shared" si="3"/>
        <v>-5.9573474200304337E-2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19811295</v>
      </c>
      <c r="D51" s="22">
        <v>12896861</v>
      </c>
      <c r="E51" s="22">
        <f t="shared" si="2"/>
        <v>-6914434</v>
      </c>
      <c r="F51" s="306">
        <f t="shared" si="3"/>
        <v>-0.34901474133821137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4416183</v>
      </c>
      <c r="D52" s="22">
        <v>5154351</v>
      </c>
      <c r="E52" s="22">
        <f t="shared" si="2"/>
        <v>738168</v>
      </c>
      <c r="F52" s="306">
        <f t="shared" si="3"/>
        <v>0.16715068193505567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2941156</v>
      </c>
      <c r="D53" s="22">
        <v>3320243</v>
      </c>
      <c r="E53" s="22">
        <f t="shared" si="2"/>
        <v>379087</v>
      </c>
      <c r="F53" s="306">
        <f t="shared" si="3"/>
        <v>0.12889047707772047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17978134</v>
      </c>
      <c r="D55" s="22">
        <v>13115642</v>
      </c>
      <c r="E55" s="22">
        <f t="shared" si="2"/>
        <v>-4862492</v>
      </c>
      <c r="F55" s="306">
        <f t="shared" si="3"/>
        <v>-0.27046700174778987</v>
      </c>
    </row>
    <row r="56" spans="1:6" ht="24" customHeight="1" x14ac:dyDescent="0.25">
      <c r="A56" s="307"/>
      <c r="B56" s="308" t="s">
        <v>54</v>
      </c>
      <c r="C56" s="309">
        <f>SUM(C49:C55)</f>
        <v>89314256</v>
      </c>
      <c r="D56" s="309">
        <f>SUM(D49:D55)</f>
        <v>77499547</v>
      </c>
      <c r="E56" s="309">
        <f t="shared" si="2"/>
        <v>-11814709</v>
      </c>
      <c r="F56" s="310">
        <f t="shared" si="3"/>
        <v>-0.13228245443818062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1367741</v>
      </c>
      <c r="D60" s="22">
        <v>652997</v>
      </c>
      <c r="E60" s="22">
        <f>D60-C60</f>
        <v>-714744</v>
      </c>
      <c r="F60" s="306">
        <f>IF(C60=0,0,E60/C60)</f>
        <v>-0.52257262157089679</v>
      </c>
    </row>
    <row r="61" spans="1:6" ht="24" customHeight="1" x14ac:dyDescent="0.25">
      <c r="A61" s="307"/>
      <c r="B61" s="308" t="s">
        <v>58</v>
      </c>
      <c r="C61" s="309">
        <f>SUM(C59:C60)</f>
        <v>1367741</v>
      </c>
      <c r="D61" s="309">
        <f>SUM(D59:D60)</f>
        <v>652997</v>
      </c>
      <c r="E61" s="309">
        <f>D61-C61</f>
        <v>-714744</v>
      </c>
      <c r="F61" s="310">
        <f>IF(C61=0,0,E61/C61)</f>
        <v>-0.52257262157089679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141985877</v>
      </c>
      <c r="D63" s="22">
        <v>65894053</v>
      </c>
      <c r="E63" s="22">
        <f>D63-C63</f>
        <v>-76091824</v>
      </c>
      <c r="F63" s="306">
        <f>IF(C63=0,0,E63/C63)</f>
        <v>-0.53591121601481528</v>
      </c>
    </row>
    <row r="64" spans="1:6" ht="24" customHeight="1" x14ac:dyDescent="0.2">
      <c r="A64" s="304">
        <v>4</v>
      </c>
      <c r="B64" s="305" t="s">
        <v>60</v>
      </c>
      <c r="C64" s="22">
        <v>86827824</v>
      </c>
      <c r="D64" s="22">
        <v>90216090</v>
      </c>
      <c r="E64" s="22">
        <f>D64-C64</f>
        <v>3388266</v>
      </c>
      <c r="F64" s="306">
        <f>IF(C64=0,0,E64/C64)</f>
        <v>3.9022813700824749E-2</v>
      </c>
    </row>
    <row r="65" spans="1:6" ht="24" customHeight="1" x14ac:dyDescent="0.25">
      <c r="A65" s="307"/>
      <c r="B65" s="308" t="s">
        <v>61</v>
      </c>
      <c r="C65" s="309">
        <f>SUM(C61:C64)</f>
        <v>230181442</v>
      </c>
      <c r="D65" s="309">
        <f>SUM(D61:D64)</f>
        <v>156763140</v>
      </c>
      <c r="E65" s="309">
        <f>D65-C65</f>
        <v>-73418302</v>
      </c>
      <c r="F65" s="310">
        <f>IF(C65=0,0,E65/C65)</f>
        <v>-0.3189583893561671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123899268</v>
      </c>
      <c r="D70" s="22">
        <v>223258476</v>
      </c>
      <c r="E70" s="22">
        <f>D70-C70</f>
        <v>99359208</v>
      </c>
      <c r="F70" s="306">
        <f>IF(C70=0,0,E70/C70)</f>
        <v>0.80193539157955318</v>
      </c>
    </row>
    <row r="71" spans="1:6" ht="24" customHeight="1" x14ac:dyDescent="0.2">
      <c r="A71" s="304">
        <v>2</v>
      </c>
      <c r="B71" s="305" t="s">
        <v>65</v>
      </c>
      <c r="C71" s="22">
        <v>20068571</v>
      </c>
      <c r="D71" s="22">
        <v>24426744</v>
      </c>
      <c r="E71" s="22">
        <f>D71-C71</f>
        <v>4358173</v>
      </c>
      <c r="F71" s="306">
        <f>IF(C71=0,0,E71/C71)</f>
        <v>0.21716409205219445</v>
      </c>
    </row>
    <row r="72" spans="1:6" ht="24" customHeight="1" x14ac:dyDescent="0.2">
      <c r="A72" s="304">
        <v>3</v>
      </c>
      <c r="B72" s="305" t="s">
        <v>66</v>
      </c>
      <c r="C72" s="22">
        <v>21882310</v>
      </c>
      <c r="D72" s="22">
        <v>22873103</v>
      </c>
      <c r="E72" s="22">
        <f>D72-C72</f>
        <v>990793</v>
      </c>
      <c r="F72" s="306">
        <f>IF(C72=0,0,E72/C72)</f>
        <v>4.527826358368929E-2</v>
      </c>
    </row>
    <row r="73" spans="1:6" ht="24" customHeight="1" x14ac:dyDescent="0.25">
      <c r="A73" s="304"/>
      <c r="B73" s="308" t="s">
        <v>67</v>
      </c>
      <c r="C73" s="309">
        <f>SUM(C70:C72)</f>
        <v>165850149</v>
      </c>
      <c r="D73" s="309">
        <f>SUM(D70:D72)</f>
        <v>270558323</v>
      </c>
      <c r="E73" s="309">
        <f>D73-C73</f>
        <v>104708174</v>
      </c>
      <c r="F73" s="310">
        <f>IF(C73=0,0,E73/C73)</f>
        <v>0.63134205565290147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485345847</v>
      </c>
      <c r="D75" s="309">
        <f>D56+D65+D67+D73</f>
        <v>504821010</v>
      </c>
      <c r="E75" s="309">
        <f>D75-C75</f>
        <v>19475163</v>
      </c>
      <c r="F75" s="310">
        <f>IF(C75=0,0,E75/C75)</f>
        <v>4.0126361686988951E-2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893522473</v>
      </c>
      <c r="D11" s="76">
        <v>915417855</v>
      </c>
      <c r="E11" s="76">
        <f t="shared" ref="E11:E20" si="0">D11-C11</f>
        <v>21895382</v>
      </c>
      <c r="F11" s="77">
        <f t="shared" ref="F11:F20" si="1">IF(C11=0,0,E11/C11)</f>
        <v>2.4504567777110627E-2</v>
      </c>
    </row>
    <row r="12" spans="1:7" ht="23.1" customHeight="1" x14ac:dyDescent="0.2">
      <c r="A12" s="74">
        <v>2</v>
      </c>
      <c r="B12" s="75" t="s">
        <v>72</v>
      </c>
      <c r="C12" s="76">
        <v>473120887</v>
      </c>
      <c r="D12" s="76">
        <v>496600768</v>
      </c>
      <c r="E12" s="76">
        <f t="shared" si="0"/>
        <v>23479881</v>
      </c>
      <c r="F12" s="77">
        <f t="shared" si="1"/>
        <v>4.9627656789542667E-2</v>
      </c>
    </row>
    <row r="13" spans="1:7" ht="23.1" customHeight="1" x14ac:dyDescent="0.2">
      <c r="A13" s="74">
        <v>3</v>
      </c>
      <c r="B13" s="75" t="s">
        <v>73</v>
      </c>
      <c r="C13" s="76">
        <v>6791581</v>
      </c>
      <c r="D13" s="76">
        <v>16331771</v>
      </c>
      <c r="E13" s="76">
        <f t="shared" si="0"/>
        <v>9540190</v>
      </c>
      <c r="F13" s="77">
        <f t="shared" si="1"/>
        <v>1.4047082704306995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413610005</v>
      </c>
      <c r="D15" s="79">
        <f>D11-D12-D13-D14</f>
        <v>402485316</v>
      </c>
      <c r="E15" s="79">
        <f t="shared" si="0"/>
        <v>-11124689</v>
      </c>
      <c r="F15" s="80">
        <f t="shared" si="1"/>
        <v>-2.6896566489004538E-2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9961023</v>
      </c>
      <c r="E16" s="76">
        <f t="shared" si="0"/>
        <v>9961023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413610005</v>
      </c>
      <c r="D17" s="79">
        <f>D15-D16</f>
        <v>392524293</v>
      </c>
      <c r="E17" s="79">
        <f t="shared" si="0"/>
        <v>-21085712</v>
      </c>
      <c r="F17" s="80">
        <f t="shared" si="1"/>
        <v>-5.0979695232469049E-2</v>
      </c>
    </row>
    <row r="18" spans="1:7" ht="23.1" customHeight="1" x14ac:dyDescent="0.2">
      <c r="A18" s="74">
        <v>6</v>
      </c>
      <c r="B18" s="75" t="s">
        <v>78</v>
      </c>
      <c r="C18" s="76">
        <v>52062830</v>
      </c>
      <c r="D18" s="76">
        <v>47497591</v>
      </c>
      <c r="E18" s="76">
        <f t="shared" si="0"/>
        <v>-4565239</v>
      </c>
      <c r="F18" s="77">
        <f t="shared" si="1"/>
        <v>-8.7687108057706423E-2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1608503</v>
      </c>
      <c r="D19" s="76">
        <v>1885094</v>
      </c>
      <c r="E19" s="76">
        <f t="shared" si="0"/>
        <v>276591</v>
      </c>
      <c r="F19" s="77">
        <f t="shared" si="1"/>
        <v>0.17195553878357703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467281338</v>
      </c>
      <c r="D20" s="79">
        <f>SUM(D17:D19)</f>
        <v>441906978</v>
      </c>
      <c r="E20" s="79">
        <f t="shared" si="0"/>
        <v>-25374360</v>
      </c>
      <c r="F20" s="80">
        <f t="shared" si="1"/>
        <v>-5.430210439946994E-2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195803676</v>
      </c>
      <c r="D23" s="76">
        <v>199195663</v>
      </c>
      <c r="E23" s="76">
        <f t="shared" ref="E23:E32" si="2">D23-C23</f>
        <v>3391987</v>
      </c>
      <c r="F23" s="77">
        <f t="shared" ref="F23:F32" si="3">IF(C23=0,0,E23/C23)</f>
        <v>1.7323408167270567E-2</v>
      </c>
    </row>
    <row r="24" spans="1:7" ht="23.1" customHeight="1" x14ac:dyDescent="0.2">
      <c r="A24" s="74">
        <v>2</v>
      </c>
      <c r="B24" s="75" t="s">
        <v>83</v>
      </c>
      <c r="C24" s="76">
        <v>50518592</v>
      </c>
      <c r="D24" s="76">
        <v>59417679</v>
      </c>
      <c r="E24" s="76">
        <f t="shared" si="2"/>
        <v>8899087</v>
      </c>
      <c r="F24" s="77">
        <f t="shared" si="3"/>
        <v>0.17615469172220793</v>
      </c>
    </row>
    <row r="25" spans="1:7" ht="23.1" customHeight="1" x14ac:dyDescent="0.2">
      <c r="A25" s="74">
        <v>3</v>
      </c>
      <c r="B25" s="75" t="s">
        <v>84</v>
      </c>
      <c r="C25" s="76">
        <v>11822724</v>
      </c>
      <c r="D25" s="76">
        <v>10145410</v>
      </c>
      <c r="E25" s="76">
        <f t="shared" si="2"/>
        <v>-1677314</v>
      </c>
      <c r="F25" s="77">
        <f t="shared" si="3"/>
        <v>-0.14187204234827777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56631729</v>
      </c>
      <c r="D26" s="76">
        <v>60177973</v>
      </c>
      <c r="E26" s="76">
        <f t="shared" si="2"/>
        <v>3546244</v>
      </c>
      <c r="F26" s="77">
        <f t="shared" si="3"/>
        <v>6.2619384267783879E-2</v>
      </c>
    </row>
    <row r="27" spans="1:7" ht="23.1" customHeight="1" x14ac:dyDescent="0.2">
      <c r="A27" s="74">
        <v>5</v>
      </c>
      <c r="B27" s="75" t="s">
        <v>86</v>
      </c>
      <c r="C27" s="76">
        <v>21545398</v>
      </c>
      <c r="D27" s="76">
        <v>21770876</v>
      </c>
      <c r="E27" s="76">
        <f t="shared" si="2"/>
        <v>225478</v>
      </c>
      <c r="F27" s="77">
        <f t="shared" si="3"/>
        <v>1.0465251094456458E-2</v>
      </c>
    </row>
    <row r="28" spans="1:7" ht="23.1" customHeight="1" x14ac:dyDescent="0.2">
      <c r="A28" s="74">
        <v>6</v>
      </c>
      <c r="B28" s="75" t="s">
        <v>87</v>
      </c>
      <c r="C28" s="76">
        <v>17434799</v>
      </c>
      <c r="D28" s="76">
        <v>0</v>
      </c>
      <c r="E28" s="76">
        <f t="shared" si="2"/>
        <v>-17434799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1957216</v>
      </c>
      <c r="D29" s="76">
        <v>1898047</v>
      </c>
      <c r="E29" s="76">
        <f t="shared" si="2"/>
        <v>-59169</v>
      </c>
      <c r="F29" s="77">
        <f t="shared" si="3"/>
        <v>-3.0231205957850334E-2</v>
      </c>
    </row>
    <row r="30" spans="1:7" ht="23.1" customHeight="1" x14ac:dyDescent="0.2">
      <c r="A30" s="74">
        <v>8</v>
      </c>
      <c r="B30" s="75" t="s">
        <v>89</v>
      </c>
      <c r="C30" s="76">
        <v>5136177</v>
      </c>
      <c r="D30" s="76">
        <v>2558127</v>
      </c>
      <c r="E30" s="76">
        <f t="shared" si="2"/>
        <v>-2578050</v>
      </c>
      <c r="F30" s="77">
        <f t="shared" si="3"/>
        <v>-0.50193947755305157</v>
      </c>
    </row>
    <row r="31" spans="1:7" ht="23.1" customHeight="1" x14ac:dyDescent="0.2">
      <c r="A31" s="74">
        <v>9</v>
      </c>
      <c r="B31" s="75" t="s">
        <v>90</v>
      </c>
      <c r="C31" s="76">
        <v>78573779</v>
      </c>
      <c r="D31" s="76">
        <v>73903097</v>
      </c>
      <c r="E31" s="76">
        <f t="shared" si="2"/>
        <v>-4670682</v>
      </c>
      <c r="F31" s="77">
        <f t="shared" si="3"/>
        <v>-5.9443265418098322E-2</v>
      </c>
    </row>
    <row r="32" spans="1:7" ht="23.1" customHeight="1" x14ac:dyDescent="0.25">
      <c r="A32" s="71"/>
      <c r="B32" s="78" t="s">
        <v>91</v>
      </c>
      <c r="C32" s="79">
        <f>SUM(C23:C31)</f>
        <v>439424090</v>
      </c>
      <c r="D32" s="79">
        <f>SUM(D23:D31)</f>
        <v>429066872</v>
      </c>
      <c r="E32" s="79">
        <f t="shared" si="2"/>
        <v>-10357218</v>
      </c>
      <c r="F32" s="80">
        <f t="shared" si="3"/>
        <v>-2.3569982246535458E-2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27857248</v>
      </c>
      <c r="D34" s="79">
        <f>+D20-D32</f>
        <v>12840106</v>
      </c>
      <c r="E34" s="79">
        <f>D34-C34</f>
        <v>-15017142</v>
      </c>
      <c r="F34" s="80">
        <f>IF(C34=0,0,E34/C34)</f>
        <v>-0.53907485764566554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2429628</v>
      </c>
      <c r="D37" s="76">
        <v>5731301</v>
      </c>
      <c r="E37" s="76">
        <f>D37-C37</f>
        <v>3301673</v>
      </c>
      <c r="F37" s="77">
        <f>IF(C37=0,0,E37/C37)</f>
        <v>1.3589212011056837</v>
      </c>
    </row>
    <row r="38" spans="1:6" ht="23.1" customHeight="1" x14ac:dyDescent="0.2">
      <c r="A38" s="85">
        <v>2</v>
      </c>
      <c r="B38" s="75" t="s">
        <v>95</v>
      </c>
      <c r="C38" s="76">
        <v>123070</v>
      </c>
      <c r="D38" s="76">
        <v>41607</v>
      </c>
      <c r="E38" s="76">
        <f>D38-C38</f>
        <v>-81463</v>
      </c>
      <c r="F38" s="77">
        <f>IF(C38=0,0,E38/C38)</f>
        <v>-0.66192410823108805</v>
      </c>
    </row>
    <row r="39" spans="1:6" ht="23.1" customHeight="1" x14ac:dyDescent="0.2">
      <c r="A39" s="85">
        <v>3</v>
      </c>
      <c r="B39" s="75" t="s">
        <v>96</v>
      </c>
      <c r="C39" s="76">
        <v>7411344</v>
      </c>
      <c r="D39" s="76">
        <v>6048086</v>
      </c>
      <c r="E39" s="76">
        <f>D39-C39</f>
        <v>-1363258</v>
      </c>
      <c r="F39" s="77">
        <f>IF(C39=0,0,E39/C39)</f>
        <v>-0.1839420758232245</v>
      </c>
    </row>
    <row r="40" spans="1:6" ht="23.1" customHeight="1" x14ac:dyDescent="0.25">
      <c r="A40" s="83"/>
      <c r="B40" s="78" t="s">
        <v>97</v>
      </c>
      <c r="C40" s="79">
        <f>SUM(C37:C39)</f>
        <v>9964042</v>
      </c>
      <c r="D40" s="79">
        <f>SUM(D37:D39)</f>
        <v>11820994</v>
      </c>
      <c r="E40" s="79">
        <f>D40-C40</f>
        <v>1856952</v>
      </c>
      <c r="F40" s="80">
        <f>IF(C40=0,0,E40/C40)</f>
        <v>0.18636533246246856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37821290</v>
      </c>
      <c r="D42" s="79">
        <f>D34+D40</f>
        <v>24661100</v>
      </c>
      <c r="E42" s="79">
        <f>D42-C42</f>
        <v>-13160190</v>
      </c>
      <c r="F42" s="80">
        <f>IF(C42=0,0,E42/C42)</f>
        <v>-0.34795719553722254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37821290</v>
      </c>
      <c r="D49" s="79">
        <f>D42+D47</f>
        <v>24661100</v>
      </c>
      <c r="E49" s="79">
        <f>D49-C49</f>
        <v>-13160190</v>
      </c>
      <c r="F49" s="80">
        <f>IF(C49=0,0,E49/C49)</f>
        <v>-0.34795719553722254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2014-10-07T12:25:41Z</cp:lastPrinted>
  <dcterms:created xsi:type="dcterms:W3CDTF">2014-10-06T19:11:15Z</dcterms:created>
  <dcterms:modified xsi:type="dcterms:W3CDTF">2014-10-09T18:09:27Z</dcterms:modified>
</cp:coreProperties>
</file>