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  <sheet name="Sheet1" sheetId="20" r:id="rId20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Report_400!$A$10:$I$45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562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238" i="14"/>
  <c r="D237" i="14"/>
  <c r="D239" i="14"/>
  <c r="D230" i="14"/>
  <c r="D229" i="14"/>
  <c r="D226" i="14"/>
  <c r="D227" i="14"/>
  <c r="D223" i="14"/>
  <c r="D204" i="14"/>
  <c r="D269" i="14" s="1"/>
  <c r="D203" i="14"/>
  <c r="D283" i="14" s="1"/>
  <c r="D198" i="14"/>
  <c r="D290" i="14" s="1"/>
  <c r="D191" i="14"/>
  <c r="D264" i="14" s="1"/>
  <c r="D189" i="14"/>
  <c r="D278" i="14" s="1"/>
  <c r="D188" i="14"/>
  <c r="D277" i="14" s="1"/>
  <c r="D287" i="14" s="1"/>
  <c r="D180" i="14"/>
  <c r="D179" i="14"/>
  <c r="D171" i="14"/>
  <c r="D172" i="14"/>
  <c r="D170" i="14"/>
  <c r="D165" i="14"/>
  <c r="D164" i="14"/>
  <c r="D158" i="14"/>
  <c r="D159" i="14" s="1"/>
  <c r="D155" i="14"/>
  <c r="D145" i="14"/>
  <c r="D144" i="14"/>
  <c r="D146" i="14"/>
  <c r="D136" i="14"/>
  <c r="D137" i="14" s="1"/>
  <c r="D138" i="14" s="1"/>
  <c r="D135" i="14"/>
  <c r="D130" i="14"/>
  <c r="D129" i="14"/>
  <c r="D123" i="14"/>
  <c r="D192" i="14"/>
  <c r="D193" i="14" s="1"/>
  <c r="D194" i="14" s="1"/>
  <c r="D120" i="14"/>
  <c r="D110" i="14"/>
  <c r="D109" i="14"/>
  <c r="D101" i="14"/>
  <c r="D102" i="14"/>
  <c r="D103" i="14" s="1"/>
  <c r="D100" i="14"/>
  <c r="D95" i="14"/>
  <c r="D94" i="14"/>
  <c r="D88" i="14"/>
  <c r="D89" i="14" s="1"/>
  <c r="D85" i="14"/>
  <c r="D76" i="14"/>
  <c r="D77" i="14" s="1"/>
  <c r="D67" i="14"/>
  <c r="D66" i="14"/>
  <c r="D59" i="14"/>
  <c r="D60" i="14" s="1"/>
  <c r="D61" i="14" s="1"/>
  <c r="D58" i="14"/>
  <c r="D53" i="14"/>
  <c r="D52" i="14"/>
  <c r="D47" i="14"/>
  <c r="D48" i="14" s="1"/>
  <c r="D44" i="14"/>
  <c r="D36" i="14"/>
  <c r="D35" i="14"/>
  <c r="D37" i="14" s="1"/>
  <c r="D30" i="14"/>
  <c r="D31" i="14" s="1"/>
  <c r="D32" i="14" s="1"/>
  <c r="D29" i="14"/>
  <c r="D24" i="14"/>
  <c r="D23" i="14"/>
  <c r="D20" i="14"/>
  <c r="D17" i="14"/>
  <c r="E97" i="19"/>
  <c r="D97" i="19"/>
  <c r="C97" i="19"/>
  <c r="E96" i="19"/>
  <c r="D96" i="19"/>
  <c r="D98" i="19" s="1"/>
  <c r="C96" i="19"/>
  <c r="C98" i="19" s="1"/>
  <c r="E92" i="19"/>
  <c r="D92" i="19"/>
  <c r="C92" i="19"/>
  <c r="E91" i="19"/>
  <c r="E93" i="19"/>
  <c r="D91" i="19"/>
  <c r="D93" i="19"/>
  <c r="C91" i="19"/>
  <c r="E87" i="19"/>
  <c r="D87" i="19"/>
  <c r="C87" i="19"/>
  <c r="E86" i="19"/>
  <c r="E88" i="19"/>
  <c r="D86" i="19"/>
  <c r="D88" i="19" s="1"/>
  <c r="C86" i="19"/>
  <c r="C88" i="19" s="1"/>
  <c r="E83" i="19"/>
  <c r="D83" i="19"/>
  <c r="C83" i="19"/>
  <c r="E76" i="19"/>
  <c r="E102" i="19" s="1"/>
  <c r="D76" i="19"/>
  <c r="C76" i="19"/>
  <c r="E75" i="19"/>
  <c r="D75" i="19"/>
  <c r="D101" i="19" s="1"/>
  <c r="C75" i="19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E21" i="19"/>
  <c r="D21" i="19"/>
  <c r="C21" i="19"/>
  <c r="E12" i="19"/>
  <c r="E22" i="19" s="1"/>
  <c r="D12" i="19"/>
  <c r="D23" i="19" s="1"/>
  <c r="C12" i="19"/>
  <c r="C23" i="19" s="1"/>
  <c r="D21" i="18"/>
  <c r="C21" i="18"/>
  <c r="D19" i="18"/>
  <c r="C19" i="18"/>
  <c r="E17" i="18"/>
  <c r="F17" i="18" s="1"/>
  <c r="E15" i="18"/>
  <c r="F15" i="18" s="1"/>
  <c r="D45" i="17"/>
  <c r="C45" i="17"/>
  <c r="D44" i="17"/>
  <c r="C44" i="17"/>
  <c r="E44" i="17"/>
  <c r="D43" i="17"/>
  <c r="D46" i="17"/>
  <c r="C43" i="17"/>
  <c r="E43" i="17"/>
  <c r="D36" i="17"/>
  <c r="D40" i="17"/>
  <c r="C36" i="17"/>
  <c r="E35" i="17"/>
  <c r="F35" i="17"/>
  <c r="E34" i="17"/>
  <c r="F34" i="17"/>
  <c r="E33" i="17"/>
  <c r="E36" i="17"/>
  <c r="F36" i="17" s="1"/>
  <c r="E30" i="17"/>
  <c r="F30" i="17"/>
  <c r="E29" i="17"/>
  <c r="F29" i="17"/>
  <c r="E28" i="17"/>
  <c r="F28" i="17"/>
  <c r="E27" i="17"/>
  <c r="F27" i="17"/>
  <c r="D25" i="17"/>
  <c r="D39" i="17"/>
  <c r="C25" i="17"/>
  <c r="C39" i="17" s="1"/>
  <c r="E24" i="17"/>
  <c r="F24" i="17" s="1"/>
  <c r="E23" i="17"/>
  <c r="F23" i="17" s="1"/>
  <c r="E22" i="17"/>
  <c r="F22" i="17" s="1"/>
  <c r="D19" i="17"/>
  <c r="D20" i="17" s="1"/>
  <c r="C19" i="17"/>
  <c r="E18" i="17"/>
  <c r="F18" i="17" s="1"/>
  <c r="D16" i="17"/>
  <c r="C16" i="17"/>
  <c r="E16" i="17" s="1"/>
  <c r="E15" i="17"/>
  <c r="F15" i="17" s="1"/>
  <c r="E13" i="17"/>
  <c r="F13" i="17" s="1"/>
  <c r="E12" i="17"/>
  <c r="F12" i="17" s="1"/>
  <c r="C115" i="16"/>
  <c r="C105" i="16"/>
  <c r="C137" i="16"/>
  <c r="C139" i="16" s="1"/>
  <c r="C143" i="16" s="1"/>
  <c r="C96" i="16"/>
  <c r="C95" i="16"/>
  <c r="C89" i="16"/>
  <c r="C88" i="16"/>
  <c r="C83" i="16"/>
  <c r="C77" i="16"/>
  <c r="C78" i="16" s="1"/>
  <c r="C63" i="16"/>
  <c r="C59" i="16"/>
  <c r="C60" i="16" s="1"/>
  <c r="C48" i="16"/>
  <c r="C36" i="16"/>
  <c r="C32" i="16"/>
  <c r="C33" i="16" s="1"/>
  <c r="C21" i="16"/>
  <c r="C37" i="16" s="1"/>
  <c r="E328" i="15"/>
  <c r="E325" i="15"/>
  <c r="D324" i="15"/>
  <c r="D326" i="15" s="1"/>
  <c r="C324" i="15"/>
  <c r="E318" i="15"/>
  <c r="E315" i="15"/>
  <c r="D314" i="15"/>
  <c r="D316" i="15" s="1"/>
  <c r="C314" i="15"/>
  <c r="C316" i="15" s="1"/>
  <c r="C320" i="15" s="1"/>
  <c r="E308" i="15"/>
  <c r="E305" i="15"/>
  <c r="D301" i="15"/>
  <c r="C301" i="15"/>
  <c r="D293" i="15"/>
  <c r="E293" i="15" s="1"/>
  <c r="C293" i="15"/>
  <c r="D292" i="15"/>
  <c r="C292" i="15"/>
  <c r="D291" i="15"/>
  <c r="E291" i="15" s="1"/>
  <c r="C291" i="15"/>
  <c r="D290" i="15"/>
  <c r="E290" i="15" s="1"/>
  <c r="C290" i="15"/>
  <c r="D288" i="15"/>
  <c r="C288" i="15"/>
  <c r="E288" i="15"/>
  <c r="D287" i="15"/>
  <c r="E287" i="15"/>
  <c r="C287" i="15"/>
  <c r="D282" i="15"/>
  <c r="C282" i="15"/>
  <c r="E282" i="15"/>
  <c r="D281" i="15"/>
  <c r="E281" i="15"/>
  <c r="C281" i="15"/>
  <c r="D280" i="15"/>
  <c r="C280" i="15"/>
  <c r="D279" i="15"/>
  <c r="E279" i="15" s="1"/>
  <c r="C279" i="15"/>
  <c r="D278" i="15"/>
  <c r="C278" i="15"/>
  <c r="E278" i="15" s="1"/>
  <c r="D277" i="15"/>
  <c r="E277" i="15" s="1"/>
  <c r="C277" i="15"/>
  <c r="D276" i="15"/>
  <c r="C276" i="15"/>
  <c r="E276" i="15" s="1"/>
  <c r="E270" i="15"/>
  <c r="D265" i="15"/>
  <c r="E265" i="15" s="1"/>
  <c r="C265" i="15"/>
  <c r="C302" i="15" s="1"/>
  <c r="D262" i="15"/>
  <c r="C262" i="15"/>
  <c r="D251" i="15"/>
  <c r="E251" i="15" s="1"/>
  <c r="C251" i="15"/>
  <c r="D233" i="15"/>
  <c r="E233" i="15" s="1"/>
  <c r="C233" i="15"/>
  <c r="D232" i="15"/>
  <c r="E232" i="15" s="1"/>
  <c r="C232" i="15"/>
  <c r="D231" i="15"/>
  <c r="C231" i="15"/>
  <c r="D230" i="15"/>
  <c r="C230" i="15"/>
  <c r="D228" i="15"/>
  <c r="C228" i="15"/>
  <c r="E228" i="15" s="1"/>
  <c r="D227" i="15"/>
  <c r="C227" i="15"/>
  <c r="E227" i="15"/>
  <c r="D221" i="15"/>
  <c r="C221" i="15"/>
  <c r="E221" i="15" s="1"/>
  <c r="D220" i="15"/>
  <c r="D244" i="15" s="1"/>
  <c r="C220" i="15"/>
  <c r="C244" i="15" s="1"/>
  <c r="D219" i="15"/>
  <c r="C219" i="15"/>
  <c r="C243" i="15" s="1"/>
  <c r="D218" i="15"/>
  <c r="E218" i="15" s="1"/>
  <c r="C218" i="15"/>
  <c r="C217" i="15" s="1"/>
  <c r="D217" i="15"/>
  <c r="E217" i="15" s="1"/>
  <c r="D216" i="15"/>
  <c r="D240" i="15" s="1"/>
  <c r="C216" i="15"/>
  <c r="C240" i="15" s="1"/>
  <c r="D215" i="15"/>
  <c r="C215" i="15"/>
  <c r="E209" i="15"/>
  <c r="E208" i="15"/>
  <c r="E207" i="15"/>
  <c r="E206" i="15"/>
  <c r="D205" i="15"/>
  <c r="D210" i="15" s="1"/>
  <c r="C205" i="15"/>
  <c r="C229" i="15" s="1"/>
  <c r="E204" i="15"/>
  <c r="E203" i="15"/>
  <c r="E197" i="15"/>
  <c r="E196" i="15"/>
  <c r="D195" i="15"/>
  <c r="D260" i="15" s="1"/>
  <c r="C195" i="15"/>
  <c r="C260" i="15" s="1"/>
  <c r="E194" i="15"/>
  <c r="E193" i="15"/>
  <c r="E192" i="15"/>
  <c r="E191" i="15"/>
  <c r="E190" i="15"/>
  <c r="D188" i="15"/>
  <c r="D261" i="15" s="1"/>
  <c r="C188" i="15"/>
  <c r="E186" i="15"/>
  <c r="E185" i="15"/>
  <c r="D179" i="15"/>
  <c r="E179" i="15" s="1"/>
  <c r="C179" i="15"/>
  <c r="D178" i="15"/>
  <c r="C178" i="15"/>
  <c r="D177" i="15"/>
  <c r="E177" i="15" s="1"/>
  <c r="C177" i="15"/>
  <c r="D176" i="15"/>
  <c r="E176" i="15" s="1"/>
  <c r="C176" i="15"/>
  <c r="D174" i="15"/>
  <c r="C174" i="15"/>
  <c r="D173" i="15"/>
  <c r="E173" i="15" s="1"/>
  <c r="C173" i="15"/>
  <c r="D167" i="15"/>
  <c r="C167" i="15"/>
  <c r="D166" i="15"/>
  <c r="E166" i="15" s="1"/>
  <c r="C166" i="15"/>
  <c r="D165" i="15"/>
  <c r="E165" i="15" s="1"/>
  <c r="C165" i="15"/>
  <c r="D164" i="15"/>
  <c r="E164" i="15" s="1"/>
  <c r="C164" i="15"/>
  <c r="D162" i="15"/>
  <c r="E162" i="15" s="1"/>
  <c r="C162" i="15"/>
  <c r="D161" i="15"/>
  <c r="C161" i="15"/>
  <c r="E161" i="15" s="1"/>
  <c r="E155" i="15"/>
  <c r="E154" i="15"/>
  <c r="E153" i="15"/>
  <c r="E152" i="15"/>
  <c r="D151" i="15"/>
  <c r="D156" i="15"/>
  <c r="C151" i="15"/>
  <c r="C156" i="15" s="1"/>
  <c r="C157" i="15" s="1"/>
  <c r="E150" i="15"/>
  <c r="E149" i="15"/>
  <c r="E143" i="15"/>
  <c r="E142" i="15"/>
  <c r="E141" i="15"/>
  <c r="E140" i="15"/>
  <c r="D139" i="15"/>
  <c r="D175" i="15" s="1"/>
  <c r="C139" i="15"/>
  <c r="C144" i="15" s="1"/>
  <c r="E138" i="15"/>
  <c r="E137" i="15"/>
  <c r="D75" i="15"/>
  <c r="E75" i="15" s="1"/>
  <c r="C75" i="15"/>
  <c r="D74" i="15"/>
  <c r="C74" i="15"/>
  <c r="E74" i="15" s="1"/>
  <c r="D73" i="15"/>
  <c r="E73" i="15"/>
  <c r="C73" i="15"/>
  <c r="D72" i="15"/>
  <c r="C72" i="15"/>
  <c r="D70" i="15"/>
  <c r="C70" i="15"/>
  <c r="D69" i="15"/>
  <c r="E69" i="15" s="1"/>
  <c r="C69" i="15"/>
  <c r="E64" i="15"/>
  <c r="E63" i="15"/>
  <c r="E62" i="15"/>
  <c r="E61" i="15"/>
  <c r="D60" i="15"/>
  <c r="D65" i="15" s="1"/>
  <c r="C60" i="15"/>
  <c r="E59" i="15"/>
  <c r="E58" i="15"/>
  <c r="D54" i="15"/>
  <c r="D55" i="15" s="1"/>
  <c r="C54" i="15"/>
  <c r="C55" i="15"/>
  <c r="E53" i="15"/>
  <c r="E52" i="15"/>
  <c r="E51" i="15"/>
  <c r="E50" i="15"/>
  <c r="E49" i="15"/>
  <c r="E48" i="15"/>
  <c r="E47" i="15"/>
  <c r="D42" i="15"/>
  <c r="C42" i="15"/>
  <c r="D41" i="15"/>
  <c r="E41" i="15" s="1"/>
  <c r="C41" i="15"/>
  <c r="D40" i="15"/>
  <c r="C40" i="15"/>
  <c r="E40" i="15" s="1"/>
  <c r="D39" i="15"/>
  <c r="E39" i="15"/>
  <c r="C39" i="15"/>
  <c r="D38" i="15"/>
  <c r="C38" i="15"/>
  <c r="E38" i="15"/>
  <c r="D37" i="15"/>
  <c r="E37" i="15"/>
  <c r="C37" i="15"/>
  <c r="D36" i="15"/>
  <c r="C36" i="15"/>
  <c r="D33" i="15"/>
  <c r="D32" i="15"/>
  <c r="C32" i="15"/>
  <c r="E32" i="15" s="1"/>
  <c r="E31" i="15"/>
  <c r="E30" i="15"/>
  <c r="E29" i="15"/>
  <c r="E28" i="15"/>
  <c r="E27" i="15"/>
  <c r="E26" i="15"/>
  <c r="E25" i="15"/>
  <c r="D21" i="15"/>
  <c r="C21" i="15"/>
  <c r="C22" i="15" s="1"/>
  <c r="E20" i="15"/>
  <c r="E19" i="15"/>
  <c r="E18" i="15"/>
  <c r="E17" i="15"/>
  <c r="E16" i="15"/>
  <c r="E15" i="15"/>
  <c r="E14" i="15"/>
  <c r="E335" i="14"/>
  <c r="F335" i="14" s="1"/>
  <c r="E334" i="14"/>
  <c r="F334" i="14" s="1"/>
  <c r="E333" i="14"/>
  <c r="F333" i="14"/>
  <c r="E332" i="14"/>
  <c r="F332" i="14"/>
  <c r="E331" i="14"/>
  <c r="F331" i="14"/>
  <c r="E330" i="14"/>
  <c r="F330" i="14"/>
  <c r="F329" i="14"/>
  <c r="E329" i="14"/>
  <c r="F316" i="14"/>
  <c r="E316" i="14"/>
  <c r="C311" i="14"/>
  <c r="E311" i="14" s="1"/>
  <c r="F308" i="14"/>
  <c r="E308" i="14"/>
  <c r="C307" i="14"/>
  <c r="E307" i="14" s="1"/>
  <c r="F307" i="14" s="1"/>
  <c r="C299" i="14"/>
  <c r="E299" i="14"/>
  <c r="C298" i="14"/>
  <c r="E298" i="14" s="1"/>
  <c r="C297" i="14"/>
  <c r="E297" i="14"/>
  <c r="C296" i="14"/>
  <c r="E296" i="14" s="1"/>
  <c r="C295" i="14"/>
  <c r="E295" i="14" s="1"/>
  <c r="C294" i="14"/>
  <c r="E294" i="14" s="1"/>
  <c r="C250" i="14"/>
  <c r="C306" i="14"/>
  <c r="E249" i="14"/>
  <c r="F249" i="14"/>
  <c r="E248" i="14"/>
  <c r="F248" i="14"/>
  <c r="E245" i="14"/>
  <c r="F245" i="14"/>
  <c r="E244" i="14"/>
  <c r="F244" i="14"/>
  <c r="E243" i="14"/>
  <c r="F243" i="14"/>
  <c r="C238" i="14"/>
  <c r="E238" i="14"/>
  <c r="C237" i="14"/>
  <c r="F234" i="14"/>
  <c r="E234" i="14"/>
  <c r="F233" i="14"/>
  <c r="E233" i="14"/>
  <c r="C230" i="14"/>
  <c r="E230" i="14" s="1"/>
  <c r="C229" i="14"/>
  <c r="E229" i="14" s="1"/>
  <c r="E228" i="14"/>
  <c r="F228" i="14" s="1"/>
  <c r="C226" i="14"/>
  <c r="E226" i="14" s="1"/>
  <c r="E225" i="14"/>
  <c r="F225" i="14"/>
  <c r="E224" i="14"/>
  <c r="F224" i="14"/>
  <c r="C223" i="14"/>
  <c r="E223" i="14"/>
  <c r="F223" i="14" s="1"/>
  <c r="E222" i="14"/>
  <c r="F222" i="14" s="1"/>
  <c r="E221" i="14"/>
  <c r="F221" i="14" s="1"/>
  <c r="C204" i="14"/>
  <c r="C203" i="14"/>
  <c r="C267" i="14" s="1"/>
  <c r="C198" i="14"/>
  <c r="C290" i="14" s="1"/>
  <c r="C191" i="14"/>
  <c r="C189" i="14"/>
  <c r="C215" i="14" s="1"/>
  <c r="C188" i="14"/>
  <c r="C261" i="14" s="1"/>
  <c r="C180" i="14"/>
  <c r="C179" i="14"/>
  <c r="C171" i="14"/>
  <c r="E171" i="14" s="1"/>
  <c r="F171" i="14" s="1"/>
  <c r="C170" i="14"/>
  <c r="E169" i="14"/>
  <c r="F169" i="14" s="1"/>
  <c r="E168" i="14"/>
  <c r="F168" i="14" s="1"/>
  <c r="C165" i="14"/>
  <c r="C164" i="14"/>
  <c r="E164" i="14" s="1"/>
  <c r="E163" i="14"/>
  <c r="F163" i="14" s="1"/>
  <c r="C158" i="14"/>
  <c r="E158" i="14" s="1"/>
  <c r="F157" i="14"/>
  <c r="E157" i="14"/>
  <c r="E156" i="14"/>
  <c r="F156" i="14" s="1"/>
  <c r="C155" i="14"/>
  <c r="E155" i="14" s="1"/>
  <c r="F155" i="14" s="1"/>
  <c r="E154" i="14"/>
  <c r="F154" i="14" s="1"/>
  <c r="E153" i="14"/>
  <c r="F153" i="14" s="1"/>
  <c r="C145" i="14"/>
  <c r="E145" i="14" s="1"/>
  <c r="C144" i="14"/>
  <c r="C136" i="14"/>
  <c r="C137" i="14" s="1"/>
  <c r="C135" i="14"/>
  <c r="E134" i="14"/>
  <c r="F134" i="14" s="1"/>
  <c r="E133" i="14"/>
  <c r="F133" i="14" s="1"/>
  <c r="C130" i="14"/>
  <c r="E130" i="14" s="1"/>
  <c r="F130" i="14" s="1"/>
  <c r="C129" i="14"/>
  <c r="E129" i="14" s="1"/>
  <c r="E128" i="14"/>
  <c r="F128" i="14"/>
  <c r="C123" i="14"/>
  <c r="C124" i="14" s="1"/>
  <c r="E122" i="14"/>
  <c r="F122" i="14" s="1"/>
  <c r="E121" i="14"/>
  <c r="F121" i="14"/>
  <c r="C120" i="14"/>
  <c r="E119" i="14"/>
  <c r="F119" i="14" s="1"/>
  <c r="E118" i="14"/>
  <c r="F118" i="14" s="1"/>
  <c r="C110" i="14"/>
  <c r="E110" i="14" s="1"/>
  <c r="F110" i="14" s="1"/>
  <c r="C109" i="14"/>
  <c r="C111" i="14" s="1"/>
  <c r="C101" i="14"/>
  <c r="C100" i="14"/>
  <c r="E100" i="14" s="1"/>
  <c r="F100" i="14" s="1"/>
  <c r="E99" i="14"/>
  <c r="F99" i="14"/>
  <c r="E98" i="14"/>
  <c r="F98" i="14"/>
  <c r="C95" i="14"/>
  <c r="E95" i="14" s="1"/>
  <c r="F95" i="14" s="1"/>
  <c r="C94" i="14"/>
  <c r="E94" i="14" s="1"/>
  <c r="E93" i="14"/>
  <c r="F93" i="14" s="1"/>
  <c r="C89" i="14"/>
  <c r="C88" i="14"/>
  <c r="E88" i="14" s="1"/>
  <c r="F88" i="14" s="1"/>
  <c r="E87" i="14"/>
  <c r="F87" i="14" s="1"/>
  <c r="E86" i="14"/>
  <c r="F86" i="14" s="1"/>
  <c r="C85" i="14"/>
  <c r="E85" i="14" s="1"/>
  <c r="E84" i="14"/>
  <c r="F84" i="14" s="1"/>
  <c r="E83" i="14"/>
  <c r="F83" i="14" s="1"/>
  <c r="C76" i="14"/>
  <c r="C77" i="14" s="1"/>
  <c r="E77" i="14" s="1"/>
  <c r="E74" i="14"/>
  <c r="F74" i="14"/>
  <c r="E73" i="14"/>
  <c r="F73" i="14" s="1"/>
  <c r="C67" i="14"/>
  <c r="C66" i="14"/>
  <c r="C68" i="14" s="1"/>
  <c r="C59" i="14"/>
  <c r="C60" i="14" s="1"/>
  <c r="C58" i="14"/>
  <c r="E57" i="14"/>
  <c r="F57" i="14" s="1"/>
  <c r="E56" i="14"/>
  <c r="F56" i="14"/>
  <c r="C53" i="14"/>
  <c r="E53" i="14"/>
  <c r="F53" i="14" s="1"/>
  <c r="C52" i="14"/>
  <c r="E52" i="14" s="1"/>
  <c r="E51" i="14"/>
  <c r="F51" i="14" s="1"/>
  <c r="C47" i="14"/>
  <c r="E46" i="14"/>
  <c r="F46" i="14" s="1"/>
  <c r="E45" i="14"/>
  <c r="F45" i="14" s="1"/>
  <c r="C44" i="14"/>
  <c r="E43" i="14"/>
  <c r="F43" i="14" s="1"/>
  <c r="E42" i="14"/>
  <c r="F42" i="14" s="1"/>
  <c r="C36" i="14"/>
  <c r="E36" i="14" s="1"/>
  <c r="C35" i="14"/>
  <c r="C30" i="14"/>
  <c r="C31" i="14" s="1"/>
  <c r="C29" i="14"/>
  <c r="E28" i="14"/>
  <c r="F28" i="14" s="1"/>
  <c r="E27" i="14"/>
  <c r="F27" i="14"/>
  <c r="C24" i="14"/>
  <c r="E24" i="14"/>
  <c r="F24" i="14" s="1"/>
  <c r="C23" i="14"/>
  <c r="E22" i="14"/>
  <c r="F22" i="14" s="1"/>
  <c r="C20" i="14"/>
  <c r="C21" i="14" s="1"/>
  <c r="E19" i="14"/>
  <c r="F19" i="14" s="1"/>
  <c r="E18" i="14"/>
  <c r="F18" i="14" s="1"/>
  <c r="C17" i="14"/>
  <c r="E17" i="14" s="1"/>
  <c r="E16" i="14"/>
  <c r="F16" i="14" s="1"/>
  <c r="E15" i="14"/>
  <c r="F15" i="14" s="1"/>
  <c r="D21" i="13"/>
  <c r="E21" i="13" s="1"/>
  <c r="C21" i="13"/>
  <c r="E20" i="13"/>
  <c r="F20" i="13" s="1"/>
  <c r="D17" i="13"/>
  <c r="C17" i="13"/>
  <c r="E16" i="13"/>
  <c r="F16" i="13" s="1"/>
  <c r="D13" i="13"/>
  <c r="C13" i="13"/>
  <c r="E12" i="13"/>
  <c r="F12" i="13" s="1"/>
  <c r="D99" i="12"/>
  <c r="E99" i="12" s="1"/>
  <c r="C99" i="12"/>
  <c r="E98" i="12"/>
  <c r="F98" i="12" s="1"/>
  <c r="E97" i="12"/>
  <c r="F97" i="12" s="1"/>
  <c r="F96" i="12"/>
  <c r="E96" i="12"/>
  <c r="D92" i="12"/>
  <c r="E92" i="12" s="1"/>
  <c r="C92" i="12"/>
  <c r="E91" i="12"/>
  <c r="F91" i="12" s="1"/>
  <c r="E90" i="12"/>
  <c r="F90" i="12" s="1"/>
  <c r="E89" i="12"/>
  <c r="F89" i="12" s="1"/>
  <c r="E88" i="12"/>
  <c r="F88" i="12" s="1"/>
  <c r="E87" i="12"/>
  <c r="F87" i="12" s="1"/>
  <c r="D84" i="12"/>
  <c r="E84" i="12" s="1"/>
  <c r="F84" i="12" s="1"/>
  <c r="C84" i="12"/>
  <c r="F83" i="12"/>
  <c r="E83" i="12"/>
  <c r="E82" i="12"/>
  <c r="F82" i="12" s="1"/>
  <c r="E81" i="12"/>
  <c r="F81" i="12" s="1"/>
  <c r="F80" i="12"/>
  <c r="E80" i="12"/>
  <c r="E79" i="12"/>
  <c r="F79" i="12" s="1"/>
  <c r="D75" i="12"/>
  <c r="C75" i="12"/>
  <c r="E74" i="12"/>
  <c r="F74" i="12" s="1"/>
  <c r="F73" i="12"/>
  <c r="E73" i="12"/>
  <c r="E75" i="12"/>
  <c r="D70" i="12"/>
  <c r="E70" i="12"/>
  <c r="C70" i="12"/>
  <c r="F70" i="12"/>
  <c r="E69" i="12"/>
  <c r="F69" i="12"/>
  <c r="E68" i="12"/>
  <c r="F68" i="12" s="1"/>
  <c r="D65" i="12"/>
  <c r="E65" i="12" s="1"/>
  <c r="C65" i="12"/>
  <c r="E64" i="12"/>
  <c r="F64" i="12" s="1"/>
  <c r="E63" i="12"/>
  <c r="F63" i="12" s="1"/>
  <c r="D60" i="12"/>
  <c r="C60" i="12"/>
  <c r="F60" i="12" s="1"/>
  <c r="F59" i="12"/>
  <c r="E59" i="12"/>
  <c r="F58" i="12"/>
  <c r="E58" i="12"/>
  <c r="E60" i="12" s="1"/>
  <c r="D55" i="12"/>
  <c r="E55" i="12" s="1"/>
  <c r="C55" i="12"/>
  <c r="F54" i="12"/>
  <c r="E54" i="12"/>
  <c r="E53" i="12"/>
  <c r="F53" i="12" s="1"/>
  <c r="D50" i="12"/>
  <c r="E50" i="12"/>
  <c r="C50" i="12"/>
  <c r="F50" i="12"/>
  <c r="E49" i="12"/>
  <c r="F49" i="12"/>
  <c r="E48" i="12"/>
  <c r="F48" i="12" s="1"/>
  <c r="D45" i="12"/>
  <c r="E45" i="12" s="1"/>
  <c r="C45" i="12"/>
  <c r="E44" i="12"/>
  <c r="F44" i="12" s="1"/>
  <c r="E43" i="12"/>
  <c r="F43" i="12" s="1"/>
  <c r="D37" i="12"/>
  <c r="E37" i="12" s="1"/>
  <c r="C37" i="12"/>
  <c r="F36" i="12"/>
  <c r="E36" i="12"/>
  <c r="F35" i="12"/>
  <c r="E35" i="12"/>
  <c r="E34" i="12"/>
  <c r="F34" i="12" s="1"/>
  <c r="E33" i="12"/>
  <c r="F33" i="12" s="1"/>
  <c r="D30" i="12"/>
  <c r="C30" i="12"/>
  <c r="F30" i="12" s="1"/>
  <c r="F29" i="12"/>
  <c r="E29" i="12"/>
  <c r="F28" i="12"/>
  <c r="E28" i="12"/>
  <c r="F27" i="12"/>
  <c r="E27" i="12"/>
  <c r="F26" i="12"/>
  <c r="E26" i="12"/>
  <c r="D23" i="12"/>
  <c r="C23" i="12"/>
  <c r="E22" i="12"/>
  <c r="F22" i="12"/>
  <c r="E21" i="12"/>
  <c r="F21" i="12" s="1"/>
  <c r="E20" i="12"/>
  <c r="F20" i="12"/>
  <c r="E19" i="12"/>
  <c r="F19" i="12" s="1"/>
  <c r="D16" i="12"/>
  <c r="E16" i="12" s="1"/>
  <c r="C16" i="12"/>
  <c r="F15" i="12"/>
  <c r="E15" i="12"/>
  <c r="E14" i="12"/>
  <c r="F14" i="12" s="1"/>
  <c r="E13" i="12"/>
  <c r="F13" i="12" s="1"/>
  <c r="E12" i="12"/>
  <c r="F12" i="12" s="1"/>
  <c r="E40" i="11"/>
  <c r="D40" i="11"/>
  <c r="I37" i="11"/>
  <c r="H37" i="11"/>
  <c r="I29" i="11"/>
  <c r="H29" i="11"/>
  <c r="I27" i="11"/>
  <c r="H27" i="11"/>
  <c r="I25" i="11"/>
  <c r="H25" i="11"/>
  <c r="I23" i="11"/>
  <c r="H23" i="11"/>
  <c r="I21" i="11"/>
  <c r="H21" i="11"/>
  <c r="I19" i="11"/>
  <c r="H19" i="11"/>
  <c r="G17" i="11"/>
  <c r="G31" i="11" s="1"/>
  <c r="F17" i="11"/>
  <c r="F33" i="11" s="1"/>
  <c r="E17" i="11"/>
  <c r="E33" i="11" s="1"/>
  <c r="E36" i="11" s="1"/>
  <c r="E38" i="11" s="1"/>
  <c r="D17" i="11"/>
  <c r="D33" i="11" s="1"/>
  <c r="D36" i="11" s="1"/>
  <c r="D38" i="11" s="1"/>
  <c r="C17" i="11"/>
  <c r="C31" i="11" s="1"/>
  <c r="I16" i="11"/>
  <c r="H16" i="11"/>
  <c r="I15" i="11"/>
  <c r="H15" i="11"/>
  <c r="I13" i="11"/>
  <c r="H13" i="11"/>
  <c r="I11" i="11"/>
  <c r="H11" i="11"/>
  <c r="E79" i="10"/>
  <c r="D79" i="10"/>
  <c r="C79" i="10"/>
  <c r="E78" i="10"/>
  <c r="E80" i="10" s="1"/>
  <c r="E77" i="10" s="1"/>
  <c r="D78" i="10"/>
  <c r="D80" i="10" s="1"/>
  <c r="D77" i="10" s="1"/>
  <c r="C78" i="10"/>
  <c r="C80" i="10" s="1"/>
  <c r="C77" i="10" s="1"/>
  <c r="E73" i="10"/>
  <c r="E75" i="10" s="1"/>
  <c r="D73" i="10"/>
  <c r="D75" i="10" s="1"/>
  <c r="C73" i="10"/>
  <c r="C75" i="10" s="1"/>
  <c r="E71" i="10"/>
  <c r="D71" i="10"/>
  <c r="C71" i="10"/>
  <c r="E66" i="10"/>
  <c r="E65" i="10" s="1"/>
  <c r="D66" i="10"/>
  <c r="C66" i="10"/>
  <c r="D65" i="10"/>
  <c r="C65" i="10"/>
  <c r="E60" i="10"/>
  <c r="D60" i="10"/>
  <c r="C60" i="10"/>
  <c r="E58" i="10"/>
  <c r="D58" i="10"/>
  <c r="C58" i="10"/>
  <c r="E55" i="10"/>
  <c r="D55" i="10"/>
  <c r="C55" i="10"/>
  <c r="C50" i="10" s="1"/>
  <c r="E54" i="10"/>
  <c r="E50" i="10" s="1"/>
  <c r="D54" i="10"/>
  <c r="C54" i="10"/>
  <c r="D50" i="10"/>
  <c r="E46" i="10"/>
  <c r="E48" i="10" s="1"/>
  <c r="D46" i="10"/>
  <c r="D59" i="10" s="1"/>
  <c r="D61" i="10" s="1"/>
  <c r="D57" i="10" s="1"/>
  <c r="C46" i="10"/>
  <c r="C48" i="10" s="1"/>
  <c r="C42" i="10" s="1"/>
  <c r="E45" i="10"/>
  <c r="D45" i="10"/>
  <c r="C45" i="10"/>
  <c r="E38" i="10"/>
  <c r="D38" i="10"/>
  <c r="C38" i="10"/>
  <c r="E33" i="10"/>
  <c r="E34" i="10" s="1"/>
  <c r="D33" i="10"/>
  <c r="D34" i="10" s="1"/>
  <c r="E26" i="10"/>
  <c r="D26" i="10"/>
  <c r="C26" i="10"/>
  <c r="E13" i="10"/>
  <c r="E15" i="10" s="1"/>
  <c r="E24" i="10" s="1"/>
  <c r="E25" i="10"/>
  <c r="E27" i="10" s="1"/>
  <c r="D13" i="10"/>
  <c r="D15" i="10" s="1"/>
  <c r="C13" i="10"/>
  <c r="C15" i="10" s="1"/>
  <c r="D46" i="9"/>
  <c r="E46" i="9" s="1"/>
  <c r="C46" i="9"/>
  <c r="F46" i="9" s="1"/>
  <c r="F45" i="9"/>
  <c r="E45" i="9"/>
  <c r="F44" i="9"/>
  <c r="E44" i="9"/>
  <c r="D39" i="9"/>
  <c r="E39" i="9" s="1"/>
  <c r="C39" i="9"/>
  <c r="F39" i="9" s="1"/>
  <c r="E38" i="9"/>
  <c r="F38" i="9" s="1"/>
  <c r="E37" i="9"/>
  <c r="F37" i="9" s="1"/>
  <c r="E36" i="9"/>
  <c r="F36" i="9" s="1"/>
  <c r="D31" i="9"/>
  <c r="E31" i="9" s="1"/>
  <c r="F31" i="9" s="1"/>
  <c r="C31" i="9"/>
  <c r="F30" i="9"/>
  <c r="E30" i="9"/>
  <c r="E29" i="9"/>
  <c r="F29" i="9" s="1"/>
  <c r="E28" i="9"/>
  <c r="F28" i="9" s="1"/>
  <c r="E27" i="9"/>
  <c r="F27" i="9" s="1"/>
  <c r="F26" i="9"/>
  <c r="E26" i="9"/>
  <c r="E25" i="9"/>
  <c r="F25" i="9" s="1"/>
  <c r="E24" i="9"/>
  <c r="F24" i="9" s="1"/>
  <c r="E23" i="9"/>
  <c r="F23" i="9" s="1"/>
  <c r="F22" i="9"/>
  <c r="E22" i="9"/>
  <c r="E18" i="9"/>
  <c r="F18" i="9" s="1"/>
  <c r="E17" i="9"/>
  <c r="F17" i="9" s="1"/>
  <c r="D16" i="9"/>
  <c r="D19" i="9" s="1"/>
  <c r="C16" i="9"/>
  <c r="F15" i="9"/>
  <c r="E15" i="9"/>
  <c r="E14" i="9"/>
  <c r="F14" i="9" s="1"/>
  <c r="E13" i="9"/>
  <c r="F13" i="9"/>
  <c r="E12" i="9"/>
  <c r="F12" i="9" s="1"/>
  <c r="D73" i="8"/>
  <c r="E73" i="8" s="1"/>
  <c r="F73" i="8" s="1"/>
  <c r="C73" i="8"/>
  <c r="E72" i="8"/>
  <c r="F72" i="8"/>
  <c r="E71" i="8"/>
  <c r="F71" i="8"/>
  <c r="E70" i="8"/>
  <c r="F70" i="8"/>
  <c r="F67" i="8"/>
  <c r="E67" i="8"/>
  <c r="E64" i="8"/>
  <c r="F64" i="8"/>
  <c r="E63" i="8"/>
  <c r="F63" i="8" s="1"/>
  <c r="D61" i="8"/>
  <c r="D65" i="8" s="1"/>
  <c r="C61" i="8"/>
  <c r="E60" i="8"/>
  <c r="F60" i="8" s="1"/>
  <c r="E59" i="8"/>
  <c r="F59" i="8" s="1"/>
  <c r="D56" i="8"/>
  <c r="C56" i="8"/>
  <c r="E55" i="8"/>
  <c r="F55" i="8" s="1"/>
  <c r="F54" i="8"/>
  <c r="E54" i="8"/>
  <c r="E53" i="8"/>
  <c r="F53" i="8" s="1"/>
  <c r="F52" i="8"/>
  <c r="E52" i="8"/>
  <c r="E51" i="8"/>
  <c r="F51" i="8" s="1"/>
  <c r="F50" i="8"/>
  <c r="E50" i="8"/>
  <c r="A50" i="8"/>
  <c r="A51" i="8" s="1"/>
  <c r="A52" i="8" s="1"/>
  <c r="A53" i="8" s="1"/>
  <c r="A54" i="8" s="1"/>
  <c r="A55" i="8" s="1"/>
  <c r="E49" i="8"/>
  <c r="F49" i="8"/>
  <c r="E40" i="8"/>
  <c r="F40" i="8" s="1"/>
  <c r="D38" i="8"/>
  <c r="D41" i="8" s="1"/>
  <c r="C38" i="8"/>
  <c r="C41" i="8" s="1"/>
  <c r="F37" i="8"/>
  <c r="E37" i="8"/>
  <c r="E36" i="8"/>
  <c r="F36" i="8" s="1"/>
  <c r="E33" i="8"/>
  <c r="F33" i="8" s="1"/>
  <c r="E32" i="8"/>
  <c r="F32" i="8" s="1"/>
  <c r="F31" i="8"/>
  <c r="E31" i="8"/>
  <c r="D29" i="8"/>
  <c r="E29" i="8" s="1"/>
  <c r="C29" i="8"/>
  <c r="E28" i="8"/>
  <c r="F28" i="8" s="1"/>
  <c r="E27" i="8"/>
  <c r="F27" i="8" s="1"/>
  <c r="F26" i="8"/>
  <c r="E26" i="8"/>
  <c r="E25" i="8"/>
  <c r="F25" i="8" s="1"/>
  <c r="D22" i="8"/>
  <c r="C22" i="8"/>
  <c r="E21" i="8"/>
  <c r="F21" i="8" s="1"/>
  <c r="E20" i="8"/>
  <c r="F20" i="8" s="1"/>
  <c r="E19" i="8"/>
  <c r="F19" i="8" s="1"/>
  <c r="F18" i="8"/>
  <c r="E18" i="8"/>
  <c r="E17" i="8"/>
  <c r="F17" i="8" s="1"/>
  <c r="E16" i="8"/>
  <c r="F16" i="8" s="1"/>
  <c r="E15" i="8"/>
  <c r="F15" i="8" s="1"/>
  <c r="F14" i="8"/>
  <c r="E14" i="8"/>
  <c r="E13" i="8"/>
  <c r="F13" i="8" s="1"/>
  <c r="D120" i="7"/>
  <c r="E120" i="7" s="1"/>
  <c r="F120" i="7" s="1"/>
  <c r="C120" i="7"/>
  <c r="D119" i="7"/>
  <c r="E119" i="7" s="1"/>
  <c r="F119" i="7" s="1"/>
  <c r="C119" i="7"/>
  <c r="D118" i="7"/>
  <c r="E118" i="7" s="1"/>
  <c r="F118" i="7" s="1"/>
  <c r="C118" i="7"/>
  <c r="D117" i="7"/>
  <c r="E117" i="7" s="1"/>
  <c r="F117" i="7" s="1"/>
  <c r="C117" i="7"/>
  <c r="D116" i="7"/>
  <c r="E116" i="7" s="1"/>
  <c r="F116" i="7" s="1"/>
  <c r="C116" i="7"/>
  <c r="D115" i="7"/>
  <c r="E115" i="7" s="1"/>
  <c r="F115" i="7" s="1"/>
  <c r="C115" i="7"/>
  <c r="D114" i="7"/>
  <c r="E114" i="7" s="1"/>
  <c r="F114" i="7" s="1"/>
  <c r="C114" i="7"/>
  <c r="D113" i="7"/>
  <c r="C113" i="7"/>
  <c r="C122" i="7" s="1"/>
  <c r="D112" i="7"/>
  <c r="C112" i="7"/>
  <c r="C121" i="7" s="1"/>
  <c r="D108" i="7"/>
  <c r="C108" i="7"/>
  <c r="D107" i="7"/>
  <c r="C107" i="7"/>
  <c r="E106" i="7"/>
  <c r="F106" i="7" s="1"/>
  <c r="E105" i="7"/>
  <c r="F105" i="7" s="1"/>
  <c r="E104" i="7"/>
  <c r="F104" i="7" s="1"/>
  <c r="E103" i="7"/>
  <c r="F103" i="7" s="1"/>
  <c r="E102" i="7"/>
  <c r="F102" i="7" s="1"/>
  <c r="E101" i="7"/>
  <c r="F101" i="7" s="1"/>
  <c r="F100" i="7"/>
  <c r="E100" i="7"/>
  <c r="E99" i="7"/>
  <c r="F99" i="7" s="1"/>
  <c r="E98" i="7"/>
  <c r="F98" i="7" s="1"/>
  <c r="D96" i="7"/>
  <c r="C96" i="7"/>
  <c r="D95" i="7"/>
  <c r="E95" i="7" s="1"/>
  <c r="C95" i="7"/>
  <c r="E94" i="7"/>
  <c r="F94" i="7" s="1"/>
  <c r="E93" i="7"/>
  <c r="F93" i="7" s="1"/>
  <c r="E92" i="7"/>
  <c r="F92" i="7" s="1"/>
  <c r="E91" i="7"/>
  <c r="F91" i="7" s="1"/>
  <c r="E90" i="7"/>
  <c r="F90" i="7"/>
  <c r="E89" i="7"/>
  <c r="F89" i="7" s="1"/>
  <c r="E88" i="7"/>
  <c r="F88" i="7"/>
  <c r="E87" i="7"/>
  <c r="F87" i="7"/>
  <c r="E86" i="7"/>
  <c r="F86" i="7" s="1"/>
  <c r="D84" i="7"/>
  <c r="C84" i="7"/>
  <c r="E84" i="7" s="1"/>
  <c r="D83" i="7"/>
  <c r="C83" i="7"/>
  <c r="E83" i="7" s="1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C72" i="7"/>
  <c r="E72" i="7" s="1"/>
  <c r="F72" i="7"/>
  <c r="D71" i="7"/>
  <c r="C71" i="7"/>
  <c r="F71" i="7" s="1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E60" i="7" s="1"/>
  <c r="C60" i="7"/>
  <c r="F60" i="7" s="1"/>
  <c r="D59" i="7"/>
  <c r="C59" i="7"/>
  <c r="F59" i="7" s="1"/>
  <c r="F58" i="7"/>
  <c r="E58" i="7"/>
  <c r="F57" i="7"/>
  <c r="E57" i="7"/>
  <c r="F56" i="7"/>
  <c r="E56" i="7"/>
  <c r="F55" i="7"/>
  <c r="E55" i="7"/>
  <c r="F54" i="7"/>
  <c r="E54" i="7"/>
  <c r="F53" i="7"/>
  <c r="E53" i="7"/>
  <c r="F52" i="7"/>
  <c r="E52" i="7"/>
  <c r="F51" i="7"/>
  <c r="E51" i="7"/>
  <c r="F50" i="7"/>
  <c r="E50" i="7"/>
  <c r="D48" i="7"/>
  <c r="C48" i="7"/>
  <c r="F48" i="7" s="1"/>
  <c r="D47" i="7"/>
  <c r="C47" i="7"/>
  <c r="F47" i="7" s="1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E36" i="7" s="1"/>
  <c r="C36" i="7"/>
  <c r="D35" i="7"/>
  <c r="E35" i="7" s="1"/>
  <c r="C35" i="7"/>
  <c r="E34" i="7"/>
  <c r="F34" i="7" s="1"/>
  <c r="E33" i="7"/>
  <c r="F33" i="7" s="1"/>
  <c r="E32" i="7"/>
  <c r="F32" i="7" s="1"/>
  <c r="E31" i="7"/>
  <c r="F31" i="7" s="1"/>
  <c r="E30" i="7"/>
  <c r="F30" i="7" s="1"/>
  <c r="E29" i="7"/>
  <c r="F29" i="7"/>
  <c r="E28" i="7"/>
  <c r="F28" i="7" s="1"/>
  <c r="E27" i="7"/>
  <c r="F27" i="7" s="1"/>
  <c r="E26" i="7"/>
  <c r="F26" i="7" s="1"/>
  <c r="D24" i="7"/>
  <c r="E24" i="7" s="1"/>
  <c r="C24" i="7"/>
  <c r="F24" i="7" s="1"/>
  <c r="D23" i="7"/>
  <c r="C23" i="7"/>
  <c r="F23" i="7" s="1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D206" i="6"/>
  <c r="E206" i="6" s="1"/>
  <c r="C206" i="6"/>
  <c r="D205" i="6"/>
  <c r="E205" i="6" s="1"/>
  <c r="C205" i="6"/>
  <c r="D204" i="6"/>
  <c r="E204" i="6" s="1"/>
  <c r="C204" i="6"/>
  <c r="D203" i="6"/>
  <c r="E203" i="6" s="1"/>
  <c r="C203" i="6"/>
  <c r="D202" i="6"/>
  <c r="E202" i="6" s="1"/>
  <c r="C202" i="6"/>
  <c r="D201" i="6"/>
  <c r="E201" i="6" s="1"/>
  <c r="C201" i="6"/>
  <c r="D200" i="6"/>
  <c r="E200" i="6" s="1"/>
  <c r="C200" i="6"/>
  <c r="D199" i="6"/>
  <c r="E199" i="6" s="1"/>
  <c r="C199" i="6"/>
  <c r="D198" i="6"/>
  <c r="E198" i="6" s="1"/>
  <c r="C198" i="6"/>
  <c r="D193" i="6"/>
  <c r="C193" i="6"/>
  <c r="F193" i="6" s="1"/>
  <c r="D192" i="6"/>
  <c r="E192" i="6" s="1"/>
  <c r="C192" i="6"/>
  <c r="F192" i="6" s="1"/>
  <c r="F191" i="6"/>
  <c r="E191" i="6"/>
  <c r="F190" i="6"/>
  <c r="E190" i="6"/>
  <c r="F189" i="6"/>
  <c r="E189" i="6"/>
  <c r="F188" i="6"/>
  <c r="E188" i="6"/>
  <c r="F187" i="6"/>
  <c r="E187" i="6"/>
  <c r="F186" i="6"/>
  <c r="E186" i="6"/>
  <c r="F185" i="6"/>
  <c r="E185" i="6"/>
  <c r="F184" i="6"/>
  <c r="E184" i="6"/>
  <c r="F183" i="6"/>
  <c r="E183" i="6"/>
  <c r="D180" i="6"/>
  <c r="E180" i="6" s="1"/>
  <c r="C180" i="6"/>
  <c r="F180" i="6" s="1"/>
  <c r="D179" i="6"/>
  <c r="C179" i="6"/>
  <c r="F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C167" i="6"/>
  <c r="E167" i="6" s="1"/>
  <c r="D166" i="6"/>
  <c r="C166" i="6"/>
  <c r="E166" i="6" s="1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E154" i="6"/>
  <c r="C154" i="6"/>
  <c r="D153" i="6"/>
  <c r="C153" i="6"/>
  <c r="E152" i="6"/>
  <c r="F152" i="6" s="1"/>
  <c r="E151" i="6"/>
  <c r="F151" i="6" s="1"/>
  <c r="E150" i="6"/>
  <c r="F150" i="6" s="1"/>
  <c r="E149" i="6"/>
  <c r="F149" i="6" s="1"/>
  <c r="E148" i="6"/>
  <c r="F148" i="6" s="1"/>
  <c r="F147" i="6"/>
  <c r="E147" i="6"/>
  <c r="E146" i="6"/>
  <c r="F146" i="6" s="1"/>
  <c r="E145" i="6"/>
  <c r="F145" i="6" s="1"/>
  <c r="E144" i="6"/>
  <c r="F144" i="6" s="1"/>
  <c r="D141" i="6"/>
  <c r="E141" i="6" s="1"/>
  <c r="C141" i="6"/>
  <c r="F141" i="6" s="1"/>
  <c r="D140" i="6"/>
  <c r="C140" i="6"/>
  <c r="F140" i="6" s="1"/>
  <c r="F139" i="6"/>
  <c r="E139" i="6"/>
  <c r="F138" i="6"/>
  <c r="E138" i="6"/>
  <c r="F137" i="6"/>
  <c r="E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D128" i="6"/>
  <c r="C128" i="6"/>
  <c r="D127" i="6"/>
  <c r="C127" i="6"/>
  <c r="E126" i="6"/>
  <c r="F126" i="6"/>
  <c r="E125" i="6"/>
  <c r="F125" i="6" s="1"/>
  <c r="E124" i="6"/>
  <c r="F124" i="6" s="1"/>
  <c r="E123" i="6"/>
  <c r="F123" i="6" s="1"/>
  <c r="E122" i="6"/>
  <c r="F122" i="6"/>
  <c r="E121" i="6"/>
  <c r="F121" i="6"/>
  <c r="E120" i="6"/>
  <c r="F120" i="6"/>
  <c r="E119" i="6"/>
  <c r="F119" i="6"/>
  <c r="E118" i="6"/>
  <c r="F118" i="6"/>
  <c r="D115" i="6"/>
  <c r="C115" i="6"/>
  <c r="E115" i="6" s="1"/>
  <c r="D114" i="6"/>
  <c r="C114" i="6"/>
  <c r="E114" i="6" s="1"/>
  <c r="E113" i="6"/>
  <c r="F113" i="6" s="1"/>
  <c r="E112" i="6"/>
  <c r="F112" i="6" s="1"/>
  <c r="E111" i="6"/>
  <c r="F111" i="6" s="1"/>
  <c r="E110" i="6"/>
  <c r="F110" i="6"/>
  <c r="E109" i="6"/>
  <c r="F109" i="6"/>
  <c r="E108" i="6"/>
  <c r="F108" i="6"/>
  <c r="E107" i="6"/>
  <c r="F107" i="6"/>
  <c r="E106" i="6"/>
  <c r="F106" i="6"/>
  <c r="E105" i="6"/>
  <c r="F105" i="6" s="1"/>
  <c r="D102" i="6"/>
  <c r="C102" i="6"/>
  <c r="F102" i="6" s="1"/>
  <c r="D101" i="6"/>
  <c r="E101" i="6" s="1"/>
  <c r="C101" i="6"/>
  <c r="F101" i="6" s="1"/>
  <c r="F100" i="6"/>
  <c r="E100" i="6"/>
  <c r="F99" i="6"/>
  <c r="E99" i="6"/>
  <c r="F98" i="6"/>
  <c r="E98" i="6"/>
  <c r="F97" i="6"/>
  <c r="E97" i="6"/>
  <c r="F96" i="6"/>
  <c r="E96" i="6"/>
  <c r="F95" i="6"/>
  <c r="E95" i="6"/>
  <c r="F94" i="6"/>
  <c r="E94" i="6"/>
  <c r="F93" i="6"/>
  <c r="E93" i="6"/>
  <c r="F92" i="6"/>
  <c r="E92" i="6"/>
  <c r="D89" i="6"/>
  <c r="C89" i="6"/>
  <c r="F89" i="6" s="1"/>
  <c r="D88" i="6"/>
  <c r="E88" i="6" s="1"/>
  <c r="C88" i="6"/>
  <c r="F88" i="6" s="1"/>
  <c r="F87" i="6"/>
  <c r="E87" i="6"/>
  <c r="F86" i="6"/>
  <c r="E86" i="6"/>
  <c r="F85" i="6"/>
  <c r="E85" i="6"/>
  <c r="F84" i="6"/>
  <c r="E84" i="6"/>
  <c r="F83" i="6"/>
  <c r="E83" i="6"/>
  <c r="F82" i="6"/>
  <c r="E82" i="6"/>
  <c r="F81" i="6"/>
  <c r="E81" i="6"/>
  <c r="F80" i="6"/>
  <c r="E80" i="6"/>
  <c r="F79" i="6"/>
  <c r="E79" i="6"/>
  <c r="D76" i="6"/>
  <c r="C76" i="6"/>
  <c r="D75" i="6"/>
  <c r="E75" i="6" s="1"/>
  <c r="C75" i="6"/>
  <c r="E74" i="6"/>
  <c r="F74" i="6" s="1"/>
  <c r="E73" i="6"/>
  <c r="F73" i="6" s="1"/>
  <c r="E72" i="6"/>
  <c r="F72" i="6"/>
  <c r="E71" i="6"/>
  <c r="F71" i="6"/>
  <c r="E70" i="6"/>
  <c r="F70" i="6"/>
  <c r="E69" i="6"/>
  <c r="F69" i="6"/>
  <c r="E68" i="6"/>
  <c r="F68" i="6"/>
  <c r="E67" i="6"/>
  <c r="F67" i="6" s="1"/>
  <c r="E66" i="6"/>
  <c r="F66" i="6" s="1"/>
  <c r="D63" i="6"/>
  <c r="C63" i="6"/>
  <c r="D62" i="6"/>
  <c r="C62" i="6"/>
  <c r="E61" i="6"/>
  <c r="F61" i="6" s="1"/>
  <c r="E60" i="6"/>
  <c r="F60" i="6"/>
  <c r="E59" i="6"/>
  <c r="F59" i="6"/>
  <c r="E58" i="6"/>
  <c r="F58" i="6"/>
  <c r="E57" i="6"/>
  <c r="F57" i="6"/>
  <c r="E56" i="6"/>
  <c r="F56" i="6"/>
  <c r="E55" i="6"/>
  <c r="F55" i="6" s="1"/>
  <c r="E54" i="6"/>
  <c r="F54" i="6" s="1"/>
  <c r="E53" i="6"/>
  <c r="F53" i="6" s="1"/>
  <c r="D50" i="6"/>
  <c r="C50" i="6"/>
  <c r="D49" i="6"/>
  <c r="E49" i="6"/>
  <c r="C49" i="6"/>
  <c r="E48" i="6"/>
  <c r="F48" i="6" s="1"/>
  <c r="E47" i="6"/>
  <c r="F47" i="6" s="1"/>
  <c r="E46" i="6"/>
  <c r="F46" i="6" s="1"/>
  <c r="E45" i="6"/>
  <c r="F45" i="6" s="1"/>
  <c r="E44" i="6"/>
  <c r="F44" i="6" s="1"/>
  <c r="E43" i="6"/>
  <c r="F43" i="6" s="1"/>
  <c r="E42" i="6"/>
  <c r="F42" i="6" s="1"/>
  <c r="F41" i="6"/>
  <c r="E41" i="6"/>
  <c r="E40" i="6"/>
  <c r="F40" i="6" s="1"/>
  <c r="D37" i="6"/>
  <c r="C37" i="6"/>
  <c r="D36" i="6"/>
  <c r="C36" i="6"/>
  <c r="E35" i="6"/>
  <c r="F35" i="6" s="1"/>
  <c r="E34" i="6"/>
  <c r="F34" i="6" s="1"/>
  <c r="E33" i="6"/>
  <c r="F33" i="6" s="1"/>
  <c r="E32" i="6"/>
  <c r="F32" i="6" s="1"/>
  <c r="E31" i="6"/>
  <c r="F31" i="6" s="1"/>
  <c r="E30" i="6"/>
  <c r="F30" i="6" s="1"/>
  <c r="F29" i="6"/>
  <c r="E29" i="6"/>
  <c r="E28" i="6"/>
  <c r="F28" i="6" s="1"/>
  <c r="E27" i="6"/>
  <c r="F27" i="6" s="1"/>
  <c r="D24" i="6"/>
  <c r="E24" i="6" s="1"/>
  <c r="C24" i="6"/>
  <c r="D23" i="6"/>
  <c r="C23" i="6"/>
  <c r="E22" i="6"/>
  <c r="F22" i="6" s="1"/>
  <c r="E21" i="6"/>
  <c r="F21" i="6" s="1"/>
  <c r="E20" i="6"/>
  <c r="F20" i="6" s="1"/>
  <c r="E19" i="6"/>
  <c r="F19" i="6" s="1"/>
  <c r="E18" i="6"/>
  <c r="F18" i="6"/>
  <c r="E17" i="6"/>
  <c r="F17" i="6" s="1"/>
  <c r="E16" i="6"/>
  <c r="F16" i="6" s="1"/>
  <c r="E15" i="6"/>
  <c r="F15" i="6" s="1"/>
  <c r="E14" i="6"/>
  <c r="F14" i="6" s="1"/>
  <c r="E191" i="5"/>
  <c r="D191" i="5"/>
  <c r="C191" i="5"/>
  <c r="E176" i="5"/>
  <c r="D176" i="5"/>
  <c r="C176" i="5"/>
  <c r="E164" i="5"/>
  <c r="E160" i="5" s="1"/>
  <c r="D164" i="5"/>
  <c r="C164" i="5"/>
  <c r="E162" i="5"/>
  <c r="D162" i="5"/>
  <c r="C162" i="5"/>
  <c r="E161" i="5"/>
  <c r="D161" i="5"/>
  <c r="C161" i="5"/>
  <c r="D160" i="5"/>
  <c r="C160" i="5"/>
  <c r="C166" i="5" s="1"/>
  <c r="E147" i="5"/>
  <c r="E143" i="5"/>
  <c r="D147" i="5"/>
  <c r="D143" i="5" s="1"/>
  <c r="C147" i="5"/>
  <c r="C143" i="5" s="1"/>
  <c r="C149" i="5" s="1"/>
  <c r="E145" i="5"/>
  <c r="D145" i="5"/>
  <c r="C145" i="5"/>
  <c r="E144" i="5"/>
  <c r="D144" i="5"/>
  <c r="C144" i="5"/>
  <c r="E126" i="5"/>
  <c r="D126" i="5"/>
  <c r="C126" i="5"/>
  <c r="E119" i="5"/>
  <c r="D119" i="5"/>
  <c r="C119" i="5"/>
  <c r="E108" i="5"/>
  <c r="D108" i="5"/>
  <c r="C108" i="5"/>
  <c r="E107" i="5"/>
  <c r="E109" i="5" s="1"/>
  <c r="E106" i="5" s="1"/>
  <c r="D107" i="5"/>
  <c r="D109" i="5"/>
  <c r="D106" i="5" s="1"/>
  <c r="C107" i="5"/>
  <c r="C109" i="5" s="1"/>
  <c r="C106" i="5" s="1"/>
  <c r="E102" i="5"/>
  <c r="E104" i="5" s="1"/>
  <c r="D102" i="5"/>
  <c r="D104" i="5" s="1"/>
  <c r="C102" i="5"/>
  <c r="C104" i="5" s="1"/>
  <c r="E100" i="5"/>
  <c r="D100" i="5"/>
  <c r="C100" i="5"/>
  <c r="E95" i="5"/>
  <c r="E94" i="5" s="1"/>
  <c r="D95" i="5"/>
  <c r="C95" i="5"/>
  <c r="D94" i="5"/>
  <c r="C94" i="5"/>
  <c r="E89" i="5"/>
  <c r="D89" i="5"/>
  <c r="C89" i="5"/>
  <c r="E87" i="5"/>
  <c r="D87" i="5"/>
  <c r="C87" i="5"/>
  <c r="E84" i="5"/>
  <c r="E79" i="5" s="1"/>
  <c r="D84" i="5"/>
  <c r="C84" i="5"/>
  <c r="E83" i="5"/>
  <c r="D83" i="5"/>
  <c r="D79" i="5" s="1"/>
  <c r="C83" i="5"/>
  <c r="E75" i="5"/>
  <c r="E77" i="5" s="1"/>
  <c r="D75" i="5"/>
  <c r="D88" i="5" s="1"/>
  <c r="D90" i="5" s="1"/>
  <c r="D86" i="5" s="1"/>
  <c r="C75" i="5"/>
  <c r="C77" i="5" s="1"/>
  <c r="C88" i="5"/>
  <c r="C90" i="5" s="1"/>
  <c r="C86" i="5" s="1"/>
  <c r="E74" i="5"/>
  <c r="D74" i="5"/>
  <c r="C74" i="5"/>
  <c r="E67" i="5"/>
  <c r="D67" i="5"/>
  <c r="C67" i="5"/>
  <c r="E38" i="5"/>
  <c r="E43" i="5" s="1"/>
  <c r="D38" i="5"/>
  <c r="D57" i="5" s="1"/>
  <c r="D62" i="5" s="1"/>
  <c r="C38" i="5"/>
  <c r="C53" i="5" s="1"/>
  <c r="E33" i="5"/>
  <c r="E34" i="5" s="1"/>
  <c r="D33" i="5"/>
  <c r="D34" i="5" s="1"/>
  <c r="E26" i="5"/>
  <c r="D26" i="5"/>
  <c r="C26" i="5"/>
  <c r="E13" i="5"/>
  <c r="E15" i="5" s="1"/>
  <c r="D13" i="5"/>
  <c r="D25" i="5" s="1"/>
  <c r="D27" i="5" s="1"/>
  <c r="C13" i="5"/>
  <c r="C15" i="5" s="1"/>
  <c r="C17" i="5" s="1"/>
  <c r="E174" i="4"/>
  <c r="F174" i="4" s="1"/>
  <c r="D171" i="4"/>
  <c r="C171" i="4"/>
  <c r="F170" i="4"/>
  <c r="E170" i="4"/>
  <c r="E169" i="4"/>
  <c r="F169" i="4" s="1"/>
  <c r="F168" i="4"/>
  <c r="E168" i="4"/>
  <c r="E167" i="4"/>
  <c r="F167" i="4" s="1"/>
  <c r="E166" i="4"/>
  <c r="F166" i="4" s="1"/>
  <c r="E165" i="4"/>
  <c r="F165" i="4" s="1"/>
  <c r="E164" i="4"/>
  <c r="F164" i="4" s="1"/>
  <c r="E163" i="4"/>
  <c r="F163" i="4" s="1"/>
  <c r="E162" i="4"/>
  <c r="F162" i="4" s="1"/>
  <c r="E161" i="4"/>
  <c r="F161" i="4" s="1"/>
  <c r="F160" i="4"/>
  <c r="E160" i="4"/>
  <c r="E159" i="4"/>
  <c r="F159" i="4" s="1"/>
  <c r="E158" i="4"/>
  <c r="F158" i="4" s="1"/>
  <c r="D155" i="4"/>
  <c r="E155" i="4" s="1"/>
  <c r="F155" i="4" s="1"/>
  <c r="C155" i="4"/>
  <c r="F154" i="4"/>
  <c r="E154" i="4"/>
  <c r="F153" i="4"/>
  <c r="E153" i="4"/>
  <c r="F152" i="4"/>
  <c r="E152" i="4"/>
  <c r="E151" i="4"/>
  <c r="F151" i="4" s="1"/>
  <c r="F150" i="4"/>
  <c r="E150" i="4"/>
  <c r="F149" i="4"/>
  <c r="E149" i="4"/>
  <c r="E148" i="4"/>
  <c r="F148" i="4" s="1"/>
  <c r="F147" i="4"/>
  <c r="E147" i="4"/>
  <c r="F146" i="4"/>
  <c r="E146" i="4"/>
  <c r="E145" i="4"/>
  <c r="F145" i="4" s="1"/>
  <c r="E144" i="4"/>
  <c r="F144" i="4" s="1"/>
  <c r="E143" i="4"/>
  <c r="F143" i="4" s="1"/>
  <c r="E142" i="4"/>
  <c r="F142" i="4" s="1"/>
  <c r="F141" i="4"/>
  <c r="E141" i="4"/>
  <c r="E140" i="4"/>
  <c r="F140" i="4" s="1"/>
  <c r="E139" i="4"/>
  <c r="F139" i="4" s="1"/>
  <c r="F138" i="4"/>
  <c r="E138" i="4"/>
  <c r="F137" i="4"/>
  <c r="E137" i="4"/>
  <c r="F136" i="4"/>
  <c r="E136" i="4"/>
  <c r="F135" i="4"/>
  <c r="E135" i="4"/>
  <c r="F134" i="4"/>
  <c r="E134" i="4"/>
  <c r="F133" i="4"/>
  <c r="E133" i="4"/>
  <c r="F132" i="4"/>
  <c r="E132" i="4"/>
  <c r="E131" i="4"/>
  <c r="F131" i="4" s="1"/>
  <c r="E130" i="4"/>
  <c r="F130" i="4" s="1"/>
  <c r="E129" i="4"/>
  <c r="F129" i="4" s="1"/>
  <c r="E128" i="4"/>
  <c r="F128" i="4" s="1"/>
  <c r="E127" i="4"/>
  <c r="F127" i="4" s="1"/>
  <c r="E126" i="4"/>
  <c r="F126" i="4" s="1"/>
  <c r="E125" i="4"/>
  <c r="F125" i="4" s="1"/>
  <c r="F124" i="4"/>
  <c r="E124" i="4"/>
  <c r="E123" i="4"/>
  <c r="F123" i="4" s="1"/>
  <c r="E122" i="4"/>
  <c r="F122" i="4" s="1"/>
  <c r="E121" i="4"/>
  <c r="F121" i="4" s="1"/>
  <c r="D118" i="4"/>
  <c r="C118" i="4"/>
  <c r="E117" i="4"/>
  <c r="F117" i="4" s="1"/>
  <c r="E116" i="4"/>
  <c r="F116" i="4" s="1"/>
  <c r="E115" i="4"/>
  <c r="F115" i="4" s="1"/>
  <c r="E114" i="4"/>
  <c r="F114" i="4" s="1"/>
  <c r="F113" i="4"/>
  <c r="E113" i="4"/>
  <c r="E112" i="4"/>
  <c r="F112" i="4" s="1"/>
  <c r="D109" i="4"/>
  <c r="C109" i="4"/>
  <c r="E108" i="4"/>
  <c r="F108" i="4" s="1"/>
  <c r="E107" i="4"/>
  <c r="F107" i="4" s="1"/>
  <c r="E106" i="4"/>
  <c r="F106" i="4" s="1"/>
  <c r="E105" i="4"/>
  <c r="F105" i="4" s="1"/>
  <c r="E104" i="4"/>
  <c r="F104" i="4" s="1"/>
  <c r="E103" i="4"/>
  <c r="F103" i="4" s="1"/>
  <c r="F102" i="4"/>
  <c r="E102" i="4"/>
  <c r="E101" i="4"/>
  <c r="F101" i="4" s="1"/>
  <c r="E100" i="4"/>
  <c r="F100" i="4" s="1"/>
  <c r="E99" i="4"/>
  <c r="F99" i="4" s="1"/>
  <c r="E98" i="4"/>
  <c r="F98" i="4" s="1"/>
  <c r="E97" i="4"/>
  <c r="F97" i="4" s="1"/>
  <c r="E96" i="4"/>
  <c r="F96" i="4" s="1"/>
  <c r="E95" i="4"/>
  <c r="F95" i="4" s="1"/>
  <c r="F94" i="4"/>
  <c r="E94" i="4"/>
  <c r="E93" i="4"/>
  <c r="F93" i="4" s="1"/>
  <c r="E92" i="4"/>
  <c r="F92" i="4" s="1"/>
  <c r="E91" i="4"/>
  <c r="F91" i="4" s="1"/>
  <c r="E81" i="4"/>
  <c r="F81" i="4" s="1"/>
  <c r="D78" i="4"/>
  <c r="C78" i="4"/>
  <c r="E77" i="4"/>
  <c r="F77" i="4" s="1"/>
  <c r="E76" i="4"/>
  <c r="F76" i="4" s="1"/>
  <c r="E75" i="4"/>
  <c r="F75" i="4" s="1"/>
  <c r="E74" i="4"/>
  <c r="F74" i="4" s="1"/>
  <c r="E73" i="4"/>
  <c r="F73" i="4" s="1"/>
  <c r="E72" i="4"/>
  <c r="F72" i="4" s="1"/>
  <c r="E71" i="4"/>
  <c r="F71" i="4" s="1"/>
  <c r="E70" i="4"/>
  <c r="F70" i="4" s="1"/>
  <c r="E69" i="4"/>
  <c r="F69" i="4" s="1"/>
  <c r="E68" i="4"/>
  <c r="F68" i="4" s="1"/>
  <c r="E67" i="4"/>
  <c r="F67" i="4" s="1"/>
  <c r="E66" i="4"/>
  <c r="F66" i="4" s="1"/>
  <c r="E65" i="4"/>
  <c r="F65" i="4" s="1"/>
  <c r="E64" i="4"/>
  <c r="F64" i="4" s="1"/>
  <c r="E63" i="4"/>
  <c r="F63" i="4" s="1"/>
  <c r="E62" i="4"/>
  <c r="F62" i="4" s="1"/>
  <c r="D59" i="4"/>
  <c r="E59" i="4" s="1"/>
  <c r="C59" i="4"/>
  <c r="E58" i="4"/>
  <c r="F58" i="4" s="1"/>
  <c r="E57" i="4"/>
  <c r="F57" i="4" s="1"/>
  <c r="E56" i="4"/>
  <c r="F56" i="4" s="1"/>
  <c r="E55" i="4"/>
  <c r="F55" i="4" s="1"/>
  <c r="E54" i="4"/>
  <c r="F54" i="4" s="1"/>
  <c r="E53" i="4"/>
  <c r="F53" i="4" s="1"/>
  <c r="E50" i="4"/>
  <c r="F50" i="4"/>
  <c r="E47" i="4"/>
  <c r="F47" i="4" s="1"/>
  <c r="E44" i="4"/>
  <c r="F44" i="4" s="1"/>
  <c r="D41" i="4"/>
  <c r="E41" i="4" s="1"/>
  <c r="C41" i="4"/>
  <c r="E40" i="4"/>
  <c r="F40" i="4" s="1"/>
  <c r="E39" i="4"/>
  <c r="F39" i="4"/>
  <c r="E38" i="4"/>
  <c r="F38" i="4"/>
  <c r="D35" i="4"/>
  <c r="E35" i="4"/>
  <c r="C35" i="4"/>
  <c r="E34" i="4"/>
  <c r="F34" i="4" s="1"/>
  <c r="E33" i="4"/>
  <c r="F33" i="4" s="1"/>
  <c r="D30" i="4"/>
  <c r="E30" i="4" s="1"/>
  <c r="C30" i="4"/>
  <c r="E29" i="4"/>
  <c r="F29" i="4" s="1"/>
  <c r="E28" i="4"/>
  <c r="F28" i="4" s="1"/>
  <c r="E27" i="4"/>
  <c r="F27" i="4"/>
  <c r="D24" i="4"/>
  <c r="C24" i="4"/>
  <c r="E23" i="4"/>
  <c r="F23" i="4"/>
  <c r="E22" i="4"/>
  <c r="F22" i="4"/>
  <c r="E21" i="4"/>
  <c r="F21" i="4"/>
  <c r="D18" i="4"/>
  <c r="E18" i="4"/>
  <c r="C18" i="4"/>
  <c r="E17" i="4"/>
  <c r="F17" i="4" s="1"/>
  <c r="E16" i="4"/>
  <c r="F16" i="4" s="1"/>
  <c r="E15" i="4"/>
  <c r="F15" i="4" s="1"/>
  <c r="D179" i="3"/>
  <c r="C179" i="3"/>
  <c r="F178" i="3"/>
  <c r="E178" i="3"/>
  <c r="E177" i="3"/>
  <c r="F177" i="3" s="1"/>
  <c r="E176" i="3"/>
  <c r="F176" i="3" s="1"/>
  <c r="E175" i="3"/>
  <c r="F175" i="3" s="1"/>
  <c r="E174" i="3"/>
  <c r="F174" i="3" s="1"/>
  <c r="E173" i="3"/>
  <c r="F173" i="3" s="1"/>
  <c r="E172" i="3"/>
  <c r="F172" i="3" s="1"/>
  <c r="E171" i="3"/>
  <c r="F171" i="3" s="1"/>
  <c r="E170" i="3"/>
  <c r="F170" i="3" s="1"/>
  <c r="E169" i="3"/>
  <c r="F169" i="3" s="1"/>
  <c r="E168" i="3"/>
  <c r="F168" i="3" s="1"/>
  <c r="D166" i="3"/>
  <c r="C166" i="3"/>
  <c r="F165" i="3"/>
  <c r="E165" i="3"/>
  <c r="E164" i="3"/>
  <c r="F164" i="3" s="1"/>
  <c r="E163" i="3"/>
  <c r="F163" i="3" s="1"/>
  <c r="E162" i="3"/>
  <c r="F162" i="3" s="1"/>
  <c r="E161" i="3"/>
  <c r="F161" i="3" s="1"/>
  <c r="F160" i="3"/>
  <c r="E160" i="3"/>
  <c r="E159" i="3"/>
  <c r="F159" i="3" s="1"/>
  <c r="E158" i="3"/>
  <c r="F158" i="3" s="1"/>
  <c r="E157" i="3"/>
  <c r="F157" i="3" s="1"/>
  <c r="E156" i="3"/>
  <c r="F156" i="3" s="1"/>
  <c r="E155" i="3"/>
  <c r="F155" i="3" s="1"/>
  <c r="D153" i="3"/>
  <c r="E153" i="3" s="1"/>
  <c r="C153" i="3"/>
  <c r="F152" i="3"/>
  <c r="E152" i="3"/>
  <c r="E151" i="3"/>
  <c r="F151" i="3" s="1"/>
  <c r="E150" i="3"/>
  <c r="F150" i="3" s="1"/>
  <c r="E149" i="3"/>
  <c r="F149" i="3" s="1"/>
  <c r="F148" i="3"/>
  <c r="E148" i="3"/>
  <c r="E147" i="3"/>
  <c r="F147" i="3" s="1"/>
  <c r="E146" i="3"/>
  <c r="F146" i="3" s="1"/>
  <c r="E145" i="3"/>
  <c r="F145" i="3" s="1"/>
  <c r="E144" i="3"/>
  <c r="F144" i="3" s="1"/>
  <c r="E143" i="3"/>
  <c r="F143" i="3" s="1"/>
  <c r="E142" i="3"/>
  <c r="F142" i="3" s="1"/>
  <c r="D137" i="3"/>
  <c r="C137" i="3"/>
  <c r="F136" i="3"/>
  <c r="E136" i="3"/>
  <c r="E135" i="3"/>
  <c r="F135" i="3" s="1"/>
  <c r="E134" i="3"/>
  <c r="F134" i="3" s="1"/>
  <c r="E133" i="3"/>
  <c r="F133" i="3" s="1"/>
  <c r="E132" i="3"/>
  <c r="F132" i="3" s="1"/>
  <c r="E131" i="3"/>
  <c r="F131" i="3" s="1"/>
  <c r="E130" i="3"/>
  <c r="F130" i="3" s="1"/>
  <c r="E129" i="3"/>
  <c r="F129" i="3" s="1"/>
  <c r="E128" i="3"/>
  <c r="F128" i="3" s="1"/>
  <c r="E127" i="3"/>
  <c r="F127" i="3" s="1"/>
  <c r="E126" i="3"/>
  <c r="F126" i="3" s="1"/>
  <c r="D124" i="3"/>
  <c r="C124" i="3"/>
  <c r="F123" i="3"/>
  <c r="E123" i="3"/>
  <c r="E122" i="3"/>
  <c r="F122" i="3" s="1"/>
  <c r="F121" i="3"/>
  <c r="E121" i="3"/>
  <c r="E120" i="3"/>
  <c r="F120" i="3" s="1"/>
  <c r="E119" i="3"/>
  <c r="F119" i="3" s="1"/>
  <c r="E118" i="3"/>
  <c r="F118" i="3" s="1"/>
  <c r="E117" i="3"/>
  <c r="F117" i="3" s="1"/>
  <c r="E116" i="3"/>
  <c r="F116" i="3" s="1"/>
  <c r="E115" i="3"/>
  <c r="F115" i="3" s="1"/>
  <c r="E114" i="3"/>
  <c r="F114" i="3" s="1"/>
  <c r="F113" i="3"/>
  <c r="E113" i="3"/>
  <c r="D111" i="3"/>
  <c r="C111" i="3"/>
  <c r="F110" i="3"/>
  <c r="E110" i="3"/>
  <c r="E109" i="3"/>
  <c r="F109" i="3" s="1"/>
  <c r="E108" i="3"/>
  <c r="F108" i="3" s="1"/>
  <c r="E107" i="3"/>
  <c r="F107" i="3" s="1"/>
  <c r="E106" i="3"/>
  <c r="F106" i="3" s="1"/>
  <c r="F105" i="3"/>
  <c r="E105" i="3"/>
  <c r="E104" i="3"/>
  <c r="F104" i="3" s="1"/>
  <c r="E103" i="3"/>
  <c r="F103" i="3" s="1"/>
  <c r="E102" i="3"/>
  <c r="F102" i="3" s="1"/>
  <c r="E101" i="3"/>
  <c r="F101" i="3" s="1"/>
  <c r="E100" i="3"/>
  <c r="F100" i="3" s="1"/>
  <c r="D94" i="3"/>
  <c r="C94" i="3"/>
  <c r="F94" i="3" s="1"/>
  <c r="D93" i="3"/>
  <c r="E93" i="3" s="1"/>
  <c r="F93" i="3" s="1"/>
  <c r="C93" i="3"/>
  <c r="D92" i="3"/>
  <c r="E92" i="3" s="1"/>
  <c r="F92" i="3" s="1"/>
  <c r="C92" i="3"/>
  <c r="D91" i="3"/>
  <c r="E91" i="3" s="1"/>
  <c r="F91" i="3" s="1"/>
  <c r="C91" i="3"/>
  <c r="D90" i="3"/>
  <c r="E90" i="3" s="1"/>
  <c r="F90" i="3" s="1"/>
  <c r="C90" i="3"/>
  <c r="D89" i="3"/>
  <c r="E89" i="3" s="1"/>
  <c r="F89" i="3" s="1"/>
  <c r="C89" i="3"/>
  <c r="D88" i="3"/>
  <c r="E88" i="3" s="1"/>
  <c r="F88" i="3" s="1"/>
  <c r="C88" i="3"/>
  <c r="D87" i="3"/>
  <c r="E87" i="3" s="1"/>
  <c r="F87" i="3" s="1"/>
  <c r="C87" i="3"/>
  <c r="D86" i="3"/>
  <c r="E86" i="3" s="1"/>
  <c r="F86" i="3" s="1"/>
  <c r="C86" i="3"/>
  <c r="D85" i="3"/>
  <c r="E85" i="3" s="1"/>
  <c r="F85" i="3" s="1"/>
  <c r="C85" i="3"/>
  <c r="D84" i="3"/>
  <c r="E84" i="3" s="1"/>
  <c r="C84" i="3"/>
  <c r="D81" i="3"/>
  <c r="E81" i="3" s="1"/>
  <c r="F81" i="3" s="1"/>
  <c r="C81" i="3"/>
  <c r="F80" i="3"/>
  <c r="E80" i="3"/>
  <c r="E79" i="3"/>
  <c r="F79" i="3" s="1"/>
  <c r="E78" i="3"/>
  <c r="F78" i="3" s="1"/>
  <c r="E77" i="3"/>
  <c r="F77" i="3" s="1"/>
  <c r="E76" i="3"/>
  <c r="F76" i="3" s="1"/>
  <c r="E75" i="3"/>
  <c r="F75" i="3" s="1"/>
  <c r="E74" i="3"/>
  <c r="F74" i="3" s="1"/>
  <c r="E73" i="3"/>
  <c r="F73" i="3" s="1"/>
  <c r="F72" i="3"/>
  <c r="E72" i="3"/>
  <c r="E71" i="3"/>
  <c r="F71" i="3" s="1"/>
  <c r="E70" i="3"/>
  <c r="F70" i="3" s="1"/>
  <c r="D68" i="3"/>
  <c r="E68" i="3" s="1"/>
  <c r="C68" i="3"/>
  <c r="F67" i="3"/>
  <c r="E67" i="3"/>
  <c r="E66" i="3"/>
  <c r="F66" i="3" s="1"/>
  <c r="E65" i="3"/>
  <c r="F65" i="3"/>
  <c r="E64" i="3"/>
  <c r="F64" i="3" s="1"/>
  <c r="E63" i="3"/>
  <c r="F63" i="3" s="1"/>
  <c r="E62" i="3"/>
  <c r="F62" i="3" s="1"/>
  <c r="E61" i="3"/>
  <c r="F61" i="3" s="1"/>
  <c r="E60" i="3"/>
  <c r="F60" i="3" s="1"/>
  <c r="E59" i="3"/>
  <c r="F59" i="3" s="1"/>
  <c r="E58" i="3"/>
  <c r="F58" i="3" s="1"/>
  <c r="E57" i="3"/>
  <c r="F57" i="3"/>
  <c r="D51" i="3"/>
  <c r="C51" i="3"/>
  <c r="E51" i="3" s="1"/>
  <c r="D50" i="3"/>
  <c r="C50" i="3"/>
  <c r="D49" i="3"/>
  <c r="C49" i="3"/>
  <c r="D48" i="3"/>
  <c r="C48" i="3"/>
  <c r="D47" i="3"/>
  <c r="C47" i="3"/>
  <c r="D46" i="3"/>
  <c r="C46" i="3"/>
  <c r="D45" i="3"/>
  <c r="C45" i="3"/>
  <c r="D44" i="3"/>
  <c r="C44" i="3"/>
  <c r="D43" i="3"/>
  <c r="C43" i="3"/>
  <c r="D42" i="3"/>
  <c r="C42" i="3"/>
  <c r="D41" i="3"/>
  <c r="D52" i="3"/>
  <c r="C41" i="3"/>
  <c r="C52" i="3"/>
  <c r="D38" i="3"/>
  <c r="C38" i="3"/>
  <c r="F37" i="3"/>
  <c r="E37" i="3"/>
  <c r="E36" i="3"/>
  <c r="F36" i="3"/>
  <c r="E35" i="3"/>
  <c r="F35" i="3" s="1"/>
  <c r="E34" i="3"/>
  <c r="F34" i="3" s="1"/>
  <c r="E33" i="3"/>
  <c r="F33" i="3" s="1"/>
  <c r="E32" i="3"/>
  <c r="F32" i="3"/>
  <c r="E31" i="3"/>
  <c r="F31" i="3"/>
  <c r="E30" i="3"/>
  <c r="F30" i="3"/>
  <c r="E29" i="3"/>
  <c r="F29" i="3"/>
  <c r="E28" i="3"/>
  <c r="F28" i="3"/>
  <c r="E27" i="3"/>
  <c r="F27" i="3" s="1"/>
  <c r="D25" i="3"/>
  <c r="C25" i="3"/>
  <c r="F24" i="3"/>
  <c r="E24" i="3"/>
  <c r="E23" i="3"/>
  <c r="F23" i="3" s="1"/>
  <c r="E22" i="3"/>
  <c r="F22" i="3" s="1"/>
  <c r="E21" i="3"/>
  <c r="F21" i="3" s="1"/>
  <c r="E20" i="3"/>
  <c r="F20" i="3" s="1"/>
  <c r="E19" i="3"/>
  <c r="F19" i="3" s="1"/>
  <c r="E18" i="3"/>
  <c r="F18" i="3"/>
  <c r="E17" i="3"/>
  <c r="F17" i="3" s="1"/>
  <c r="E16" i="3"/>
  <c r="F16" i="3" s="1"/>
  <c r="E15" i="3"/>
  <c r="F15" i="3" s="1"/>
  <c r="E14" i="3"/>
  <c r="F14" i="3" s="1"/>
  <c r="E49" i="2"/>
  <c r="F49" i="2" s="1"/>
  <c r="D46" i="2"/>
  <c r="C46" i="2"/>
  <c r="F46" i="2" s="1"/>
  <c r="F45" i="2"/>
  <c r="E45" i="2"/>
  <c r="F44" i="2"/>
  <c r="E44" i="2"/>
  <c r="D39" i="2"/>
  <c r="C39" i="2"/>
  <c r="E38" i="2"/>
  <c r="F38" i="2" s="1"/>
  <c r="E37" i="2"/>
  <c r="F37" i="2" s="1"/>
  <c r="E36" i="2"/>
  <c r="F36" i="2" s="1"/>
  <c r="D31" i="2"/>
  <c r="E31" i="2" s="1"/>
  <c r="C31" i="2"/>
  <c r="E30" i="2"/>
  <c r="F30" i="2" s="1"/>
  <c r="E29" i="2"/>
  <c r="F29" i="2" s="1"/>
  <c r="F28" i="2"/>
  <c r="E28" i="2"/>
  <c r="E27" i="2"/>
  <c r="F27" i="2" s="1"/>
  <c r="E26" i="2"/>
  <c r="F26" i="2" s="1"/>
  <c r="E25" i="2"/>
  <c r="F25" i="2" s="1"/>
  <c r="E24" i="2"/>
  <c r="F24" i="2" s="1"/>
  <c r="E23" i="2"/>
  <c r="F23" i="2" s="1"/>
  <c r="E22" i="2"/>
  <c r="F22" i="2" s="1"/>
  <c r="E18" i="2"/>
  <c r="F18" i="2" s="1"/>
  <c r="E17" i="2"/>
  <c r="F17" i="2" s="1"/>
  <c r="D16" i="2"/>
  <c r="D19" i="2" s="1"/>
  <c r="C16" i="2"/>
  <c r="C19" i="2" s="1"/>
  <c r="C33" i="2" s="1"/>
  <c r="F15" i="2"/>
  <c r="E15" i="2"/>
  <c r="E14" i="2"/>
  <c r="F14" i="2" s="1"/>
  <c r="E13" i="2"/>
  <c r="F13" i="2" s="1"/>
  <c r="E12" i="2"/>
  <c r="F12" i="2" s="1"/>
  <c r="D73" i="1"/>
  <c r="E73" i="1" s="1"/>
  <c r="F73" i="1" s="1"/>
  <c r="C73" i="1"/>
  <c r="E72" i="1"/>
  <c r="F72" i="1" s="1"/>
  <c r="E71" i="1"/>
  <c r="F71" i="1" s="1"/>
  <c r="E70" i="1"/>
  <c r="F70" i="1" s="1"/>
  <c r="F67" i="1"/>
  <c r="E67" i="1"/>
  <c r="E64" i="1"/>
  <c r="F64" i="1"/>
  <c r="E63" i="1"/>
  <c r="F63" i="1"/>
  <c r="D61" i="1"/>
  <c r="D65" i="1" s="1"/>
  <c r="E61" i="1"/>
  <c r="C61" i="1"/>
  <c r="C65" i="1" s="1"/>
  <c r="E60" i="1"/>
  <c r="F60" i="1" s="1"/>
  <c r="E59" i="1"/>
  <c r="F59" i="1" s="1"/>
  <c r="D56" i="1"/>
  <c r="C56" i="1"/>
  <c r="E55" i="1"/>
  <c r="F55" i="1" s="1"/>
  <c r="F54" i="1"/>
  <c r="E54" i="1"/>
  <c r="E53" i="1"/>
  <c r="F53" i="1" s="1"/>
  <c r="E52" i="1"/>
  <c r="F52" i="1" s="1"/>
  <c r="E51" i="1"/>
  <c r="F51" i="1" s="1"/>
  <c r="E50" i="1"/>
  <c r="F50" i="1" s="1"/>
  <c r="A50" i="1"/>
  <c r="A51" i="1" s="1"/>
  <c r="A52" i="1" s="1"/>
  <c r="A53" i="1" s="1"/>
  <c r="A54" i="1" s="1"/>
  <c r="A55" i="1" s="1"/>
  <c r="E49" i="1"/>
  <c r="F49" i="1" s="1"/>
  <c r="E40" i="1"/>
  <c r="F40" i="1"/>
  <c r="D38" i="1"/>
  <c r="D41" i="1" s="1"/>
  <c r="D43" i="1" s="1"/>
  <c r="E43" i="1" s="1"/>
  <c r="C38" i="1"/>
  <c r="C41" i="1" s="1"/>
  <c r="E37" i="1"/>
  <c r="F37" i="1" s="1"/>
  <c r="E36" i="1"/>
  <c r="F36" i="1" s="1"/>
  <c r="E33" i="1"/>
  <c r="F33" i="1" s="1"/>
  <c r="E32" i="1"/>
  <c r="F32" i="1" s="1"/>
  <c r="F31" i="1"/>
  <c r="E31" i="1"/>
  <c r="D29" i="1"/>
  <c r="E29" i="1" s="1"/>
  <c r="F29" i="1" s="1"/>
  <c r="C29" i="1"/>
  <c r="F28" i="1"/>
  <c r="E28" i="1"/>
  <c r="F27" i="1"/>
  <c r="E27" i="1"/>
  <c r="F26" i="1"/>
  <c r="E26" i="1"/>
  <c r="E25" i="1"/>
  <c r="F25" i="1" s="1"/>
  <c r="D22" i="1"/>
  <c r="E22" i="1" s="1"/>
  <c r="C22" i="1"/>
  <c r="C43" i="1" s="1"/>
  <c r="E21" i="1"/>
  <c r="F21" i="1" s="1"/>
  <c r="E20" i="1"/>
  <c r="F20" i="1" s="1"/>
  <c r="F19" i="1"/>
  <c r="E19" i="1"/>
  <c r="F18" i="1"/>
  <c r="E18" i="1"/>
  <c r="F17" i="1"/>
  <c r="E17" i="1"/>
  <c r="E16" i="1"/>
  <c r="F16" i="1" s="1"/>
  <c r="E15" i="1"/>
  <c r="F15" i="1" s="1"/>
  <c r="F14" i="1"/>
  <c r="E14" i="1"/>
  <c r="E13" i="1"/>
  <c r="F13" i="1" s="1"/>
  <c r="E44" i="14"/>
  <c r="F44" i="14" s="1"/>
  <c r="E67" i="14"/>
  <c r="F67" i="14" s="1"/>
  <c r="E89" i="14"/>
  <c r="F89" i="14" s="1"/>
  <c r="E198" i="14"/>
  <c r="F198" i="14" s="1"/>
  <c r="F298" i="14"/>
  <c r="D214" i="14"/>
  <c r="D200" i="14"/>
  <c r="D285" i="14"/>
  <c r="E180" i="14"/>
  <c r="F180" i="14" s="1"/>
  <c r="E237" i="14"/>
  <c r="F294" i="14"/>
  <c r="D282" i="14"/>
  <c r="D68" i="14"/>
  <c r="E68" i="14"/>
  <c r="F68" i="14" s="1"/>
  <c r="D124" i="14"/>
  <c r="D181" i="14"/>
  <c r="D288" i="14"/>
  <c r="C83" i="4"/>
  <c r="D33" i="9"/>
  <c r="E20" i="10"/>
  <c r="E21" i="10"/>
  <c r="C24" i="5"/>
  <c r="F18" i="4"/>
  <c r="F59" i="4"/>
  <c r="E25" i="3"/>
  <c r="F25" i="3" s="1"/>
  <c r="E111" i="3"/>
  <c r="E137" i="3"/>
  <c r="F137" i="3"/>
  <c r="E166" i="3"/>
  <c r="E23" i="6"/>
  <c r="F23" i="6" s="1"/>
  <c r="E76" i="6"/>
  <c r="F76" i="6" s="1"/>
  <c r="E102" i="6"/>
  <c r="E153" i="6"/>
  <c r="E179" i="6"/>
  <c r="E23" i="7"/>
  <c r="E47" i="7"/>
  <c r="E71" i="7"/>
  <c r="C157" i="5"/>
  <c r="C154" i="5"/>
  <c r="D24" i="10"/>
  <c r="D17" i="10"/>
  <c r="D28" i="10" s="1"/>
  <c r="D70" i="10" s="1"/>
  <c r="D72" i="10" s="1"/>
  <c r="D69" i="10" s="1"/>
  <c r="E31" i="14"/>
  <c r="F31" i="14"/>
  <c r="C32" i="14"/>
  <c r="F166" i="3"/>
  <c r="F153" i="6"/>
  <c r="C24" i="10"/>
  <c r="C17" i="10"/>
  <c r="C28" i="10"/>
  <c r="C70" i="10" s="1"/>
  <c r="C72" i="10" s="1"/>
  <c r="C69" i="10" s="1"/>
  <c r="C271" i="14"/>
  <c r="F22" i="1"/>
  <c r="F95" i="7"/>
  <c r="F29" i="8"/>
  <c r="D33" i="2"/>
  <c r="E19" i="2"/>
  <c r="F19" i="2"/>
  <c r="D176" i="4"/>
  <c r="E171" i="4"/>
  <c r="F171" i="4" s="1"/>
  <c r="C176" i="4"/>
  <c r="E49" i="5"/>
  <c r="E53" i="5"/>
  <c r="D83" i="4"/>
  <c r="E83" i="4" s="1"/>
  <c r="E78" i="4"/>
  <c r="F78" i="4" s="1"/>
  <c r="D21" i="5"/>
  <c r="D43" i="5"/>
  <c r="D49" i="5"/>
  <c r="E60" i="14"/>
  <c r="F60" i="14"/>
  <c r="C61" i="14"/>
  <c r="E137" i="14"/>
  <c r="F137" i="14" s="1"/>
  <c r="C138" i="14"/>
  <c r="F111" i="3"/>
  <c r="F35" i="4"/>
  <c r="E25" i="5"/>
  <c r="E27" i="5" s="1"/>
  <c r="D149" i="5"/>
  <c r="C155" i="5"/>
  <c r="E166" i="5"/>
  <c r="F49" i="6"/>
  <c r="E56" i="1"/>
  <c r="F56" i="1" s="1"/>
  <c r="F61" i="1"/>
  <c r="E39" i="2"/>
  <c r="F39" i="2" s="1"/>
  <c r="E46" i="2"/>
  <c r="F68" i="3"/>
  <c r="F30" i="4"/>
  <c r="E57" i="5"/>
  <c r="E62" i="5"/>
  <c r="E71" i="5"/>
  <c r="E88" i="5"/>
  <c r="E90" i="5" s="1"/>
  <c r="E86" i="5" s="1"/>
  <c r="C152" i="5"/>
  <c r="D166" i="5"/>
  <c r="F24" i="6"/>
  <c r="E50" i="6"/>
  <c r="F50" i="6"/>
  <c r="F75" i="6"/>
  <c r="E127" i="6"/>
  <c r="F127" i="6" s="1"/>
  <c r="F154" i="6"/>
  <c r="E96" i="7"/>
  <c r="F96" i="7" s="1"/>
  <c r="I31" i="11"/>
  <c r="F16" i="12"/>
  <c r="F45" i="12"/>
  <c r="F75" i="12"/>
  <c r="C181" i="14"/>
  <c r="C264" i="14"/>
  <c r="E191" i="14"/>
  <c r="C280" i="14"/>
  <c r="D22" i="15"/>
  <c r="E21" i="15"/>
  <c r="D283" i="15"/>
  <c r="C71" i="15"/>
  <c r="C76" i="15" s="1"/>
  <c r="C77" i="15" s="1"/>
  <c r="C65" i="15"/>
  <c r="C66" i="15" s="1"/>
  <c r="C295" i="15" s="1"/>
  <c r="C289" i="15"/>
  <c r="E156" i="15"/>
  <c r="D157" i="15"/>
  <c r="E157" i="15" s="1"/>
  <c r="D41" i="17"/>
  <c r="E39" i="17"/>
  <c r="D90" i="14"/>
  <c r="D195" i="14"/>
  <c r="D160" i="14"/>
  <c r="D125" i="14"/>
  <c r="D254" i="14"/>
  <c r="E22" i="8"/>
  <c r="F22" i="8" s="1"/>
  <c r="E56" i="8"/>
  <c r="F56" i="8" s="1"/>
  <c r="E61" i="8"/>
  <c r="F61" i="8" s="1"/>
  <c r="E16" i="9"/>
  <c r="F16" i="9" s="1"/>
  <c r="D25" i="10"/>
  <c r="D27" i="10" s="1"/>
  <c r="I17" i="11"/>
  <c r="C33" i="11"/>
  <c r="H33" i="11" s="1"/>
  <c r="H36" i="11" s="1"/>
  <c r="H38" i="11" s="1"/>
  <c r="H40" i="11" s="1"/>
  <c r="C36" i="11"/>
  <c r="C38" i="11" s="1"/>
  <c r="C40" i="11" s="1"/>
  <c r="G33" i="11"/>
  <c r="F17" i="14"/>
  <c r="E29" i="14"/>
  <c r="F29" i="14"/>
  <c r="E35" i="14"/>
  <c r="F36" i="14"/>
  <c r="E47" i="14"/>
  <c r="F47" i="14"/>
  <c r="E58" i="14"/>
  <c r="F58" i="14"/>
  <c r="F85" i="14"/>
  <c r="F94" i="14"/>
  <c r="E101" i="14"/>
  <c r="F101" i="14" s="1"/>
  <c r="E124" i="14"/>
  <c r="F124" i="14" s="1"/>
  <c r="E135" i="14"/>
  <c r="F135" i="14" s="1"/>
  <c r="E170" i="14"/>
  <c r="F170" i="14" s="1"/>
  <c r="E189" i="14"/>
  <c r="F189" i="14" s="1"/>
  <c r="C193" i="14"/>
  <c r="E203" i="14"/>
  <c r="F203" i="14" s="1"/>
  <c r="C205" i="14"/>
  <c r="F230" i="14"/>
  <c r="F238" i="14"/>
  <c r="C268" i="14"/>
  <c r="E36" i="15"/>
  <c r="D43" i="15"/>
  <c r="E54" i="15"/>
  <c r="C278" i="14"/>
  <c r="C262" i="14"/>
  <c r="C255" i="14"/>
  <c r="E250" i="14"/>
  <c r="F250" i="14" s="1"/>
  <c r="D66" i="15"/>
  <c r="E66" i="15" s="1"/>
  <c r="C46" i="19"/>
  <c r="C40" i="19"/>
  <c r="C36" i="19"/>
  <c r="C30" i="19"/>
  <c r="C54" i="19"/>
  <c r="D291" i="14"/>
  <c r="D289" i="14"/>
  <c r="C25" i="10"/>
  <c r="C27" i="10" s="1"/>
  <c r="E59" i="10"/>
  <c r="E61" i="10" s="1"/>
  <c r="E57" i="10" s="1"/>
  <c r="H17" i="11"/>
  <c r="E30" i="14"/>
  <c r="F30" i="14"/>
  <c r="E59" i="14"/>
  <c r="F59" i="14" s="1"/>
  <c r="E136" i="14"/>
  <c r="F136" i="14" s="1"/>
  <c r="F145" i="14"/>
  <c r="F158" i="14"/>
  <c r="C199" i="14"/>
  <c r="F295" i="14"/>
  <c r="F297" i="14"/>
  <c r="F299" i="14"/>
  <c r="D44" i="15"/>
  <c r="C241" i="15"/>
  <c r="C33" i="15"/>
  <c r="C294" i="15"/>
  <c r="E260" i="15"/>
  <c r="D320" i="15"/>
  <c r="E320" i="15" s="1"/>
  <c r="E316" i="15"/>
  <c r="D330" i="15"/>
  <c r="C43" i="8"/>
  <c r="C65" i="8"/>
  <c r="C75" i="8" s="1"/>
  <c r="C19" i="9"/>
  <c r="E17" i="10"/>
  <c r="E28" i="10" s="1"/>
  <c r="E70" i="10" s="1"/>
  <c r="E72" i="10" s="1"/>
  <c r="E69" i="10" s="1"/>
  <c r="D31" i="11"/>
  <c r="F36" i="11"/>
  <c r="F38" i="11"/>
  <c r="F40" i="11" s="1"/>
  <c r="C48" i="14"/>
  <c r="C102" i="14"/>
  <c r="C192" i="14"/>
  <c r="C254" i="14"/>
  <c r="C283" i="14"/>
  <c r="C252" i="15"/>
  <c r="F39" i="17"/>
  <c r="C282" i="14"/>
  <c r="C266" i="14"/>
  <c r="C214" i="14"/>
  <c r="C304" i="14" s="1"/>
  <c r="C190" i="14"/>
  <c r="C206" i="14"/>
  <c r="D295" i="15"/>
  <c r="E295" i="15" s="1"/>
  <c r="C168" i="15"/>
  <c r="C145" i="15"/>
  <c r="D139" i="14"/>
  <c r="D104" i="14"/>
  <c r="D173" i="14"/>
  <c r="D207" i="14"/>
  <c r="D286" i="14"/>
  <c r="F35" i="14"/>
  <c r="C37" i="14"/>
  <c r="C49" i="14"/>
  <c r="C146" i="14"/>
  <c r="C159" i="14"/>
  <c r="F164" i="14"/>
  <c r="E179" i="14"/>
  <c r="F179" i="14" s="1"/>
  <c r="F191" i="14"/>
  <c r="C200" i="14"/>
  <c r="C239" i="14"/>
  <c r="C277" i="14"/>
  <c r="E290" i="14"/>
  <c r="F290" i="14"/>
  <c r="C284" i="15"/>
  <c r="C43" i="15"/>
  <c r="E55" i="15"/>
  <c r="E240" i="15"/>
  <c r="E244" i="15"/>
  <c r="C303" i="15"/>
  <c r="C306" i="15" s="1"/>
  <c r="C310" i="15" s="1"/>
  <c r="C163" i="15"/>
  <c r="D239" i="15"/>
  <c r="C242" i="15"/>
  <c r="D243" i="15"/>
  <c r="D302" i="15"/>
  <c r="E302" i="15" s="1"/>
  <c r="C326" i="15"/>
  <c r="C330" i="15" s="1"/>
  <c r="E330" i="15" s="1"/>
  <c r="C20" i="17"/>
  <c r="E20" i="17" s="1"/>
  <c r="E25" i="17"/>
  <c r="F25" i="17" s="1"/>
  <c r="C40" i="17"/>
  <c r="C46" i="17"/>
  <c r="E29" i="19"/>
  <c r="C33" i="19"/>
  <c r="E35" i="19"/>
  <c r="E39" i="19"/>
  <c r="E45" i="19"/>
  <c r="D267" i="14"/>
  <c r="D306" i="14"/>
  <c r="E306" i="14" s="1"/>
  <c r="C274" i="14"/>
  <c r="E151" i="15"/>
  <c r="C175" i="15"/>
  <c r="E175" i="15" s="1"/>
  <c r="E195" i="15"/>
  <c r="C210" i="15"/>
  <c r="E210" i="15" s="1"/>
  <c r="D211" i="15"/>
  <c r="E215" i="15"/>
  <c r="D222" i="15"/>
  <c r="C239" i="15"/>
  <c r="C261" i="15"/>
  <c r="E261" i="15"/>
  <c r="E314" i="15"/>
  <c r="C49" i="16"/>
  <c r="F33" i="17"/>
  <c r="F43" i="17"/>
  <c r="F44" i="17"/>
  <c r="E23" i="19"/>
  <c r="C34" i="19"/>
  <c r="D105" i="14"/>
  <c r="D206" i="14"/>
  <c r="E206" i="14" s="1"/>
  <c r="F206" i="14" s="1"/>
  <c r="D262" i="14"/>
  <c r="D266" i="14"/>
  <c r="E266" i="14" s="1"/>
  <c r="D274" i="14"/>
  <c r="E274" i="14" s="1"/>
  <c r="F274" i="14" s="1"/>
  <c r="D280" i="14"/>
  <c r="D284" i="14"/>
  <c r="E205" i="15"/>
  <c r="E216" i="15"/>
  <c r="E220" i="15"/>
  <c r="C222" i="15"/>
  <c r="C246" i="15" s="1"/>
  <c r="E231" i="15"/>
  <c r="D234" i="15"/>
  <c r="D241" i="15"/>
  <c r="E241" i="15" s="1"/>
  <c r="D245" i="15"/>
  <c r="E301" i="15"/>
  <c r="C22" i="19"/>
  <c r="D30" i="19"/>
  <c r="E33" i="19"/>
  <c r="D36" i="19"/>
  <c r="D40" i="19"/>
  <c r="E53" i="19"/>
  <c r="E101" i="19"/>
  <c r="E103" i="19"/>
  <c r="D62" i="14"/>
  <c r="D140" i="14"/>
  <c r="D199" i="14"/>
  <c r="E199" i="14" s="1"/>
  <c r="F199" i="14" s="1"/>
  <c r="D205" i="14"/>
  <c r="E205" i="14" s="1"/>
  <c r="F205" i="14" s="1"/>
  <c r="D215" i="14"/>
  <c r="D216" i="14" s="1"/>
  <c r="D261" i="14"/>
  <c r="D279" i="14"/>
  <c r="F237" i="14"/>
  <c r="D21" i="14"/>
  <c r="D190" i="14"/>
  <c r="E190" i="14" s="1"/>
  <c r="F190" i="14" s="1"/>
  <c r="D272" i="14"/>
  <c r="E262" i="14"/>
  <c r="F262" i="14" s="1"/>
  <c r="E282" i="14"/>
  <c r="F282" i="14" s="1"/>
  <c r="E192" i="14"/>
  <c r="F192" i="14" s="1"/>
  <c r="D100" i="15"/>
  <c r="D96" i="15"/>
  <c r="D89" i="15"/>
  <c r="D85" i="15"/>
  <c r="D258" i="15"/>
  <c r="D98" i="15"/>
  <c r="D87" i="15"/>
  <c r="D83" i="15"/>
  <c r="D99" i="15"/>
  <c r="D88" i="15"/>
  <c r="D97" i="15"/>
  <c r="D86" i="15"/>
  <c r="D95" i="15"/>
  <c r="D84" i="15"/>
  <c r="D101" i="15"/>
  <c r="C263" i="14"/>
  <c r="I33" i="11"/>
  <c r="I36" i="11" s="1"/>
  <c r="I38" i="11" s="1"/>
  <c r="I40" i="11" s="1"/>
  <c r="G36" i="11"/>
  <c r="G38" i="11" s="1"/>
  <c r="G40" i="11" s="1"/>
  <c r="D284" i="15"/>
  <c r="E284" i="15" s="1"/>
  <c r="E22" i="15"/>
  <c r="D154" i="5"/>
  <c r="D155" i="5"/>
  <c r="D157" i="5"/>
  <c r="D152" i="5"/>
  <c r="D153" i="5"/>
  <c r="D156" i="5"/>
  <c r="D303" i="15"/>
  <c r="D300" i="14"/>
  <c r="D253" i="15"/>
  <c r="D246" i="15"/>
  <c r="E222" i="15"/>
  <c r="C161" i="14"/>
  <c r="E159" i="14"/>
  <c r="F159" i="14" s="1"/>
  <c r="D106" i="14"/>
  <c r="C234" i="15"/>
  <c r="C211" i="15"/>
  <c r="C235" i="15" s="1"/>
  <c r="D270" i="14"/>
  <c r="E267" i="14"/>
  <c r="F267" i="14" s="1"/>
  <c r="C284" i="14"/>
  <c r="E277" i="14"/>
  <c r="F277" i="14" s="1"/>
  <c r="C287" i="14"/>
  <c r="C279" i="14"/>
  <c r="E200" i="14"/>
  <c r="F200" i="14" s="1"/>
  <c r="E37" i="14"/>
  <c r="F37" i="14" s="1"/>
  <c r="D208" i="14"/>
  <c r="C160" i="14"/>
  <c r="C125" i="14"/>
  <c r="C90" i="14"/>
  <c r="E48" i="14"/>
  <c r="F48" i="14"/>
  <c r="C33" i="9"/>
  <c r="C22" i="10"/>
  <c r="C21" i="10"/>
  <c r="C20" i="10"/>
  <c r="C56" i="19"/>
  <c r="C48" i="19"/>
  <c r="C38" i="19"/>
  <c r="C194" i="14"/>
  <c r="C195" i="14"/>
  <c r="E193" i="14"/>
  <c r="F193" i="14"/>
  <c r="C300" i="14"/>
  <c r="E264" i="14"/>
  <c r="F264" i="14" s="1"/>
  <c r="C265" i="14"/>
  <c r="D137" i="5"/>
  <c r="D138" i="5"/>
  <c r="D139" i="5"/>
  <c r="D140" i="5"/>
  <c r="D135" i="5"/>
  <c r="D136" i="5"/>
  <c r="E32" i="14"/>
  <c r="F32" i="14" s="1"/>
  <c r="C62" i="14"/>
  <c r="C140" i="14"/>
  <c r="E284" i="14"/>
  <c r="C41" i="17"/>
  <c r="E239" i="15"/>
  <c r="F266" i="14"/>
  <c r="C223" i="15"/>
  <c r="C247" i="15" s="1"/>
  <c r="D265" i="14"/>
  <c r="E265" i="14" s="1"/>
  <c r="F265" i="14" s="1"/>
  <c r="E65" i="15"/>
  <c r="D175" i="14"/>
  <c r="E160" i="14"/>
  <c r="E176" i="4"/>
  <c r="F176" i="4" s="1"/>
  <c r="E22" i="10"/>
  <c r="F83" i="4"/>
  <c r="D126" i="14"/>
  <c r="D91" i="14"/>
  <c r="D49" i="14"/>
  <c r="D196" i="14"/>
  <c r="D161" i="14"/>
  <c r="E21" i="14"/>
  <c r="F21" i="14"/>
  <c r="C45" i="19"/>
  <c r="C39" i="19"/>
  <c r="C35" i="19"/>
  <c r="C29" i="19"/>
  <c r="C53" i="19"/>
  <c r="C181" i="15"/>
  <c r="C169" i="15"/>
  <c r="C103" i="14"/>
  <c r="C105" i="14" s="1"/>
  <c r="E102" i="14"/>
  <c r="F102" i="14" s="1"/>
  <c r="E43" i="15"/>
  <c r="E21" i="5"/>
  <c r="E138" i="14"/>
  <c r="F138" i="14" s="1"/>
  <c r="E33" i="9"/>
  <c r="D41" i="9"/>
  <c r="D223" i="15"/>
  <c r="E125" i="14"/>
  <c r="E215" i="14"/>
  <c r="F215" i="14" s="1"/>
  <c r="D255" i="14"/>
  <c r="E255" i="14" s="1"/>
  <c r="F255" i="14" s="1"/>
  <c r="D63" i="14"/>
  <c r="E62" i="14"/>
  <c r="E54" i="19"/>
  <c r="E46" i="19"/>
  <c r="E40" i="19"/>
  <c r="E36" i="19"/>
  <c r="E30" i="19"/>
  <c r="D235" i="15"/>
  <c r="E235" i="15" s="1"/>
  <c r="E211" i="15"/>
  <c r="C50" i="14"/>
  <c r="C216" i="14"/>
  <c r="E214" i="14"/>
  <c r="F214" i="14" s="1"/>
  <c r="D268" i="14"/>
  <c r="E268" i="14" s="1"/>
  <c r="F268" i="14" s="1"/>
  <c r="E261" i="14"/>
  <c r="F261" i="14"/>
  <c r="D271" i="14"/>
  <c r="D263" i="14"/>
  <c r="E263" i="14" s="1"/>
  <c r="F263" i="14" s="1"/>
  <c r="D141" i="14"/>
  <c r="E140" i="14"/>
  <c r="D56" i="19"/>
  <c r="D48" i="19"/>
  <c r="D38" i="19"/>
  <c r="D281" i="14"/>
  <c r="E280" i="14"/>
  <c r="E47" i="19"/>
  <c r="E37" i="19"/>
  <c r="E55" i="19"/>
  <c r="E243" i="15"/>
  <c r="D252" i="15"/>
  <c r="F239" i="14"/>
  <c r="E239" i="14"/>
  <c r="E146" i="14"/>
  <c r="F146" i="14" s="1"/>
  <c r="C126" i="15"/>
  <c r="C122" i="15"/>
  <c r="C115" i="15"/>
  <c r="C111" i="15"/>
  <c r="C124" i="15"/>
  <c r="C113" i="15"/>
  <c r="C109" i="15"/>
  <c r="C127" i="15"/>
  <c r="C125" i="15"/>
  <c r="C114" i="15"/>
  <c r="C123" i="15"/>
  <c r="C112" i="15"/>
  <c r="C121" i="15"/>
  <c r="C110" i="15"/>
  <c r="D305" i="14"/>
  <c r="E278" i="14"/>
  <c r="F278" i="14" s="1"/>
  <c r="E254" i="14"/>
  <c r="F254" i="14" s="1"/>
  <c r="F280" i="14"/>
  <c r="C281" i="14"/>
  <c r="E181" i="14"/>
  <c r="F181" i="14" s="1"/>
  <c r="E155" i="5"/>
  <c r="E156" i="5"/>
  <c r="E152" i="5"/>
  <c r="E154" i="5"/>
  <c r="E153" i="5"/>
  <c r="E157" i="5"/>
  <c r="E61" i="14"/>
  <c r="F61" i="14" s="1"/>
  <c r="C139" i="14"/>
  <c r="C104" i="14"/>
  <c r="E33" i="2"/>
  <c r="F33" i="2" s="1"/>
  <c r="D41" i="2"/>
  <c r="C41" i="2"/>
  <c r="E279" i="14"/>
  <c r="E234" i="15"/>
  <c r="F20" i="17"/>
  <c r="E40" i="17"/>
  <c r="E41" i="17"/>
  <c r="D174" i="14"/>
  <c r="E283" i="14"/>
  <c r="F283" i="14" s="1"/>
  <c r="E33" i="15"/>
  <c r="E326" i="15"/>
  <c r="E90" i="14"/>
  <c r="E65" i="8"/>
  <c r="F65" i="8" s="1"/>
  <c r="C44" i="15"/>
  <c r="C95" i="15" s="1"/>
  <c r="E95" i="15" s="1"/>
  <c r="E19" i="9"/>
  <c r="F19" i="9" s="1"/>
  <c r="E195" i="14"/>
  <c r="F195" i="14" s="1"/>
  <c r="C99" i="15"/>
  <c r="C88" i="15"/>
  <c r="C258" i="15"/>
  <c r="C97" i="15"/>
  <c r="C86" i="15"/>
  <c r="C83" i="15"/>
  <c r="C100" i="15"/>
  <c r="C89" i="15"/>
  <c r="C98" i="15"/>
  <c r="E98" i="15" s="1"/>
  <c r="C87" i="15"/>
  <c r="C96" i="15"/>
  <c r="E96" i="15" s="1"/>
  <c r="C85" i="15"/>
  <c r="E103" i="14"/>
  <c r="F103" i="14" s="1"/>
  <c r="D50" i="14"/>
  <c r="E49" i="14"/>
  <c r="F49" i="14"/>
  <c r="D176" i="14"/>
  <c r="C141" i="14"/>
  <c r="F140" i="14"/>
  <c r="D102" i="15"/>
  <c r="D103" i="15" s="1"/>
  <c r="D105" i="15" s="1"/>
  <c r="C116" i="15"/>
  <c r="C128" i="15"/>
  <c r="C129" i="15" s="1"/>
  <c r="D141" i="5"/>
  <c r="E300" i="14"/>
  <c r="F300" i="14" s="1"/>
  <c r="D158" i="5"/>
  <c r="E88" i="15"/>
  <c r="E41" i="2"/>
  <c r="F41" i="2" s="1"/>
  <c r="D48" i="2"/>
  <c r="D322" i="14"/>
  <c r="E141" i="14"/>
  <c r="E48" i="19"/>
  <c r="E38" i="19"/>
  <c r="E56" i="19"/>
  <c r="E223" i="15"/>
  <c r="D247" i="15"/>
  <c r="D197" i="14"/>
  <c r="E287" i="14"/>
  <c r="F287" i="14" s="1"/>
  <c r="C162" i="14"/>
  <c r="D90" i="15"/>
  <c r="C117" i="15"/>
  <c r="E104" i="14"/>
  <c r="F104" i="14" s="1"/>
  <c r="F125" i="14"/>
  <c r="F40" i="17"/>
  <c r="E97" i="15"/>
  <c r="E87" i="15"/>
  <c r="E89" i="15"/>
  <c r="C48" i="2"/>
  <c r="D309" i="14"/>
  <c r="E252" i="15"/>
  <c r="D254" i="15"/>
  <c r="D162" i="14"/>
  <c r="E161" i="14"/>
  <c r="F161" i="14" s="1"/>
  <c r="D127" i="14"/>
  <c r="E194" i="14"/>
  <c r="F194" i="14" s="1"/>
  <c r="C196" i="14"/>
  <c r="C41" i="9"/>
  <c r="F33" i="9"/>
  <c r="D306" i="15"/>
  <c r="E303" i="15"/>
  <c r="D91" i="15"/>
  <c r="E83" i="15"/>
  <c r="E139" i="14"/>
  <c r="F139" i="14" s="1"/>
  <c r="E158" i="5"/>
  <c r="F90" i="14"/>
  <c r="F279" i="14"/>
  <c r="F284" i="14"/>
  <c r="E86" i="15"/>
  <c r="E85" i="15"/>
  <c r="D304" i="14"/>
  <c r="D273" i="14"/>
  <c r="E271" i="14"/>
  <c r="F271" i="14" s="1"/>
  <c r="D48" i="9"/>
  <c r="E41" i="9"/>
  <c r="F41" i="9" s="1"/>
  <c r="C55" i="19"/>
  <c r="C47" i="19"/>
  <c r="C37" i="19"/>
  <c r="D92" i="14"/>
  <c r="D324" i="14" s="1"/>
  <c r="F62" i="14"/>
  <c r="C63" i="14"/>
  <c r="C70" i="14" s="1"/>
  <c r="D210" i="14"/>
  <c r="D209" i="14"/>
  <c r="E258" i="15"/>
  <c r="E281" i="14"/>
  <c r="F281" i="14"/>
  <c r="E63" i="14"/>
  <c r="F63" i="14" s="1"/>
  <c r="F41" i="17"/>
  <c r="F160" i="14"/>
  <c r="E44" i="15"/>
  <c r="E99" i="15"/>
  <c r="E100" i="15"/>
  <c r="D211" i="14"/>
  <c r="D310" i="14"/>
  <c r="D148" i="14"/>
  <c r="E196" i="14"/>
  <c r="F196" i="14"/>
  <c r="C48" i="9"/>
  <c r="E48" i="9" s="1"/>
  <c r="D183" i="14"/>
  <c r="D323" i="14"/>
  <c r="E162" i="14"/>
  <c r="F162" i="14" s="1"/>
  <c r="E48" i="2"/>
  <c r="F48" i="2" s="1"/>
  <c r="D113" i="14"/>
  <c r="D310" i="15"/>
  <c r="E310" i="15" s="1"/>
  <c r="E306" i="15"/>
  <c r="C322" i="14"/>
  <c r="F141" i="14"/>
  <c r="D70" i="14"/>
  <c r="E70" i="14" s="1"/>
  <c r="F70" i="14" s="1"/>
  <c r="E50" i="14"/>
  <c r="F50" i="14" s="1"/>
  <c r="E322" i="14"/>
  <c r="F322" i="14" s="1"/>
  <c r="C102" i="15"/>
  <c r="E102" i="15" s="1"/>
  <c r="D325" i="14"/>
  <c r="D312" i="14"/>
  <c r="D313" i="14"/>
  <c r="D315" i="14" s="1"/>
  <c r="D251" i="14"/>
  <c r="C75" i="1" l="1"/>
  <c r="E65" i="1"/>
  <c r="F65" i="1" s="1"/>
  <c r="D75" i="1"/>
  <c r="E75" i="1" s="1"/>
  <c r="C135" i="5"/>
  <c r="C136" i="5"/>
  <c r="C139" i="5"/>
  <c r="D314" i="14"/>
  <c r="D318" i="14" s="1"/>
  <c r="C101" i="15"/>
  <c r="E101" i="15" s="1"/>
  <c r="C84" i="15"/>
  <c r="E247" i="15"/>
  <c r="E216" i="14"/>
  <c r="F216" i="14" s="1"/>
  <c r="E24" i="5"/>
  <c r="E20" i="5" s="1"/>
  <c r="E17" i="5"/>
  <c r="C259" i="15"/>
  <c r="C263" i="15" s="1"/>
  <c r="C264" i="15" s="1"/>
  <c r="C266" i="15" s="1"/>
  <c r="C267" i="15" s="1"/>
  <c r="C268" i="15" s="1"/>
  <c r="E38" i="3"/>
  <c r="E41" i="3"/>
  <c r="F41" i="3" s="1"/>
  <c r="E42" i="3"/>
  <c r="E43" i="3"/>
  <c r="E44" i="3"/>
  <c r="E45" i="3"/>
  <c r="E46" i="3"/>
  <c r="E47" i="3"/>
  <c r="E48" i="3"/>
  <c r="E49" i="3"/>
  <c r="E50" i="3"/>
  <c r="D15" i="5"/>
  <c r="D24" i="5" s="1"/>
  <c r="E36" i="6"/>
  <c r="E37" i="6"/>
  <c r="E62" i="6"/>
  <c r="E63" i="6"/>
  <c r="E89" i="6"/>
  <c r="E128" i="6"/>
  <c r="F128" i="6" s="1"/>
  <c r="E140" i="6"/>
  <c r="F55" i="12"/>
  <c r="F65" i="12"/>
  <c r="F38" i="3"/>
  <c r="E52" i="3"/>
  <c r="F52" i="3" s="1"/>
  <c r="F42" i="3"/>
  <c r="F43" i="3"/>
  <c r="F44" i="3"/>
  <c r="F45" i="3"/>
  <c r="F46" i="3"/>
  <c r="F47" i="3"/>
  <c r="F48" i="3"/>
  <c r="F49" i="3"/>
  <c r="F50" i="3"/>
  <c r="E94" i="3"/>
  <c r="E124" i="3"/>
  <c r="F124" i="3" s="1"/>
  <c r="E179" i="3"/>
  <c r="F179" i="3" s="1"/>
  <c r="E24" i="4"/>
  <c r="F24" i="4" s="1"/>
  <c r="E109" i="4"/>
  <c r="E118" i="4"/>
  <c r="D20" i="5"/>
  <c r="C71" i="5"/>
  <c r="C79" i="5"/>
  <c r="E149" i="5"/>
  <c r="F36" i="6"/>
  <c r="F37" i="6"/>
  <c r="E193" i="6"/>
  <c r="E48" i="7"/>
  <c r="E59" i="7"/>
  <c r="E107" i="7"/>
  <c r="F107" i="7" s="1"/>
  <c r="E108" i="7"/>
  <c r="F108" i="7" s="1"/>
  <c r="D75" i="8"/>
  <c r="D48" i="10"/>
  <c r="D42" i="10" s="1"/>
  <c r="E23" i="12"/>
  <c r="F23" i="12" s="1"/>
  <c r="E30" i="12"/>
  <c r="E13" i="13"/>
  <c r="E17" i="13"/>
  <c r="C172" i="14"/>
  <c r="E42" i="15"/>
  <c r="D144" i="15"/>
  <c r="C64" i="16"/>
  <c r="C65" i="16" s="1"/>
  <c r="C114" i="16" s="1"/>
  <c r="C116" i="16" s="1"/>
  <c r="C119" i="16" s="1"/>
  <c r="C123" i="16" s="1"/>
  <c r="E45" i="17"/>
  <c r="F45" i="17" s="1"/>
  <c r="E19" i="18"/>
  <c r="F19" i="18" s="1"/>
  <c r="E21" i="18"/>
  <c r="F21" i="18" s="1"/>
  <c r="D33" i="19"/>
  <c r="E34" i="19"/>
  <c r="C77" i="19"/>
  <c r="E77" i="19"/>
  <c r="C101" i="19"/>
  <c r="C93" i="19"/>
  <c r="E98" i="19"/>
  <c r="D111" i="14"/>
  <c r="E111" i="14" s="1"/>
  <c r="F111" i="14" s="1"/>
  <c r="E42" i="10"/>
  <c r="F13" i="13"/>
  <c r="F17" i="13"/>
  <c r="E120" i="14"/>
  <c r="F120" i="14" s="1"/>
  <c r="D294" i="15"/>
  <c r="E294" i="15" s="1"/>
  <c r="E70" i="15"/>
  <c r="E72" i="15"/>
  <c r="D163" i="15"/>
  <c r="E163" i="15" s="1"/>
  <c r="E139" i="15"/>
  <c r="E167" i="15"/>
  <c r="E174" i="15"/>
  <c r="E178" i="15"/>
  <c r="E188" i="15"/>
  <c r="D189" i="15"/>
  <c r="D242" i="15"/>
  <c r="E242" i="15" s="1"/>
  <c r="E219" i="15"/>
  <c r="E230" i="15"/>
  <c r="E262" i="15"/>
  <c r="E280" i="15"/>
  <c r="E292" i="15"/>
  <c r="E324" i="15"/>
  <c r="E46" i="17"/>
  <c r="F46" i="17" s="1"/>
  <c r="E110" i="19"/>
  <c r="D102" i="19"/>
  <c r="D103" i="19" s="1"/>
  <c r="C106" i="14"/>
  <c r="E105" i="14"/>
  <c r="F105" i="14" s="1"/>
  <c r="D256" i="14"/>
  <c r="F48" i="9"/>
  <c r="C269" i="15"/>
  <c r="C271" i="15" s="1"/>
  <c r="C103" i="15"/>
  <c r="C131" i="15"/>
  <c r="E246" i="15"/>
  <c r="F304" i="14"/>
  <c r="E304" i="14"/>
  <c r="D21" i="10"/>
  <c r="D22" i="10"/>
  <c r="D20" i="10"/>
  <c r="E75" i="8"/>
  <c r="F75" i="8" s="1"/>
  <c r="C180" i="15"/>
  <c r="F43" i="1"/>
  <c r="E41" i="1"/>
  <c r="F41" i="1" s="1"/>
  <c r="F31" i="2"/>
  <c r="F84" i="3"/>
  <c r="F41" i="4"/>
  <c r="F109" i="4"/>
  <c r="F118" i="4"/>
  <c r="C112" i="5"/>
  <c r="C111" i="5" s="1"/>
  <c r="C28" i="5"/>
  <c r="C99" i="5" s="1"/>
  <c r="C101" i="5" s="1"/>
  <c r="C98" i="5" s="1"/>
  <c r="C140" i="5"/>
  <c r="C137" i="5"/>
  <c r="C138" i="5"/>
  <c r="F198" i="6"/>
  <c r="F199" i="6"/>
  <c r="F200" i="6"/>
  <c r="F201" i="6"/>
  <c r="F202" i="6"/>
  <c r="F203" i="6"/>
  <c r="F204" i="6"/>
  <c r="F205" i="6"/>
  <c r="F206" i="6"/>
  <c r="F35" i="7"/>
  <c r="F36" i="7"/>
  <c r="F153" i="3"/>
  <c r="E140" i="5"/>
  <c r="E138" i="5"/>
  <c r="E135" i="5"/>
  <c r="C156" i="5"/>
  <c r="C153" i="5"/>
  <c r="E16" i="2"/>
  <c r="F16" i="2" s="1"/>
  <c r="F51" i="3"/>
  <c r="C95" i="3"/>
  <c r="D95" i="3"/>
  <c r="C25" i="5"/>
  <c r="C27" i="5" s="1"/>
  <c r="D17" i="5"/>
  <c r="C57" i="5"/>
  <c r="C62" i="5" s="1"/>
  <c r="C49" i="5"/>
  <c r="D53" i="5"/>
  <c r="F62" i="6"/>
  <c r="F63" i="6"/>
  <c r="F114" i="6"/>
  <c r="F115" i="6"/>
  <c r="F166" i="6"/>
  <c r="F167" i="6"/>
  <c r="C207" i="6"/>
  <c r="D207" i="6"/>
  <c r="E207" i="6" s="1"/>
  <c r="C208" i="6"/>
  <c r="D208" i="6"/>
  <c r="E208" i="6" s="1"/>
  <c r="F83" i="7"/>
  <c r="F84" i="7"/>
  <c r="E113" i="7"/>
  <c r="D122" i="7"/>
  <c r="E122" i="7" s="1"/>
  <c r="F122" i="7" s="1"/>
  <c r="E41" i="8"/>
  <c r="F41" i="8" s="1"/>
  <c r="D43" i="8"/>
  <c r="E43" i="8" s="1"/>
  <c r="F43" i="8" s="1"/>
  <c r="F37" i="12"/>
  <c r="F92" i="12"/>
  <c r="F99" i="12"/>
  <c r="F21" i="13"/>
  <c r="E38" i="1"/>
  <c r="F38" i="1" s="1"/>
  <c r="C43" i="5"/>
  <c r="D77" i="5"/>
  <c r="D71" i="5" s="1"/>
  <c r="E112" i="7"/>
  <c r="F112" i="7" s="1"/>
  <c r="D121" i="7"/>
  <c r="E121" i="7" s="1"/>
  <c r="F121" i="7" s="1"/>
  <c r="F113" i="7"/>
  <c r="C91" i="14"/>
  <c r="C126" i="14"/>
  <c r="E38" i="8"/>
  <c r="F38" i="8" s="1"/>
  <c r="C59" i="10"/>
  <c r="C61" i="10" s="1"/>
  <c r="C57" i="10" s="1"/>
  <c r="E31" i="11"/>
  <c r="E20" i="14"/>
  <c r="F20" i="14" s="1"/>
  <c r="F52" i="14"/>
  <c r="E66" i="14"/>
  <c r="F66" i="14" s="1"/>
  <c r="E123" i="14"/>
  <c r="F123" i="14" s="1"/>
  <c r="F129" i="14"/>
  <c r="E144" i="14"/>
  <c r="F144" i="14" s="1"/>
  <c r="E188" i="14"/>
  <c r="F188" i="14" s="1"/>
  <c r="C285" i="14"/>
  <c r="C269" i="14"/>
  <c r="E204" i="14"/>
  <c r="F204" i="14" s="1"/>
  <c r="C227" i="14"/>
  <c r="F226" i="14"/>
  <c r="F31" i="11"/>
  <c r="H31" i="11" s="1"/>
  <c r="E23" i="14"/>
  <c r="F23" i="14" s="1"/>
  <c r="E76" i="14"/>
  <c r="F76" i="14" s="1"/>
  <c r="E109" i="14"/>
  <c r="F109" i="14" s="1"/>
  <c r="F229" i="14"/>
  <c r="C38" i="16"/>
  <c r="C127" i="16" s="1"/>
  <c r="C129" i="16" s="1"/>
  <c r="C133" i="16" s="1"/>
  <c r="D54" i="19"/>
  <c r="D46" i="19"/>
  <c r="E165" i="14"/>
  <c r="F165" i="14" s="1"/>
  <c r="F311" i="14"/>
  <c r="C283" i="15"/>
  <c r="E283" i="15" s="1"/>
  <c r="D289" i="15"/>
  <c r="E289" i="15" s="1"/>
  <c r="E60" i="15"/>
  <c r="D71" i="15"/>
  <c r="C189" i="15"/>
  <c r="E189" i="15" s="1"/>
  <c r="D229" i="15"/>
  <c r="E229" i="15" s="1"/>
  <c r="C245" i="15"/>
  <c r="C253" i="15" s="1"/>
  <c r="E253" i="15" s="1"/>
  <c r="F16" i="17"/>
  <c r="E19" i="17"/>
  <c r="F19" i="17" s="1"/>
  <c r="D34" i="19"/>
  <c r="D77" i="19"/>
  <c r="F296" i="14"/>
  <c r="C22" i="16"/>
  <c r="D22" i="19"/>
  <c r="C102" i="19"/>
  <c r="C103" i="19" s="1"/>
  <c r="E109" i="19" l="1"/>
  <c r="E108" i="19"/>
  <c r="E111" i="19"/>
  <c r="E112" i="19"/>
  <c r="E113" i="19"/>
  <c r="D145" i="15"/>
  <c r="D168" i="15"/>
  <c r="E168" i="15" s="1"/>
  <c r="E144" i="15"/>
  <c r="D180" i="15"/>
  <c r="E180" i="15" s="1"/>
  <c r="C173" i="14"/>
  <c r="E172" i="14"/>
  <c r="F172" i="14" s="1"/>
  <c r="C207" i="14"/>
  <c r="E84" i="15"/>
  <c r="C90" i="15"/>
  <c r="C158" i="5"/>
  <c r="C141" i="5"/>
  <c r="C108" i="19"/>
  <c r="C111" i="19"/>
  <c r="C109" i="19"/>
  <c r="C110" i="19"/>
  <c r="C113" i="19"/>
  <c r="C112" i="19"/>
  <c r="E139" i="5"/>
  <c r="E137" i="5"/>
  <c r="E136" i="5"/>
  <c r="E141" i="5" s="1"/>
  <c r="E112" i="5"/>
  <c r="E111" i="5" s="1"/>
  <c r="E28" i="5"/>
  <c r="F75" i="1"/>
  <c r="E227" i="14"/>
  <c r="F227" i="14" s="1"/>
  <c r="C270" i="14"/>
  <c r="E269" i="14"/>
  <c r="C272" i="14"/>
  <c r="F269" i="14"/>
  <c r="C92" i="14"/>
  <c r="E91" i="14"/>
  <c r="F91" i="14" s="1"/>
  <c r="C21" i="5"/>
  <c r="C20" i="5"/>
  <c r="C22" i="5"/>
  <c r="C254" i="15"/>
  <c r="E254" i="15" s="1"/>
  <c r="D257" i="14"/>
  <c r="E106" i="14"/>
  <c r="F106" i="14" s="1"/>
  <c r="D109" i="19"/>
  <c r="D111" i="19"/>
  <c r="D113" i="19"/>
  <c r="D108" i="19"/>
  <c r="D53" i="19"/>
  <c r="D110" i="19"/>
  <c r="D39" i="19"/>
  <c r="D29" i="19"/>
  <c r="D35" i="19"/>
  <c r="D45" i="19"/>
  <c r="D76" i="15"/>
  <c r="E71" i="15"/>
  <c r="E285" i="14"/>
  <c r="F285" i="14" s="1"/>
  <c r="C286" i="14"/>
  <c r="C288" i="14"/>
  <c r="C127" i="14"/>
  <c r="E126" i="14"/>
  <c r="F126" i="14" s="1"/>
  <c r="F208" i="6"/>
  <c r="F207" i="6"/>
  <c r="D112" i="5"/>
  <c r="D111" i="5" s="1"/>
  <c r="D28" i="5"/>
  <c r="E95" i="3"/>
  <c r="F95" i="3" s="1"/>
  <c r="E103" i="15"/>
  <c r="E245" i="15"/>
  <c r="E22" i="5" l="1"/>
  <c r="E99" i="5"/>
  <c r="E101" i="5" s="1"/>
  <c r="E98" i="5" s="1"/>
  <c r="C91" i="15"/>
  <c r="E90" i="15"/>
  <c r="E207" i="14"/>
  <c r="F207" i="14" s="1"/>
  <c r="C208" i="14"/>
  <c r="C174" i="14"/>
  <c r="E174" i="14" s="1"/>
  <c r="F174" i="14" s="1"/>
  <c r="C175" i="14"/>
  <c r="E173" i="14"/>
  <c r="F173" i="14" s="1"/>
  <c r="D169" i="15"/>
  <c r="E169" i="15" s="1"/>
  <c r="E145" i="15"/>
  <c r="D181" i="15"/>
  <c r="E181" i="15" s="1"/>
  <c r="E127" i="14"/>
  <c r="F127" i="14" s="1"/>
  <c r="C148" i="14"/>
  <c r="C197" i="14"/>
  <c r="C289" i="14"/>
  <c r="E288" i="14"/>
  <c r="C291" i="14"/>
  <c r="F288" i="14"/>
  <c r="D47" i="19"/>
  <c r="D112" i="19"/>
  <c r="D37" i="19"/>
  <c r="D55" i="19"/>
  <c r="D99" i="5"/>
  <c r="D101" i="5" s="1"/>
  <c r="D98" i="5" s="1"/>
  <c r="D22" i="5"/>
  <c r="E286" i="14"/>
  <c r="F286" i="14" s="1"/>
  <c r="D77" i="15"/>
  <c r="E76" i="15"/>
  <c r="D259" i="15"/>
  <c r="E92" i="14"/>
  <c r="C324" i="14"/>
  <c r="F92" i="14"/>
  <c r="C113" i="14"/>
  <c r="C273" i="14"/>
  <c r="E272" i="14"/>
  <c r="F272" i="14" s="1"/>
  <c r="E270" i="14"/>
  <c r="F270" i="14" s="1"/>
  <c r="C176" i="14" l="1"/>
  <c r="E175" i="14"/>
  <c r="F175" i="14"/>
  <c r="C210" i="14"/>
  <c r="E208" i="14"/>
  <c r="F208" i="14" s="1"/>
  <c r="C209" i="14"/>
  <c r="E209" i="14" s="1"/>
  <c r="F209" i="14" s="1"/>
  <c r="E91" i="15"/>
  <c r="C105" i="15"/>
  <c r="E105" i="15" s="1"/>
  <c r="E273" i="14"/>
  <c r="F273" i="14" s="1"/>
  <c r="D127" i="15"/>
  <c r="E127" i="15" s="1"/>
  <c r="D112" i="15"/>
  <c r="E112" i="15" s="1"/>
  <c r="D126" i="15"/>
  <c r="E126" i="15" s="1"/>
  <c r="D121" i="15"/>
  <c r="D110" i="15"/>
  <c r="D111" i="15"/>
  <c r="E111" i="15" s="1"/>
  <c r="D115" i="15"/>
  <c r="E115" i="15" s="1"/>
  <c r="D113" i="15"/>
  <c r="E113" i="15" s="1"/>
  <c r="D123" i="15"/>
  <c r="E123" i="15" s="1"/>
  <c r="E77" i="15"/>
  <c r="D125" i="15"/>
  <c r="E125" i="15" s="1"/>
  <c r="D114" i="15"/>
  <c r="E114" i="15" s="1"/>
  <c r="D122" i="15"/>
  <c r="D109" i="15"/>
  <c r="D124" i="15"/>
  <c r="E124" i="15" s="1"/>
  <c r="E113" i="14"/>
  <c r="F113" i="14" s="1"/>
  <c r="E324" i="14"/>
  <c r="F324" i="14" s="1"/>
  <c r="E197" i="14"/>
  <c r="F197" i="14" s="1"/>
  <c r="D263" i="15"/>
  <c r="E259" i="15"/>
  <c r="C305" i="14"/>
  <c r="E291" i="14"/>
  <c r="F291" i="14" s="1"/>
  <c r="E289" i="14"/>
  <c r="F289" i="14" s="1"/>
  <c r="E148" i="14"/>
  <c r="F148" i="14"/>
  <c r="E210" i="14" l="1"/>
  <c r="F210" i="14"/>
  <c r="C323" i="14"/>
  <c r="C211" i="14"/>
  <c r="E211" i="14" s="1"/>
  <c r="F211" i="14" s="1"/>
  <c r="E176" i="14"/>
  <c r="F176" i="14" s="1"/>
  <c r="C183" i="14"/>
  <c r="E183" i="14" s="1"/>
  <c r="F183" i="14" s="1"/>
  <c r="E263" i="15"/>
  <c r="D264" i="15"/>
  <c r="E109" i="15"/>
  <c r="E121" i="15"/>
  <c r="C309" i="14"/>
  <c r="E305" i="14"/>
  <c r="F305" i="14" s="1"/>
  <c r="D128" i="15"/>
  <c r="E128" i="15" s="1"/>
  <c r="E122" i="15"/>
  <c r="D116" i="15"/>
  <c r="E116" i="15" s="1"/>
  <c r="E110" i="15"/>
  <c r="E323" i="14" l="1"/>
  <c r="F323" i="14" s="1"/>
  <c r="C325" i="14"/>
  <c r="D129" i="15"/>
  <c r="E129" i="15" s="1"/>
  <c r="E264" i="15"/>
  <c r="D266" i="15"/>
  <c r="C310" i="14"/>
  <c r="F309" i="14"/>
  <c r="E309" i="14"/>
  <c r="D117" i="15"/>
  <c r="E325" i="14" l="1"/>
  <c r="F325" i="14" s="1"/>
  <c r="D131" i="15"/>
  <c r="E131" i="15" s="1"/>
  <c r="E117" i="15"/>
  <c r="D267" i="15"/>
  <c r="E266" i="15"/>
  <c r="C312" i="14"/>
  <c r="E310" i="14"/>
  <c r="F310" i="14"/>
  <c r="C313" i="14" l="1"/>
  <c r="E312" i="14"/>
  <c r="F312" i="14" s="1"/>
  <c r="D269" i="15"/>
  <c r="E269" i="15" s="1"/>
  <c r="E267" i="15"/>
  <c r="D268" i="15"/>
  <c r="D271" i="15" l="1"/>
  <c r="E271" i="15" s="1"/>
  <c r="E268" i="15"/>
  <c r="C256" i="14"/>
  <c r="C314" i="14"/>
  <c r="C315" i="14"/>
  <c r="C251" i="14"/>
  <c r="E313" i="14"/>
  <c r="F313" i="14" s="1"/>
  <c r="C318" i="14" l="1"/>
  <c r="E314" i="14"/>
  <c r="F314" i="14" s="1"/>
  <c r="E315" i="14"/>
  <c r="F315" i="14" s="1"/>
  <c r="C257" i="14"/>
  <c r="F256" i="14"/>
  <c r="E256" i="14"/>
  <c r="E251" i="14"/>
  <c r="F251" i="14" s="1"/>
  <c r="F257" i="14" l="1"/>
  <c r="E257" i="14"/>
  <c r="F318" i="14"/>
  <c r="E318" i="14"/>
</calcChain>
</file>

<file path=xl/sharedStrings.xml><?xml version="1.0" encoding="utf-8"?>
<sst xmlns="http://schemas.openxmlformats.org/spreadsheetml/2006/main" count="2307" uniqueCount="983">
  <si>
    <t>THE HOSPITAL OF CENTRAL CONNECTICUT</t>
  </si>
  <si>
    <t>TWELVE MONTHS ACTUAL FILING</t>
  </si>
  <si>
    <t xml:space="preserve">      FISCAL YEAR 2011</t>
  </si>
  <si>
    <t>REPORT 100 - HOSPITAL BALANCE SHEET INFORMATION</t>
  </si>
  <si>
    <t xml:space="preserve">      FY 2010</t>
  </si>
  <si>
    <t xml:space="preserve">      FY 2011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</si>
  <si>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</si>
  <si>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</si>
  <si>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</si>
  <si>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</si>
  <si>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</si>
  <si>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</si>
  <si>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</si>
  <si>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</si>
  <si>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</si>
  <si>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</si>
  <si>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</si>
  <si>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</si>
  <si>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</si>
  <si>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</si>
  <si>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</si>
  <si>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</si>
  <si>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</si>
  <si>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</si>
  <si>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</si>
  <si>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</si>
  <si>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</si>
  <si>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</si>
  <si>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</si>
  <si>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</si>
  <si>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</si>
  <si>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</si>
  <si>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</si>
  <si>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</si>
  <si>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</si>
  <si>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</si>
  <si>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</si>
  <si>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</si>
  <si>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</si>
  <si>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</si>
  <si>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</si>
  <si>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</si>
  <si>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</si>
  <si>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</si>
  <si>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</si>
  <si>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</si>
  <si>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</si>
  <si>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</si>
  <si>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</si>
  <si>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</si>
  <si>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</si>
  <si>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</si>
  <si>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</si>
  <si>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</si>
  <si>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</si>
  <si>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</si>
  <si>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</si>
  <si>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</si>
  <si>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</si>
  <si>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</si>
  <si>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</si>
  <si>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</si>
  <si>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</si>
  <si>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</si>
  <si>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</si>
  <si>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</si>
  <si>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</si>
  <si>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</si>
  <si>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</si>
  <si>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</si>
  <si>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</si>
  <si>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</si>
  <si>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</si>
  <si>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</si>
  <si>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</si>
  <si>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</si>
  <si>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</si>
  <si>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</si>
  <si>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</si>
  <si>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</si>
  <si>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</si>
  <si>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</si>
  <si>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</si>
  <si>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</si>
  <si>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</si>
  <si>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</si>
  <si>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</si>
  <si>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</si>
  <si>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</si>
  <si>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</si>
  <si>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</si>
  <si>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</si>
  <si>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</si>
  <si>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</si>
  <si>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</si>
  <si>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</si>
  <si>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</si>
  <si>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</si>
  <si>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</si>
  <si>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</si>
  <si>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</si>
  <si>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</si>
  <si>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</si>
  <si>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</si>
  <si>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</si>
  <si>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2010                ACTUAL     </t>
  </si>
  <si>
    <t xml:space="preserve">      FY 2011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</si>
  <si>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</si>
  <si>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</si>
  <si>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</si>
  <si>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</si>
  <si>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</si>
  <si>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</si>
  <si>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</si>
  <si>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</si>
  <si>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</si>
  <si>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</si>
  <si>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</si>
  <si>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</si>
  <si>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</si>
  <si>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</si>
  <si>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</si>
  <si>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</si>
  <si>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</si>
  <si>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</si>
  <si>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</si>
  <si>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</si>
  <si>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</si>
  <si>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</si>
  <si>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</si>
  <si>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</si>
  <si>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</si>
  <si>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</si>
  <si>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</si>
  <si>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</si>
  <si>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</si>
  <si>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</si>
  <si>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</si>
  <si>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</si>
  <si>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</si>
  <si>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</si>
  <si>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</si>
  <si>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</si>
  <si>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</si>
  <si>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</si>
  <si>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</si>
  <si>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</si>
  <si>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</si>
  <si>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</si>
  <si>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</si>
  <si>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</si>
  <si>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</si>
  <si>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</si>
  <si>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</si>
  <si>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</si>
  <si>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</si>
  <si>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</si>
  <si>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</si>
  <si>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</si>
  <si>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</si>
  <si>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</si>
  <si>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</si>
  <si>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</si>
  <si>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</si>
  <si>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</si>
  <si>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</si>
  <si>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</si>
  <si>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</si>
  <si>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</si>
  <si>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</si>
  <si>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</si>
  <si>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</si>
  <si>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</si>
  <si>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</si>
  <si>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</si>
  <si>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</si>
  <si>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</si>
  <si>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</si>
  <si>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</si>
  <si>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</si>
  <si>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</si>
  <si>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</si>
  <si>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</si>
  <si>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</si>
  <si>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</si>
  <si>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</si>
  <si>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</si>
  <si>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</si>
  <si>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</si>
  <si>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</si>
  <si>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</si>
  <si>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</si>
  <si>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</si>
  <si>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</si>
  <si>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</si>
  <si>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</si>
  <si>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</si>
  <si>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</si>
  <si>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</si>
  <si>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</si>
  <si>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</si>
  <si>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</si>
  <si>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</si>
  <si>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</si>
  <si>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</si>
  <si>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</si>
  <si>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</si>
  <si>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</si>
  <si>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</si>
  <si>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</si>
  <si>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</si>
  <si>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</si>
  <si>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</si>
  <si>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</si>
  <si>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</si>
  <si>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</si>
  <si>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</si>
  <si>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</si>
  <si>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</si>
  <si>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</si>
  <si>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</si>
  <si>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</si>
  <si>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</si>
  <si>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</si>
  <si>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</si>
  <si>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</si>
  <si>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</si>
  <si>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</si>
  <si>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</si>
  <si>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</si>
  <si>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</si>
  <si>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</si>
  <si>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</si>
  <si>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</si>
  <si>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</si>
  <si>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</si>
  <si>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</si>
  <si>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</si>
  <si>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</si>
  <si>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</si>
  <si>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</si>
  <si>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</si>
  <si>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</si>
  <si>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</si>
  <si>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</si>
  <si>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</si>
  <si>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</si>
  <si>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</si>
  <si>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</si>
  <si>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</si>
  <si>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</si>
  <si>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</si>
  <si>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</si>
  <si>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</si>
  <si>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</si>
  <si>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</si>
  <si>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</si>
  <si>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</si>
  <si>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</si>
  <si>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</si>
  <si>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</si>
  <si>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</si>
  <si>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</si>
  <si>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</si>
  <si>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</si>
  <si>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</si>
  <si>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</si>
  <si>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</si>
  <si>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</si>
  <si>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</si>
  <si>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</si>
  <si>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</si>
  <si>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</si>
  <si>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</si>
  <si>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</si>
  <si>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</si>
  <si>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</si>
  <si>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</si>
  <si>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</si>
  <si>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</si>
  <si>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</si>
  <si>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</si>
  <si>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</si>
  <si>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</si>
  <si>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</si>
  <si>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</si>
  <si>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</si>
  <si>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</si>
  <si>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</si>
  <si>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</si>
  <si>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</si>
  <si>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</si>
  <si>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</si>
  <si>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</si>
  <si>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</si>
  <si>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</si>
  <si>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</si>
  <si>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</si>
  <si>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</si>
  <si>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</si>
  <si>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</si>
  <si>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</si>
  <si>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</si>
  <si>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</si>
  <si>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</si>
  <si>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</si>
  <si>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</si>
  <si>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2009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</si>
  <si>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</si>
  <si>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</si>
  <si>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</si>
  <si>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</si>
  <si>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</si>
  <si>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</si>
  <si>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</si>
  <si>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</si>
  <si>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</si>
  <si>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</si>
  <si>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</si>
  <si>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</si>
  <si>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</si>
  <si>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</si>
  <si>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</si>
  <si>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</si>
  <si>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</si>
  <si>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</si>
  <si>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</si>
  <si>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</si>
  <si>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</si>
  <si>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</si>
  <si>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</si>
  <si>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</si>
  <si>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</si>
  <si>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</si>
  <si>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</si>
  <si>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</si>
  <si>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</si>
  <si>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</si>
  <si>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</si>
  <si>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</si>
  <si>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</si>
  <si>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</si>
  <si>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</si>
  <si>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</si>
  <si>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</si>
  <si>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</si>
  <si>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</si>
  <si>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</si>
  <si>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</si>
  <si>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</si>
  <si>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</si>
  <si>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</si>
  <si>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</si>
  <si>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</si>
  <si>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</si>
  <si>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</si>
  <si>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</si>
  <si>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</si>
  <si>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</si>
  <si>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</si>
  <si>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</si>
  <si>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</si>
  <si>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</si>
  <si>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</si>
  <si>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</si>
  <si>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</si>
  <si>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</si>
  <si>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</si>
  <si>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</si>
  <si>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</si>
  <si>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</si>
  <si>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</si>
  <si>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</si>
  <si>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</si>
  <si>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</si>
  <si>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</si>
  <si>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</si>
  <si>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</si>
  <si>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</si>
  <si>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</si>
  <si>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</si>
  <si>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</si>
  <si>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</si>
  <si>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</si>
  <si>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</si>
  <si>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</si>
  <si>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</si>
  <si>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</si>
  <si>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</si>
  <si>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</si>
  <si>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</si>
  <si>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</si>
  <si>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</si>
  <si>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</si>
  <si>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</si>
  <si>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</si>
  <si>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</si>
  <si>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</si>
  <si>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</si>
  <si>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</si>
  <si>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</si>
  <si>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</si>
  <si>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</si>
  <si>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</si>
  <si>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</si>
  <si>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</si>
  <si>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</si>
  <si>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</si>
  <si>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</si>
  <si>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</si>
  <si>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</si>
  <si>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</si>
  <si>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</si>
  <si>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</si>
  <si>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</si>
  <si>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</si>
  <si>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</si>
  <si>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</si>
  <si>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</si>
  <si>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</si>
  <si>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</si>
  <si>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</si>
  <si>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</si>
  <si>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</si>
  <si>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</si>
  <si>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</si>
  <si>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</si>
  <si>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</si>
  <si>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</si>
  <si>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</si>
  <si>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2010 ACTUAL     </t>
  </si>
  <si>
    <t xml:space="preserve">      FY 2011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</si>
  <si>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</si>
  <si>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</si>
  <si>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</si>
  <si>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</si>
  <si>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</si>
  <si>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</si>
  <si>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</si>
  <si>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</si>
  <si>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</si>
  <si>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</si>
  <si>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</si>
  <si>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</si>
  <si>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</si>
  <si>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</si>
  <si>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</si>
  <si>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</si>
  <si>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</si>
  <si>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</si>
  <si>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</si>
  <si>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</si>
  <si>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</si>
  <si>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</si>
  <si>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</si>
  <si>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</si>
  <si>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</si>
  <si>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</si>
  <si>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</si>
  <si>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</si>
  <si>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</si>
  <si>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</si>
  <si>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</si>
  <si>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</si>
  <si>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</si>
  <si>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</si>
  <si>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</si>
  <si>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</si>
  <si>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</si>
  <si>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</si>
  <si>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</si>
  <si>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</si>
  <si>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</si>
  <si>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</si>
  <si>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</si>
  <si>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</si>
  <si>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</si>
  <si>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</si>
  <si>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</si>
  <si>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HARTFORD HEALTH CARE CORPORATION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</si>
  <si>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</si>
  <si>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</si>
  <si>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</si>
  <si>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</si>
  <si>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</si>
  <si>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</si>
  <si>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</si>
  <si>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</si>
  <si>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</si>
  <si>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</si>
  <si>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</si>
  <si>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</si>
  <si>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</si>
  <si>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</si>
  <si>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</si>
  <si>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3(a)</t>
  </si>
  <si>
    <t>3(b)</t>
  </si>
  <si>
    <t>OCCUPANCY</t>
  </si>
  <si>
    <t>PATIENT</t>
  </si>
  <si>
    <t>OR ICU/CCU</t>
  </si>
  <si>
    <t>ADMISSIONS</t>
  </si>
  <si>
    <t>STAFFED</t>
  </si>
  <si>
    <t>AVAILABLE</t>
  </si>
  <si>
    <t>OF STAFFED</t>
  </si>
  <si>
    <t>OF AVAILABLE</t>
  </si>
  <si>
    <t>DAYS</t>
  </si>
  <si>
    <t># PATIENT</t>
  </si>
  <si>
    <t/>
  </si>
  <si>
    <t>BEDS (A)</t>
  </si>
  <si>
    <t>BEDS</t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</si>
  <si>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</si>
  <si>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</si>
  <si>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</si>
  <si>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</si>
  <si>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</si>
  <si>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</si>
  <si>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</si>
  <si>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</si>
  <si>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</si>
  <si>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</si>
  <si>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</si>
  <si>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</si>
  <si>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</si>
  <si>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</si>
  <si>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</si>
  <si>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</si>
  <si>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</si>
  <si>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</si>
  <si>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</si>
  <si>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</si>
  <si>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</si>
  <si>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</si>
  <si>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</si>
  <si>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</si>
  <si>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</si>
  <si>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</si>
  <si>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</si>
  <si>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</si>
  <si>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</si>
  <si>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</si>
  <si>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</si>
  <si>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</si>
  <si>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</si>
  <si>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</si>
  <si>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</si>
  <si>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</si>
  <si>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</si>
  <si>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</si>
  <si>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</si>
  <si>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</si>
  <si>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</si>
  <si>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</si>
  <si>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</si>
  <si>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</si>
  <si>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</si>
  <si>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</si>
  <si>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</si>
  <si>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</si>
  <si>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</si>
  <si>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</si>
  <si>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</si>
  <si>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</si>
  <si>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</si>
  <si>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</si>
  <si>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</si>
  <si>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</si>
  <si>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</si>
  <si>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</si>
  <si>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</si>
  <si>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</si>
  <si>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</si>
  <si>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</si>
  <si>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</si>
  <si>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</si>
  <si>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</si>
  <si>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</si>
  <si>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</si>
  <si>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</si>
  <si>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</si>
  <si>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</si>
  <si>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</si>
  <si>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</si>
  <si>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</si>
  <si>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</si>
  <si>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</si>
  <si>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</si>
  <si>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</si>
  <si>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</si>
  <si>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The Hospital of Central Connecticut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</si>
  <si>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</si>
  <si>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</si>
  <si>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</si>
  <si>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</si>
  <si>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</si>
  <si>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</si>
  <si>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</si>
  <si>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</si>
  <si>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2011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</si>
  <si>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</si>
  <si>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</si>
  <si>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</si>
  <si>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</si>
  <si>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2010</t>
  </si>
  <si>
    <t xml:space="preserve">         FY 2011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</si>
  <si>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</si>
  <si>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</si>
  <si>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</si>
  <si>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</si>
  <si>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</si>
  <si>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</si>
  <si>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</si>
  <si>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</si>
  <si>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</si>
  <si>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</si>
  <si>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</si>
  <si>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</si>
  <si>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</si>
  <si>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</si>
  <si>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</si>
  <si>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</si>
  <si>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</si>
  <si>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</si>
  <si>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</si>
  <si>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</si>
  <si>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</si>
  <si>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</si>
  <si>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</si>
  <si>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</si>
  <si>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</si>
  <si>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</si>
  <si>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</si>
  <si>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</si>
  <si>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</si>
  <si>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</si>
  <si>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</si>
  <si>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</si>
  <si>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</si>
  <si>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</si>
  <si>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</si>
  <si>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</si>
  <si>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</si>
  <si>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</si>
  <si>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</si>
  <si>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</si>
  <si>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</si>
  <si>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</si>
  <si>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</si>
  <si>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</si>
  <si>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</si>
  <si>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</si>
  <si>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</si>
  <si>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</si>
  <si>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</si>
  <si>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</si>
  <si>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</si>
  <si>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</si>
  <si>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</si>
  <si>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</si>
  <si>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</si>
  <si>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</si>
  <si>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</si>
  <si>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</si>
  <si>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</si>
  <si>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</si>
  <si>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</si>
  <si>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</si>
  <si>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</si>
  <si>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</si>
  <si>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</si>
  <si>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</si>
  <si>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</si>
  <si>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</si>
  <si>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</si>
  <si>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</si>
  <si>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</si>
  <si>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</si>
  <si>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</si>
  <si>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</si>
  <si>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</si>
  <si>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</si>
  <si>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</si>
  <si>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</si>
  <si>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</si>
  <si>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</si>
  <si>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</si>
  <si>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</si>
  <si>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</si>
  <si>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</si>
  <si>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</si>
  <si>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</si>
  <si>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</si>
  <si>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</si>
  <si>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</si>
  <si>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</si>
  <si>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</si>
  <si>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</si>
  <si>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</si>
  <si>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</si>
  <si>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</si>
  <si>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</si>
  <si>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</si>
  <si>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</si>
  <si>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</si>
  <si>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</si>
  <si>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</si>
  <si>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</si>
  <si>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</si>
  <si>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</si>
  <si>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</si>
  <si>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</si>
  <si>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</si>
  <si>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</si>
  <si>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</si>
  <si>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</si>
  <si>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</si>
  <si>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</si>
  <si>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</si>
  <si>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</si>
  <si>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</si>
  <si>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</si>
  <si>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</si>
  <si>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</si>
  <si>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</si>
  <si>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</si>
  <si>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</si>
  <si>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</si>
  <si>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</si>
  <si>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</si>
  <si>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</si>
  <si>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</si>
  <si>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</si>
  <si>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</si>
  <si>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</si>
  <si>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</si>
  <si>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</si>
  <si>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</si>
  <si>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</si>
  <si>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</si>
  <si>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</si>
  <si>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</si>
  <si>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</si>
  <si>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</si>
  <si>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</si>
  <si>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</si>
  <si>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</si>
  <si>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</si>
  <si>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2010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</si>
  <si>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2011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</si>
  <si>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</si>
  <si>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</si>
  <si>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</si>
  <si>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</si>
  <si>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</si>
  <si>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</si>
  <si>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</si>
  <si>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</si>
  <si>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</si>
  <si>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</si>
  <si>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</si>
  <si>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</si>
  <si>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</si>
  <si>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</si>
  <si>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</si>
  <si>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</si>
  <si>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</si>
  <si>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</si>
  <si>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</si>
  <si>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</si>
  <si>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</si>
  <si>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</si>
  <si>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</si>
  <si>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</si>
  <si>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</si>
  <si>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</si>
  <si>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</si>
  <si>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</si>
  <si>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</si>
  <si>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</si>
  <si>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</si>
  <si>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</si>
  <si>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</si>
  <si>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</si>
  <si>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</si>
  <si>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</si>
  <si>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</si>
  <si>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</si>
  <si>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</si>
  <si>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</si>
  <si>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</si>
  <si>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</si>
  <si>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</si>
  <si>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</si>
  <si>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</si>
  <si>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</si>
  <si>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</si>
  <si>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</si>
  <si>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</si>
  <si>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</si>
  <si>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</si>
  <si>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</si>
  <si>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</si>
  <si>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</si>
  <si>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</si>
  <si>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</si>
  <si>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</si>
  <si>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</si>
  <si>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</si>
  <si>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</si>
  <si>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</si>
  <si>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</si>
  <si>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</si>
  <si>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</si>
  <si>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</si>
  <si>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</si>
  <si>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</si>
  <si>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</si>
  <si>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</si>
  <si>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</si>
  <si>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</si>
  <si>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</si>
  <si>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</si>
  <si>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</si>
  <si>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</si>
  <si>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</si>
  <si>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</si>
  <si>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</si>
  <si>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</si>
  <si>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</si>
  <si>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</si>
  <si>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</si>
  <si>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</si>
  <si>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</si>
  <si>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</si>
  <si>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</si>
  <si>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</si>
  <si>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</si>
  <si>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</si>
  <si>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</si>
  <si>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</si>
  <si>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</si>
  <si>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</si>
  <si>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</si>
  <si>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</si>
  <si>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</si>
  <si>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</si>
  <si>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</si>
  <si>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2011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</si>
  <si>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</si>
  <si>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</si>
  <si>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</si>
  <si>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</si>
  <si>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</si>
  <si>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</si>
  <si>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</si>
  <si>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</si>
  <si>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</si>
  <si>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</si>
  <si>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</si>
  <si>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</si>
  <si>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</si>
  <si>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</si>
  <si>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</si>
  <si>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</si>
  <si>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</si>
  <si>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</si>
  <si>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</si>
  <si>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</si>
  <si>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</si>
  <si>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</si>
  <si>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</si>
  <si>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</si>
  <si>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</si>
  <si>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</si>
  <si>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</si>
  <si>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</si>
  <si>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</si>
  <si>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</si>
  <si>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</si>
  <si>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</si>
  <si>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</si>
  <si>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</si>
  <si>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</si>
  <si>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</si>
  <si>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</si>
  <si>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</si>
  <si>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</si>
  <si>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</si>
  <si>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</si>
  <si>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</si>
  <si>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</si>
  <si>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</si>
  <si>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</si>
  <si>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</si>
  <si>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</si>
  <si>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</si>
  <si>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</si>
  <si>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</si>
  <si>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</si>
  <si>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</si>
  <si>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</si>
  <si>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</si>
  <si>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</si>
  <si>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2009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</si>
  <si>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2010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</si>
  <si>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2011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</si>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</sst>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"/>
    <numFmt numFmtId="167" formatCode="0.00000_)"/>
    <numFmt numFmtId="168" formatCode="0.00000_);\(0.00000\)"/>
    <numFmt numFmtId="169" formatCode="0.0000_)"/>
    <numFmt numFmtId="170" formatCode="#,##0.00000_);\(#,##0.00000\)"/>
    <numFmt numFmtId="171" formatCode="_(* #,##0.0_);_(* \(#,##0.0\);_(* &quot;-&quot;??_);_(@_)"/>
    <numFmt numFmtId="172" formatCode="0.0%"/>
    <numFmt numFmtId="173" formatCode="0.0000_);\(0.0000\)"/>
    <numFmt numFmtId="174" formatCode="_(* #,##0_);_(* \(#,##0\);_(* &quot;-&quot;??_);_(@_)"/>
    <numFmt numFmtId="175" formatCode="_(* #,##0.0000_);_(* \(#,##0.0000\);_(* &quot;-&quot;??_);_(@_)"/>
    <numFmt numFmtId="176" formatCode="0.0000000000_);\(0.0000000000\)"/>
    <numFmt numFmtId="177" formatCode="_(* #,##0.00000000_);_(* \(#,##0.00000000\);_(* &quot;-&quot;??_);_(@_)"/>
    <numFmt numFmtId="178" formatCode="#,##0.000000_);\(#,##0.000000\)"/>
    <numFmt numFmtId="179" formatCode="#,##0.0_);\(#,##0.0\)"/>
    <numFmt numFmtId="180" formatCode="_(* #,##0.0_);_(* \(#,##0.0\);_(* &quot;-&quot;?_);_(@_)"/>
    <numFmt numFmtId="181" formatCode="0.00000"/>
    <numFmt numFmtId="182" formatCode="#,##0.00000"/>
    <numFmt numFmtId="183" formatCode="#,##0.0000"/>
    <numFmt numFmtId="184" formatCode="_(* #,##0.0000000000_);_(* \(#,##0.0000000000\);_(* &quot;-&quot;??_);_(@_)"/>
    <numFmt numFmtId="185" formatCode="#,##0.0000000000_);\(#,##0.0000000000\)"/>
    <numFmt numFmtId="186" formatCode="0.0000"/>
    <numFmt numFmtId="187" formatCode="0.0"/>
    <numFmt numFmtId="188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</font>
    <font>
      <sz val="12"/>
      <name val="Arial"/>
    </font>
    <font>
      <b/>
      <u/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3"/>
      <name val="Arial"/>
      <family val="2"/>
    </font>
    <font>
      <sz val="13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</borders>
  <cellStyleXfs count="45">
    <xf numFmtId="0" fontId="0" fillId="0" borderId="0"/>
    <xf numFmtId="0" fontId="35" fillId="10" borderId="0" applyNumberFormat="0" applyBorder="0" applyAlignment="0" applyProtection="0"/>
    <xf numFmtId="0" fontId="35" fillId="14" borderId="0" applyNumberFormat="0" applyBorder="0" applyAlignment="0" applyProtection="0"/>
    <xf numFmtId="0" fontId="35" fillId="18" borderId="0" applyNumberFormat="0" applyBorder="0" applyAlignment="0" applyProtection="0"/>
    <xf numFmtId="0" fontId="35" fillId="22" borderId="0" applyNumberFormat="0" applyBorder="0" applyAlignment="0" applyProtection="0"/>
    <xf numFmtId="0" fontId="35" fillId="26" borderId="0" applyNumberFormat="0" applyBorder="0" applyAlignment="0" applyProtection="0"/>
    <xf numFmtId="0" fontId="35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15" borderId="0" applyNumberFormat="0" applyBorder="0" applyAlignment="0" applyProtection="0"/>
    <xf numFmtId="0" fontId="35" fillId="19" borderId="0" applyNumberFormat="0" applyBorder="0" applyAlignment="0" applyProtection="0"/>
    <xf numFmtId="0" fontId="35" fillId="23" borderId="0" applyNumberFormat="0" applyBorder="0" applyAlignment="0" applyProtection="0"/>
    <xf numFmtId="0" fontId="35" fillId="27" borderId="0" applyNumberFormat="0" applyBorder="0" applyAlignment="0" applyProtection="0"/>
    <xf numFmtId="0" fontId="35" fillId="31" borderId="0" applyNumberFormat="0" applyBorder="0" applyAlignment="0" applyProtection="0"/>
    <xf numFmtId="0" fontId="51" fillId="12" borderId="0" applyNumberFormat="0" applyBorder="0" applyAlignment="0" applyProtection="0"/>
    <xf numFmtId="0" fontId="51" fillId="16" borderId="0" applyNumberFormat="0" applyBorder="0" applyAlignment="0" applyProtection="0"/>
    <xf numFmtId="0" fontId="51" fillId="20" borderId="0" applyNumberFormat="0" applyBorder="0" applyAlignment="0" applyProtection="0"/>
    <xf numFmtId="0" fontId="51" fillId="24" borderId="0" applyNumberFormat="0" applyBorder="0" applyAlignment="0" applyProtection="0"/>
    <xf numFmtId="0" fontId="51" fillId="28" borderId="0" applyNumberFormat="0" applyBorder="0" applyAlignment="0" applyProtection="0"/>
    <xf numFmtId="0" fontId="51" fillId="32" borderId="0" applyNumberFormat="0" applyBorder="0" applyAlignment="0" applyProtection="0"/>
    <xf numFmtId="0" fontId="51" fillId="9" borderId="0" applyNumberFormat="0" applyBorder="0" applyAlignment="0" applyProtection="0"/>
    <xf numFmtId="0" fontId="51" fillId="13" borderId="0" applyNumberFormat="0" applyBorder="0" applyAlignment="0" applyProtection="0"/>
    <xf numFmtId="0" fontId="51" fillId="17" borderId="0" applyNumberFormat="0" applyBorder="0" applyAlignment="0" applyProtection="0"/>
    <xf numFmtId="0" fontId="51" fillId="21" borderId="0" applyNumberFormat="0" applyBorder="0" applyAlignment="0" applyProtection="0"/>
    <xf numFmtId="0" fontId="51" fillId="25" borderId="0" applyNumberFormat="0" applyBorder="0" applyAlignment="0" applyProtection="0"/>
    <xf numFmtId="0" fontId="51" fillId="29" borderId="0" applyNumberFormat="0" applyBorder="0" applyAlignment="0" applyProtection="0"/>
    <xf numFmtId="0" fontId="41" fillId="3" borderId="0" applyNumberFormat="0" applyBorder="0" applyAlignment="0" applyProtection="0"/>
    <xf numFmtId="0" fontId="45" fillId="6" borderId="35" applyNumberFormat="0" applyAlignment="0" applyProtection="0"/>
    <xf numFmtId="0" fontId="47" fillId="7" borderId="38" applyNumberFormat="0" applyAlignment="0" applyProtection="0"/>
    <xf numFmtId="43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0" fillId="2" borderId="0" applyNumberFormat="0" applyBorder="0" applyAlignment="0" applyProtection="0"/>
    <xf numFmtId="0" fontId="37" fillId="0" borderId="32" applyNumberFormat="0" applyFill="0" applyAlignment="0" applyProtection="0"/>
    <xf numFmtId="0" fontId="38" fillId="0" borderId="33" applyNumberFormat="0" applyFill="0" applyAlignment="0" applyProtection="0"/>
    <xf numFmtId="0" fontId="39" fillId="0" borderId="34" applyNumberFormat="0" applyFill="0" applyAlignment="0" applyProtection="0"/>
    <xf numFmtId="0" fontId="39" fillId="0" borderId="0" applyNumberFormat="0" applyFill="0" applyBorder="0" applyAlignment="0" applyProtection="0"/>
    <xf numFmtId="0" fontId="43" fillId="5" borderId="35" applyNumberFormat="0" applyAlignment="0" applyProtection="0"/>
    <xf numFmtId="0" fontId="46" fillId="0" borderId="37" applyNumberFormat="0" applyFill="0" applyAlignment="0" applyProtection="0"/>
    <xf numFmtId="0" fontId="42" fillId="4" borderId="0" applyNumberFormat="0" applyBorder="0" applyAlignment="0" applyProtection="0"/>
    <xf numFmtId="0" fontId="35" fillId="8" borderId="39" applyNumberFormat="0" applyFont="0" applyAlignment="0" applyProtection="0"/>
    <xf numFmtId="0" fontId="44" fillId="6" borderId="36" applyNumberFormat="0" applyAlignment="0" applyProtection="0"/>
    <xf numFmtId="9" fontId="5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50" fillId="0" borderId="40" applyNumberFormat="0" applyFill="0" applyAlignment="0" applyProtection="0"/>
    <xf numFmtId="0" fontId="48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4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4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4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>
      <alignment horizontal="right"/>
    </xf>
    <xf numFmtId="165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4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4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/>
    <xf numFmtId="164" fontId="1" fillId="0" borderId="5" xfId="0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 wrapText="1"/>
    </xf>
    <xf numFmtId="164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1" fillId="0" borderId="7" xfId="0" applyNumberFormat="1" applyFont="1" applyBorder="1" applyAlignment="1">
      <alignment horizontal="center" wrapText="1"/>
    </xf>
    <xf numFmtId="164" fontId="1" fillId="33" borderId="8" xfId="0" applyNumberFormat="1" applyFont="1" applyFill="1" applyBorder="1" applyAlignment="1"/>
    <xf numFmtId="164" fontId="1" fillId="33" borderId="8" xfId="0" applyNumberFormat="1" applyFont="1" applyFill="1" applyBorder="1" applyAlignment="1">
      <alignment horizontal="left"/>
    </xf>
    <xf numFmtId="164" fontId="1" fillId="0" borderId="1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left"/>
    </xf>
    <xf numFmtId="5" fontId="3" fillId="0" borderId="12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center" vertical="center"/>
    </xf>
    <xf numFmtId="43" fontId="3" fillId="0" borderId="12" xfId="28" applyFont="1" applyBorder="1" applyProtection="1">
      <protection locked="0"/>
    </xf>
    <xf numFmtId="164" fontId="1" fillId="0" borderId="12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left" wrapText="1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4" fontId="1" fillId="0" borderId="12" xfId="0" applyNumberFormat="1" applyFont="1" applyBorder="1" applyAlignment="1">
      <alignment horizontal="right"/>
    </xf>
    <xf numFmtId="43" fontId="1" fillId="0" borderId="12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4" fontId="1" fillId="0" borderId="17" xfId="0" applyNumberFormat="1" applyFont="1" applyFill="1" applyBorder="1" applyAlignment="1">
      <alignment horizontal="center"/>
    </xf>
    <xf numFmtId="164" fontId="1" fillId="0" borderId="18" xfId="0" applyNumberFormat="1" applyFont="1" applyBorder="1" applyAlignment="1">
      <alignment horizontal="left"/>
    </xf>
    <xf numFmtId="5" fontId="1" fillId="0" borderId="17" xfId="0" applyNumberFormat="1" applyFont="1" applyBorder="1" applyAlignment="1">
      <alignment horizontal="right"/>
    </xf>
    <xf numFmtId="5" fontId="1" fillId="0" borderId="19" xfId="0" applyNumberFormat="1" applyFont="1" applyBorder="1" applyAlignment="1">
      <alignment horizontal="right"/>
    </xf>
    <xf numFmtId="9" fontId="1" fillId="0" borderId="19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right"/>
    </xf>
    <xf numFmtId="164" fontId="1" fillId="0" borderId="19" xfId="0" applyNumberFormat="1" applyFont="1" applyFill="1" applyBorder="1" applyAlignment="1">
      <alignment horizontal="center"/>
    </xf>
    <xf numFmtId="164" fontId="1" fillId="0" borderId="17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12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4" fontId="11" fillId="0" borderId="0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center"/>
    </xf>
    <xf numFmtId="164" fontId="10" fillId="0" borderId="20" xfId="0" applyNumberFormat="1" applyFont="1" applyBorder="1" applyAlignment="1">
      <alignment horizontal="center"/>
    </xf>
    <xf numFmtId="164" fontId="10" fillId="0" borderId="20" xfId="0" applyNumberFormat="1" applyFont="1" applyBorder="1" applyAlignment="1"/>
    <xf numFmtId="0" fontId="10" fillId="0" borderId="20" xfId="0" applyFont="1" applyBorder="1" applyAlignment="1">
      <alignment horizontal="center" wrapText="1"/>
    </xf>
    <xf numFmtId="164" fontId="10" fillId="0" borderId="20" xfId="0" applyNumberFormat="1" applyFont="1" applyBorder="1" applyAlignment="1">
      <alignment horizontal="center" wrapText="1"/>
    </xf>
    <xf numFmtId="164" fontId="12" fillId="0" borderId="20" xfId="0" applyNumberFormat="1" applyFont="1" applyBorder="1" applyAlignment="1">
      <alignment horizontal="center"/>
    </xf>
    <xf numFmtId="164" fontId="12" fillId="0" borderId="20" xfId="0" applyNumberFormat="1" applyFont="1" applyBorder="1" applyAlignment="1">
      <alignment horizontal="left"/>
    </xf>
    <xf numFmtId="164" fontId="12" fillId="0" borderId="20" xfId="0" applyNumberFormat="1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164" fontId="10" fillId="0" borderId="12" xfId="0" applyNumberFormat="1" applyFont="1" applyBorder="1" applyAlignment="1"/>
    <xf numFmtId="164" fontId="10" fillId="0" borderId="12" xfId="0" applyNumberFormat="1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164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4" fontId="11" fillId="0" borderId="8" xfId="0" applyNumberFormat="1" applyFont="1" applyBorder="1" applyAlignment="1">
      <alignment horizontal="right"/>
    </xf>
    <xf numFmtId="164" fontId="11" fillId="0" borderId="12" xfId="0" applyNumberFormat="1" applyFont="1" applyBorder="1" applyAlignment="1">
      <alignment horizontal="center"/>
    </xf>
    <xf numFmtId="0" fontId="12" fillId="0" borderId="12" xfId="0" applyNumberFormat="1" applyFont="1" applyBorder="1" applyAlignment="1">
      <alignment horizontal="left" wrapText="1"/>
    </xf>
    <xf numFmtId="164" fontId="11" fillId="0" borderId="12" xfId="0" applyNumberFormat="1" applyFont="1" applyBorder="1" applyAlignment="1">
      <alignment horizontal="right"/>
    </xf>
    <xf numFmtId="0" fontId="10" fillId="0" borderId="12" xfId="0" applyFont="1" applyBorder="1" applyAlignment="1">
      <alignment horizontal="center"/>
    </xf>
    <xf numFmtId="0" fontId="12" fillId="0" borderId="12" xfId="0" applyNumberFormat="1" applyFont="1" applyBorder="1"/>
    <xf numFmtId="5" fontId="11" fillId="0" borderId="12" xfId="0" applyNumberFormat="1" applyFont="1" applyBorder="1" applyAlignment="1">
      <alignment horizontal="right"/>
    </xf>
    <xf numFmtId="5" fontId="10" fillId="0" borderId="12" xfId="0" applyNumberFormat="1" applyFont="1" applyBorder="1" applyAlignment="1">
      <alignment horizontal="right"/>
    </xf>
    <xf numFmtId="9" fontId="10" fillId="0" borderId="12" xfId="0" applyNumberFormat="1" applyFont="1" applyBorder="1" applyAlignment="1">
      <alignment horizontal="right"/>
    </xf>
    <xf numFmtId="0" fontId="11" fillId="0" borderId="12" xfId="28" applyNumberFormat="1" applyFont="1" applyBorder="1" applyProtection="1">
      <protection locked="0"/>
    </xf>
    <xf numFmtId="9" fontId="11" fillId="0" borderId="12" xfId="0" applyNumberFormat="1" applyFont="1" applyBorder="1" applyAlignment="1">
      <alignment horizontal="right"/>
    </xf>
    <xf numFmtId="0" fontId="10" fillId="0" borderId="12" xfId="0" applyNumberFormat="1" applyFont="1" applyBorder="1"/>
    <xf numFmtId="43" fontId="11" fillId="0" borderId="12" xfId="28" applyFont="1" applyBorder="1" applyProtection="1">
      <protection locked="0"/>
    </xf>
    <xf numFmtId="164" fontId="11" fillId="0" borderId="12" xfId="0" applyNumberFormat="1" applyFont="1" applyFill="1" applyBorder="1" applyAlignment="1">
      <alignment horizontal="center"/>
    </xf>
    <xf numFmtId="3" fontId="10" fillId="0" borderId="12" xfId="0" applyNumberFormat="1" applyFont="1" applyBorder="1" applyAlignment="1" applyProtection="1"/>
    <xf numFmtId="0" fontId="0" fillId="0" borderId="43" xfId="0" applyBorder="1"/>
    <xf numFmtId="9" fontId="11" fillId="0" borderId="12" xfId="41" applyFont="1" applyBorder="1" applyAlignment="1">
      <alignment horizontal="right"/>
    </xf>
    <xf numFmtId="0" fontId="10" fillId="0" borderId="12" xfId="0" applyNumberFormat="1" applyFont="1" applyBorder="1" applyAlignment="1">
      <alignment horizontal="left"/>
    </xf>
    <xf numFmtId="164" fontId="15" fillId="0" borderId="12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1" fillId="0" borderId="12" xfId="0" applyFont="1" applyBorder="1"/>
    <xf numFmtId="3" fontId="11" fillId="0" borderId="12" xfId="0" applyNumberFormat="1" applyFont="1" applyBorder="1" applyAlignment="1" applyProtection="1"/>
    <xf numFmtId="0" fontId="0" fillId="0" borderId="12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79" fontId="11" fillId="0" borderId="41" xfId="0" applyNumberFormat="1" applyFont="1" applyBorder="1" applyAlignment="1">
      <alignment horizontal="right"/>
    </xf>
    <xf numFmtId="179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2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5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2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4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5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5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0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0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0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2" fontId="11" fillId="0" borderId="0" xfId="0" applyNumberFormat="1" applyFont="1" applyBorder="1" applyAlignment="1"/>
    <xf numFmtId="165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5" fontId="8" fillId="0" borderId="0" xfId="0" applyNumberFormat="1" applyFont="1" applyFill="1" applyBorder="1" applyAlignment="1"/>
    <xf numFmtId="165" fontId="11" fillId="0" borderId="0" xfId="0" applyNumberFormat="1" applyFont="1" applyBorder="1" applyAlignment="1"/>
    <xf numFmtId="5" fontId="11" fillId="0" borderId="0" xfId="0" applyNumberFormat="1" applyFont="1" applyBorder="1" applyAlignment="1"/>
    <xf numFmtId="165" fontId="8" fillId="0" borderId="0" xfId="0" applyNumberFormat="1" applyFont="1" applyBorder="1" applyAlignment="1"/>
    <xf numFmtId="178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4" fontId="6" fillId="0" borderId="21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164" fontId="6" fillId="0" borderId="22" xfId="0" applyNumberFormat="1" applyFont="1" applyBorder="1" applyAlignment="1">
      <alignment horizontal="center" wrapText="1"/>
    </xf>
    <xf numFmtId="164" fontId="6" fillId="0" borderId="6" xfId="0" applyNumberFormat="1" applyFont="1" applyBorder="1" applyAlignment="1">
      <alignment horizontal="left" wrapText="1"/>
    </xf>
    <xf numFmtId="164" fontId="6" fillId="0" borderId="6" xfId="0" applyNumberFormat="1" applyFont="1" applyBorder="1" applyAlignment="1">
      <alignment horizontal="center" wrapText="1"/>
    </xf>
    <xf numFmtId="164" fontId="6" fillId="0" borderId="5" xfId="0" applyNumberFormat="1" applyFont="1" applyBorder="1" applyAlignment="1">
      <alignment horizontal="center" wrapText="1"/>
    </xf>
    <xf numFmtId="9" fontId="6" fillId="0" borderId="23" xfId="41" applyFont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left" wrapText="1"/>
    </xf>
    <xf numFmtId="164" fontId="6" fillId="0" borderId="8" xfId="0" applyNumberFormat="1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164" fontId="6" fillId="0" borderId="12" xfId="0" applyNumberFormat="1" applyFont="1" applyBorder="1" applyAlignment="1">
      <alignment horizontal="center" wrapText="1"/>
    </xf>
    <xf numFmtId="43" fontId="6" fillId="0" borderId="27" xfId="28" applyFont="1" applyBorder="1" applyProtection="1">
      <protection locked="0"/>
    </xf>
    <xf numFmtId="164" fontId="6" fillId="0" borderId="8" xfId="0" applyNumberFormat="1" applyFont="1" applyBorder="1" applyAlignment="1">
      <alignment horizontal="right" wrapText="1"/>
    </xf>
    <xf numFmtId="164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4" fontId="16" fillId="0" borderId="12" xfId="0" applyNumberFormat="1" applyFont="1" applyBorder="1" applyAlignment="1">
      <alignment horizontal="center"/>
    </xf>
    <xf numFmtId="0" fontId="16" fillId="0" borderId="12" xfId="0" applyFont="1" applyBorder="1"/>
    <xf numFmtId="5" fontId="16" fillId="0" borderId="12" xfId="0" applyNumberFormat="1" applyFont="1" applyBorder="1" applyAlignment="1">
      <alignment horizontal="right"/>
    </xf>
    <xf numFmtId="9" fontId="16" fillId="0" borderId="12" xfId="41" applyNumberFormat="1" applyFont="1" applyBorder="1" applyAlignment="1">
      <alignment horizontal="right"/>
    </xf>
    <xf numFmtId="37" fontId="16" fillId="0" borderId="12" xfId="0" applyNumberFormat="1" applyFont="1" applyBorder="1" applyAlignment="1">
      <alignment horizontal="right"/>
    </xf>
    <xf numFmtId="0" fontId="6" fillId="0" borderId="0" xfId="0" applyFont="1" applyBorder="1"/>
    <xf numFmtId="164" fontId="6" fillId="0" borderId="12" xfId="0" applyNumberFormat="1" applyFont="1" applyFill="1" applyBorder="1" applyAlignment="1">
      <alignment horizontal="right"/>
    </xf>
    <xf numFmtId="164" fontId="6" fillId="0" borderId="12" xfId="0" applyNumberFormat="1" applyFont="1" applyFill="1" applyBorder="1" applyAlignment="1">
      <alignment horizontal="left" wrapText="1"/>
    </xf>
    <xf numFmtId="5" fontId="6" fillId="0" borderId="12" xfId="0" applyNumberFormat="1" applyFont="1" applyBorder="1" applyAlignment="1">
      <alignment horizontal="right"/>
    </xf>
    <xf numFmtId="9" fontId="6" fillId="0" borderId="12" xfId="41" applyNumberFormat="1" applyFont="1" applyBorder="1" applyAlignment="1">
      <alignment horizontal="right"/>
    </xf>
    <xf numFmtId="164" fontId="6" fillId="0" borderId="12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2" xfId="0" applyFont="1" applyBorder="1" applyAlignment="1">
      <alignment horizontal="center"/>
    </xf>
    <xf numFmtId="0" fontId="6" fillId="0" borderId="12" xfId="0" applyFont="1" applyBorder="1" applyAlignment="1">
      <alignment wrapText="1"/>
    </xf>
    <xf numFmtId="9" fontId="6" fillId="0" borderId="12" xfId="41" applyFont="1" applyBorder="1" applyAlignment="1">
      <alignment horizontal="right"/>
    </xf>
    <xf numFmtId="37" fontId="6" fillId="0" borderId="12" xfId="0" applyNumberFormat="1" applyFont="1" applyFill="1" applyBorder="1" applyAlignment="1">
      <alignment horizontal="right"/>
    </xf>
    <xf numFmtId="164" fontId="6" fillId="0" borderId="22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left"/>
    </xf>
    <xf numFmtId="164" fontId="6" fillId="33" borderId="8" xfId="0" applyNumberFormat="1" applyFont="1" applyFill="1" applyBorder="1" applyAlignment="1">
      <alignment horizontal="center"/>
    </xf>
    <xf numFmtId="164" fontId="6" fillId="33" borderId="10" xfId="0" applyNumberFormat="1" applyFont="1" applyFill="1" applyBorder="1" applyAlignment="1">
      <alignment horizontal="left"/>
    </xf>
    <xf numFmtId="164" fontId="6" fillId="33" borderId="9" xfId="0" applyNumberFormat="1" applyFont="1" applyFill="1" applyBorder="1" applyAlignment="1">
      <alignment horizontal="center" wrapText="1"/>
    </xf>
    <xf numFmtId="164" fontId="6" fillId="33" borderId="11" xfId="0" applyNumberFormat="1" applyFont="1" applyFill="1" applyBorder="1" applyAlignment="1">
      <alignment horizontal="center" wrapText="1"/>
    </xf>
    <xf numFmtId="9" fontId="6" fillId="33" borderId="10" xfId="41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12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4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6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5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4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5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0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0" fontId="10" fillId="0" borderId="41" xfId="0" applyNumberFormat="1" applyFont="1" applyFill="1" applyBorder="1" applyAlignment="1"/>
    <xf numFmtId="0" fontId="8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164" fontId="12" fillId="0" borderId="12" xfId="0" applyNumberFormat="1" applyFont="1" applyBorder="1" applyAlignment="1"/>
    <xf numFmtId="164" fontId="9" fillId="0" borderId="12" xfId="0" applyNumberFormat="1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164" fontId="11" fillId="0" borderId="12" xfId="0" applyNumberFormat="1" applyFont="1" applyBorder="1" applyAlignment="1">
      <alignment wrapText="1"/>
    </xf>
    <xf numFmtId="3" fontId="8" fillId="0" borderId="12" xfId="28" applyNumberFormat="1" applyFont="1" applyBorder="1" applyAlignment="1">
      <alignment horizontal="right"/>
    </xf>
    <xf numFmtId="1" fontId="8" fillId="0" borderId="12" xfId="0" applyNumberFormat="1" applyFont="1" applyBorder="1" applyAlignment="1">
      <alignment horizontal="right"/>
    </xf>
    <xf numFmtId="172" fontId="8" fillId="0" borderId="12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12" xfId="28" applyNumberFormat="1" applyFont="1" applyBorder="1" applyAlignment="1">
      <alignment horizontal="right"/>
    </xf>
    <xf numFmtId="172" fontId="10" fillId="0" borderId="12" xfId="41" applyNumberFormat="1" applyFont="1" applyBorder="1" applyAlignment="1">
      <alignment horizontal="right"/>
    </xf>
    <xf numFmtId="1" fontId="7" fillId="0" borderId="12" xfId="0" applyNumberFormat="1" applyFont="1" applyBorder="1" applyAlignment="1">
      <alignment horizontal="right"/>
    </xf>
    <xf numFmtId="37" fontId="10" fillId="0" borderId="12" xfId="28" applyNumberFormat="1" applyFont="1" applyBorder="1" applyAlignment="1">
      <alignment horizontal="right"/>
    </xf>
    <xf numFmtId="164" fontId="10" fillId="0" borderId="0" xfId="0" applyNumberFormat="1" applyFont="1" applyBorder="1" applyAlignment="1"/>
    <xf numFmtId="0" fontId="8" fillId="0" borderId="0" xfId="0" applyFont="1" applyBorder="1"/>
    <xf numFmtId="164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12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4" fontId="7" fillId="0" borderId="12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64" fontId="7" fillId="0" borderId="12" xfId="0" applyNumberFormat="1" applyFont="1" applyBorder="1" applyAlignment="1"/>
    <xf numFmtId="164" fontId="12" fillId="0" borderId="12" xfId="0" applyNumberFormat="1" applyFont="1" applyBorder="1" applyAlignment="1">
      <alignment horizontal="center"/>
    </xf>
    <xf numFmtId="9" fontId="8" fillId="0" borderId="12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12" xfId="28" applyNumberFormat="1" applyFont="1" applyBorder="1" applyAlignment="1">
      <alignment horizontal="right"/>
    </xf>
    <xf numFmtId="3" fontId="8" fillId="0" borderId="12" xfId="0" applyNumberFormat="1" applyFont="1" applyBorder="1" applyAlignment="1">
      <alignment horizontal="right"/>
    </xf>
    <xf numFmtId="3" fontId="10" fillId="0" borderId="12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12" xfId="0" applyNumberFormat="1" applyFont="1" applyBorder="1" applyAlignment="1">
      <alignment horizontal="right"/>
    </xf>
    <xf numFmtId="3" fontId="11" fillId="0" borderId="12" xfId="28" applyNumberFormat="1" applyFont="1" applyBorder="1" applyAlignment="1">
      <alignment horizontal="right"/>
    </xf>
    <xf numFmtId="164" fontId="8" fillId="0" borderId="12" xfId="0" applyNumberFormat="1" applyFont="1" applyBorder="1" applyAlignment="1"/>
    <xf numFmtId="166" fontId="8" fillId="0" borderId="12" xfId="0" applyNumberFormat="1" applyFont="1" applyBorder="1" applyAlignment="1">
      <alignment horizontal="right"/>
    </xf>
    <xf numFmtId="166" fontId="8" fillId="0" borderId="12" xfId="28" applyNumberFormat="1" applyFont="1" applyBorder="1" applyAlignment="1">
      <alignment horizontal="right"/>
    </xf>
    <xf numFmtId="166" fontId="10" fillId="0" borderId="12" xfId="28" applyNumberFormat="1" applyFont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4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7" fillId="0" borderId="13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67" fontId="17" fillId="0" borderId="0" xfId="0" applyNumberFormat="1" applyFont="1" applyFill="1" applyBorder="1" applyProtection="1">
      <protection locked="0"/>
    </xf>
    <xf numFmtId="168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0" fontId="17" fillId="0" borderId="0" xfId="0" applyNumberFormat="1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1" fontId="17" fillId="0" borderId="0" xfId="28" applyNumberFormat="1" applyFont="1" applyFill="1" applyBorder="1" applyProtection="1">
      <protection locked="0"/>
    </xf>
    <xf numFmtId="165" fontId="17" fillId="0" borderId="0" xfId="0" applyNumberFormat="1" applyFont="1" applyFill="1" applyBorder="1" applyProtection="1">
      <protection locked="0"/>
    </xf>
    <xf numFmtId="165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27" xfId="0" applyFont="1" applyFill="1" applyBorder="1" applyAlignment="1" applyProtection="1">
      <alignment horizontal="center"/>
      <protection locked="0"/>
    </xf>
    <xf numFmtId="172" fontId="17" fillId="0" borderId="0" xfId="41" applyNumberFormat="1" applyFont="1" applyFill="1" applyBorder="1" applyProtection="1">
      <protection locked="0"/>
    </xf>
    <xf numFmtId="172" fontId="18" fillId="0" borderId="0" xfId="41" applyNumberFormat="1" applyFont="1" applyFill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5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4" fontId="17" fillId="0" borderId="0" xfId="28" applyNumberFormat="1" applyFont="1" applyFill="1" applyBorder="1" applyProtection="1">
      <protection locked="0"/>
    </xf>
    <xf numFmtId="174" fontId="18" fillId="0" borderId="0" xfId="28" applyNumberFormat="1" applyFont="1" applyFill="1" applyBorder="1" applyProtection="1">
      <protection locked="0"/>
    </xf>
    <xf numFmtId="174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68" fontId="17" fillId="0" borderId="0" xfId="28" applyNumberFormat="1" applyFont="1" applyFill="1" applyBorder="1" applyProtection="1">
      <protection locked="0"/>
    </xf>
    <xf numFmtId="175" fontId="18" fillId="0" borderId="0" xfId="28" applyNumberFormat="1" applyFont="1" applyFill="1" applyBorder="1" applyProtection="1">
      <protection locked="0"/>
    </xf>
    <xf numFmtId="175" fontId="17" fillId="0" borderId="0" xfId="28" applyNumberFormat="1" applyFont="1" applyFill="1" applyBorder="1" applyAlignment="1" applyProtection="1">
      <alignment horizontal="right"/>
      <protection locked="0"/>
    </xf>
    <xf numFmtId="174" fontId="17" fillId="0" borderId="0" xfId="41" applyNumberFormat="1" applyFont="1" applyFill="1" applyBorder="1" applyAlignment="1" applyProtection="1">
      <alignment horizontal="right"/>
      <protection locked="0"/>
    </xf>
    <xf numFmtId="174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76" fontId="17" fillId="0" borderId="0" xfId="28" applyNumberFormat="1" applyFont="1" applyFill="1" applyBorder="1" applyAlignment="1" applyProtection="1">
      <alignment horizontal="right"/>
      <protection locked="0"/>
    </xf>
    <xf numFmtId="177" fontId="18" fillId="0" borderId="0" xfId="28" applyNumberFormat="1" applyFont="1" applyFill="1" applyBorder="1" applyAlignment="1" applyProtection="1">
      <alignment horizontal="right"/>
      <protection locked="0"/>
    </xf>
    <xf numFmtId="177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4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9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5" fontId="17" fillId="0" borderId="0" xfId="0" applyNumberFormat="1" applyFont="1" applyFill="1" applyBorder="1" applyAlignment="1" applyProtection="1">
      <alignment horizontal="left"/>
      <protection locked="0"/>
    </xf>
    <xf numFmtId="164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3" fontId="17" fillId="0" borderId="0" xfId="28" applyNumberFormat="1" applyFont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left"/>
      <protection locked="0"/>
    </xf>
    <xf numFmtId="164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4" fontId="19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12" xfId="0" applyFont="1" applyBorder="1" applyAlignment="1"/>
    <xf numFmtId="0" fontId="15" fillId="0" borderId="12" xfId="0" applyFont="1" applyBorder="1" applyAlignment="1">
      <alignment horizontal="center" vertical="top"/>
    </xf>
    <xf numFmtId="0" fontId="12" fillId="0" borderId="12" xfId="0" applyFont="1" applyBorder="1" applyAlignment="1"/>
    <xf numFmtId="0" fontId="17" fillId="0" borderId="12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12" xfId="0" applyFont="1" applyBorder="1" applyAlignment="1">
      <alignment horizontal="center"/>
    </xf>
    <xf numFmtId="0" fontId="13" fillId="0" borderId="12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12" xfId="0" applyFont="1" applyBorder="1" applyAlignment="1">
      <alignment horizontal="center" vertical="top"/>
    </xf>
    <xf numFmtId="0" fontId="20" fillId="0" borderId="12" xfId="0" applyFont="1" applyBorder="1" applyAlignment="1">
      <alignment vertical="top"/>
    </xf>
    <xf numFmtId="0" fontId="13" fillId="0" borderId="12" xfId="0" applyFont="1" applyBorder="1" applyProtection="1">
      <protection locked="0"/>
    </xf>
    <xf numFmtId="0" fontId="13" fillId="0" borderId="12" xfId="0" applyFont="1" applyBorder="1" applyAlignment="1">
      <alignment vertical="top" wrapText="1"/>
    </xf>
    <xf numFmtId="0" fontId="13" fillId="0" borderId="12" xfId="0" applyFont="1" applyBorder="1" applyAlignment="1">
      <alignment horizontal="center" vertical="top"/>
    </xf>
    <xf numFmtId="6" fontId="13" fillId="0" borderId="12" xfId="0" applyNumberFormat="1" applyFont="1" applyBorder="1" applyAlignment="1">
      <alignment horizontal="right" vertical="top"/>
    </xf>
    <xf numFmtId="6" fontId="13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horizontal="right" vertical="top"/>
    </xf>
    <xf numFmtId="0" fontId="19" fillId="0" borderId="12" xfId="0" applyFont="1" applyBorder="1" applyAlignment="1">
      <alignment vertical="top" wrapText="1"/>
    </xf>
    <xf numFmtId="6" fontId="19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vertical="top"/>
    </xf>
    <xf numFmtId="0" fontId="17" fillId="0" borderId="12" xfId="0" applyFont="1" applyBorder="1" applyAlignment="1" applyProtection="1">
      <alignment horizontal="left"/>
      <protection locked="0"/>
    </xf>
    <xf numFmtId="0" fontId="17" fillId="0" borderId="12" xfId="0" applyFont="1" applyBorder="1" applyProtection="1">
      <protection locked="0"/>
    </xf>
    <xf numFmtId="0" fontId="20" fillId="0" borderId="12" xfId="0" applyFont="1" applyBorder="1" applyProtection="1">
      <protection locked="0"/>
    </xf>
    <xf numFmtId="0" fontId="20" fillId="0" borderId="12" xfId="0" applyFont="1" applyBorder="1" applyAlignment="1"/>
    <xf numFmtId="10" fontId="13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>
      <alignment vertical="top"/>
    </xf>
    <xf numFmtId="10" fontId="19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 applyProtection="1">
      <alignment horizontal="center"/>
      <protection locked="0"/>
    </xf>
    <xf numFmtId="0" fontId="19" fillId="0" borderId="12" xfId="0" applyFont="1" applyBorder="1" applyProtection="1">
      <protection locked="0"/>
    </xf>
    <xf numFmtId="172" fontId="13" fillId="0" borderId="12" xfId="41" applyNumberFormat="1" applyFont="1" applyBorder="1" applyAlignment="1">
      <alignment vertical="top"/>
    </xf>
    <xf numFmtId="0" fontId="15" fillId="0" borderId="12" xfId="0" applyFont="1" applyBorder="1" applyAlignment="1" applyProtection="1">
      <alignment horizontal="center"/>
      <protection locked="0"/>
    </xf>
    <xf numFmtId="3" fontId="13" fillId="0" borderId="12" xfId="0" applyNumberFormat="1" applyFont="1" applyBorder="1" applyAlignment="1">
      <alignment horizontal="right" vertical="top"/>
    </xf>
    <xf numFmtId="174" fontId="13" fillId="0" borderId="12" xfId="28" applyNumberFormat="1" applyFont="1" applyBorder="1" applyAlignment="1">
      <alignment vertical="top"/>
    </xf>
    <xf numFmtId="3" fontId="19" fillId="0" borderId="12" xfId="0" applyNumberFormat="1" applyFont="1" applyBorder="1" applyAlignment="1">
      <alignment vertical="top"/>
    </xf>
    <xf numFmtId="174" fontId="19" fillId="0" borderId="12" xfId="28" applyNumberFormat="1" applyFont="1" applyBorder="1" applyAlignment="1">
      <alignment vertical="top"/>
    </xf>
    <xf numFmtId="3" fontId="13" fillId="0" borderId="12" xfId="0" applyNumberFormat="1" applyFont="1" applyBorder="1" applyAlignment="1">
      <alignment vertical="top"/>
    </xf>
    <xf numFmtId="3" fontId="13" fillId="0" borderId="12" xfId="0" applyNumberFormat="1" applyFont="1" applyFill="1" applyBorder="1" applyAlignment="1">
      <alignment vertical="top"/>
    </xf>
    <xf numFmtId="166" fontId="13" fillId="0" borderId="12" xfId="0" applyNumberFormat="1" applyFont="1" applyBorder="1" applyAlignment="1">
      <alignment vertical="top"/>
    </xf>
    <xf numFmtId="171" fontId="13" fillId="0" borderId="12" xfId="28" applyNumberFormat="1" applyFont="1" applyBorder="1" applyAlignment="1">
      <alignment vertical="top"/>
    </xf>
    <xf numFmtId="166" fontId="19" fillId="0" borderId="12" xfId="0" applyNumberFormat="1" applyFont="1" applyBorder="1" applyAlignment="1">
      <alignment vertical="top"/>
    </xf>
    <xf numFmtId="171" fontId="19" fillId="0" borderId="12" xfId="28" applyNumberFormat="1" applyFont="1" applyBorder="1" applyAlignment="1">
      <alignment vertical="top"/>
    </xf>
    <xf numFmtId="171" fontId="13" fillId="0" borderId="12" xfId="0" applyNumberFormat="1" applyFont="1" applyBorder="1" applyAlignment="1">
      <alignment vertical="top"/>
    </xf>
    <xf numFmtId="181" fontId="13" fillId="0" borderId="12" xfId="0" applyNumberFormat="1" applyFont="1" applyBorder="1" applyAlignment="1">
      <alignment horizontal="right" vertical="top"/>
    </xf>
    <xf numFmtId="168" fontId="13" fillId="0" borderId="12" xfId="28" applyNumberFormat="1" applyFont="1" applyBorder="1" applyAlignment="1">
      <alignment vertical="top"/>
    </xf>
    <xf numFmtId="181" fontId="19" fillId="0" borderId="12" xfId="0" applyNumberFormat="1" applyFont="1" applyBorder="1" applyAlignment="1">
      <alignment horizontal="right" vertical="top"/>
    </xf>
    <xf numFmtId="168" fontId="19" fillId="0" borderId="12" xfId="28" applyNumberFormat="1" applyFont="1" applyBorder="1" applyAlignment="1">
      <alignment vertical="top"/>
    </xf>
    <xf numFmtId="0" fontId="13" fillId="0" borderId="12" xfId="0" applyFont="1" applyBorder="1" applyAlignment="1">
      <alignment horizontal="right" vertical="top"/>
    </xf>
    <xf numFmtId="6" fontId="13" fillId="0" borderId="12" xfId="0" applyNumberFormat="1" applyFont="1" applyBorder="1" applyProtection="1">
      <protection locked="0"/>
    </xf>
    <xf numFmtId="10" fontId="13" fillId="0" borderId="12" xfId="41" applyNumberFormat="1" applyFont="1" applyBorder="1" applyProtection="1">
      <protection locked="0"/>
    </xf>
    <xf numFmtId="0" fontId="29" fillId="0" borderId="12" xfId="0" applyFont="1" applyFill="1" applyBorder="1" applyAlignment="1">
      <alignment vertical="top" wrapText="1"/>
    </xf>
    <xf numFmtId="6" fontId="13" fillId="0" borderId="12" xfId="0" applyNumberFormat="1" applyFont="1" applyFill="1" applyBorder="1" applyProtection="1">
      <protection locked="0"/>
    </xf>
    <xf numFmtId="0" fontId="12" fillId="0" borderId="12" xfId="0" applyFont="1" applyBorder="1" applyAlignment="1">
      <alignment vertical="top"/>
    </xf>
    <xf numFmtId="0" fontId="13" fillId="0" borderId="12" xfId="0" applyFont="1" applyBorder="1" applyAlignment="1" applyProtection="1">
      <alignment horizontal="left"/>
      <protection locked="0"/>
    </xf>
    <xf numFmtId="0" fontId="19" fillId="0" borderId="12" xfId="0" applyFont="1" applyBorder="1" applyAlignment="1" applyProtection="1">
      <alignment horizontal="left"/>
      <protection locked="0"/>
    </xf>
    <xf numFmtId="170" fontId="13" fillId="0" borderId="12" xfId="28" applyNumberFormat="1" applyFont="1" applyBorder="1" applyProtection="1">
      <protection locked="0"/>
    </xf>
    <xf numFmtId="170" fontId="13" fillId="0" borderId="12" xfId="0" applyNumberFormat="1" applyFont="1" applyBorder="1" applyProtection="1">
      <protection locked="0"/>
    </xf>
    <xf numFmtId="170" fontId="19" fillId="0" borderId="12" xfId="28" applyNumberFormat="1" applyFont="1" applyBorder="1" applyProtection="1">
      <protection locked="0"/>
    </xf>
    <xf numFmtId="170" fontId="19" fillId="0" borderId="12" xfId="0" applyNumberFormat="1" applyFont="1" applyBorder="1" applyProtection="1">
      <protection locked="0"/>
    </xf>
    <xf numFmtId="182" fontId="13" fillId="0" borderId="12" xfId="0" applyNumberFormat="1" applyFont="1" applyBorder="1" applyProtection="1">
      <protection locked="0"/>
    </xf>
    <xf numFmtId="182" fontId="19" fillId="0" borderId="12" xfId="0" applyNumberFormat="1" applyFont="1" applyBorder="1" applyProtection="1">
      <protection locked="0"/>
    </xf>
    <xf numFmtId="183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Protection="1">
      <protection locked="0"/>
    </xf>
    <xf numFmtId="8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Alignment="1" applyProtection="1">
      <alignment horizontal="right"/>
      <protection locked="0"/>
    </xf>
    <xf numFmtId="8" fontId="19" fillId="0" borderId="12" xfId="0" applyNumberFormat="1" applyFont="1" applyBorder="1" applyAlignment="1" applyProtection="1">
      <alignment horizontal="right"/>
      <protection locked="0"/>
    </xf>
    <xf numFmtId="6" fontId="19" fillId="0" borderId="12" xfId="0" applyNumberFormat="1" applyFont="1" applyBorder="1" applyProtection="1">
      <protection locked="0"/>
    </xf>
    <xf numFmtId="6" fontId="31" fillId="0" borderId="12" xfId="0" applyNumberFormat="1" applyFont="1" applyBorder="1" applyProtection="1">
      <protection locked="0"/>
    </xf>
    <xf numFmtId="184" fontId="13" fillId="0" borderId="12" xfId="28" applyNumberFormat="1" applyFont="1" applyBorder="1" applyProtection="1">
      <protection locked="0"/>
    </xf>
    <xf numFmtId="185" fontId="13" fillId="0" borderId="12" xfId="0" applyNumberFormat="1" applyFont="1" applyBorder="1" applyProtection="1">
      <protection locked="0"/>
    </xf>
    <xf numFmtId="6" fontId="13" fillId="0" borderId="20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12" xfId="0" applyFont="1" applyFill="1" applyBorder="1" applyAlignment="1">
      <alignment horizontal="center" vertical="top"/>
    </xf>
    <xf numFmtId="0" fontId="13" fillId="0" borderId="12" xfId="0" applyFont="1" applyFill="1" applyBorder="1" applyAlignment="1">
      <alignment vertical="top"/>
    </xf>
    <xf numFmtId="6" fontId="31" fillId="0" borderId="12" xfId="0" applyNumberFormat="1" applyFont="1" applyFill="1" applyBorder="1" applyProtection="1">
      <protection locked="0"/>
    </xf>
    <xf numFmtId="0" fontId="10" fillId="0" borderId="12" xfId="0" applyFont="1" applyBorder="1" applyAlignment="1">
      <alignment vertical="top"/>
    </xf>
    <xf numFmtId="10" fontId="13" fillId="0" borderId="12" xfId="0" applyNumberFormat="1" applyFont="1" applyBorder="1" applyProtection="1">
      <protection locked="0"/>
    </xf>
    <xf numFmtId="10" fontId="19" fillId="0" borderId="12" xfId="41" applyNumberFormat="1" applyFont="1" applyBorder="1" applyProtection="1">
      <protection locked="0"/>
    </xf>
    <xf numFmtId="10" fontId="19" fillId="0" borderId="12" xfId="0" applyNumberFormat="1" applyFont="1" applyBorder="1" applyProtection="1">
      <protection locked="0"/>
    </xf>
    <xf numFmtId="0" fontId="10" fillId="0" borderId="12" xfId="0" applyFont="1" applyBorder="1" applyAlignment="1"/>
    <xf numFmtId="6" fontId="13" fillId="0" borderId="12" xfId="0" applyNumberFormat="1" applyFont="1" applyFill="1" applyBorder="1" applyAlignment="1">
      <alignment horizontal="right" vertical="top"/>
    </xf>
    <xf numFmtId="6" fontId="13" fillId="0" borderId="12" xfId="0" applyNumberFormat="1" applyFont="1" applyFill="1" applyBorder="1" applyAlignment="1">
      <alignment vertical="top"/>
    </xf>
    <xf numFmtId="6" fontId="19" fillId="0" borderId="12" xfId="0" applyNumberFormat="1" applyFont="1" applyFill="1" applyBorder="1" applyAlignment="1">
      <alignment vertical="top"/>
    </xf>
    <xf numFmtId="6" fontId="19" fillId="0" borderId="12" xfId="0" applyNumberFormat="1" applyFont="1" applyBorder="1" applyAlignment="1">
      <alignment horizontal="right" vertical="top"/>
    </xf>
    <xf numFmtId="6" fontId="19" fillId="0" borderId="12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4" fontId="10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12" xfId="0" applyNumberFormat="1" applyFont="1" applyBorder="1" applyAlignment="1">
      <alignment horizontal="right" vertical="top"/>
    </xf>
    <xf numFmtId="10" fontId="13" fillId="0" borderId="12" xfId="0" applyNumberFormat="1" applyFont="1" applyBorder="1" applyAlignment="1">
      <alignment horizontal="right" vertical="top"/>
    </xf>
    <xf numFmtId="186" fontId="13" fillId="0" borderId="12" xfId="0" applyNumberFormat="1" applyFont="1" applyBorder="1" applyProtection="1">
      <protection locked="0"/>
    </xf>
    <xf numFmtId="6" fontId="13" fillId="0" borderId="27" xfId="0" applyNumberFormat="1" applyFont="1" applyBorder="1" applyAlignment="1">
      <alignment horizontal="right" vertical="top"/>
    </xf>
    <xf numFmtId="6" fontId="13" fillId="0" borderId="27" xfId="0" applyNumberFormat="1" applyFont="1" applyBorder="1" applyAlignment="1">
      <alignment vertical="top"/>
    </xf>
    <xf numFmtId="6" fontId="19" fillId="0" borderId="2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4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2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87" fontId="34" fillId="0" borderId="0" xfId="0" applyNumberFormat="1" applyFont="1" applyBorder="1" applyAlignment="1">
      <alignment horizontal="right" wrapText="1"/>
    </xf>
    <xf numFmtId="168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5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5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88" fontId="33" fillId="0" borderId="0" xfId="0" applyNumberFormat="1" applyFont="1" applyBorder="1" applyAlignment="1">
      <alignment horizontal="right" wrapText="1"/>
    </xf>
    <xf numFmtId="188" fontId="34" fillId="0" borderId="0" xfId="0" applyNumberFormat="1" applyFont="1" applyBorder="1" applyAlignment="1">
      <alignment horizontal="right" wrapText="1"/>
    </xf>
    <xf numFmtId="165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center"/>
    </xf>
    <xf numFmtId="164" fontId="1" fillId="33" borderId="9" xfId="0" applyNumberFormat="1" applyFont="1" applyFill="1" applyBorder="1" applyAlignment="1"/>
    <xf numFmtId="164" fontId="1" fillId="33" borderId="11" xfId="0" applyNumberFormat="1" applyFont="1" applyFill="1" applyBorder="1" applyAlignment="1"/>
    <xf numFmtId="164" fontId="1" fillId="33" borderId="10" xfId="0" applyNumberFormat="1" applyFont="1" applyFill="1" applyBorder="1" applyAlignment="1"/>
    <xf numFmtId="164" fontId="1" fillId="0" borderId="13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left"/>
    </xf>
    <xf numFmtId="164" fontId="2" fillId="0" borderId="8" xfId="0" applyNumberFormat="1" applyFont="1" applyBorder="1" applyAlignment="1">
      <alignment horizontal="left"/>
    </xf>
    <xf numFmtId="5" fontId="3" fillId="0" borderId="14" xfId="0" applyNumberFormat="1" applyFont="1" applyBorder="1" applyAlignment="1">
      <alignment horizontal="center"/>
    </xf>
    <xf numFmtId="5" fontId="3" fillId="0" borderId="15" xfId="0" applyNumberFormat="1" applyFont="1" applyBorder="1" applyAlignment="1">
      <alignment horizontal="center"/>
    </xf>
    <xf numFmtId="5" fontId="3" fillId="0" borderId="16" xfId="0" applyNumberFormat="1" applyFont="1" applyBorder="1" applyAlignment="1">
      <alignment horizontal="center"/>
    </xf>
    <xf numFmtId="5" fontId="3" fillId="0" borderId="9" xfId="0" applyNumberFormat="1" applyFont="1" applyBorder="1" applyAlignment="1">
      <alignment horizontal="center"/>
    </xf>
    <xf numFmtId="5" fontId="3" fillId="0" borderId="11" xfId="0" applyNumberFormat="1" applyFont="1" applyBorder="1" applyAlignment="1">
      <alignment horizontal="center"/>
    </xf>
    <xf numFmtId="5" fontId="3" fillId="0" borderId="10" xfId="0" applyNumberFormat="1" applyFont="1" applyBorder="1" applyAlignment="1">
      <alignment horizontal="center"/>
    </xf>
    <xf numFmtId="0" fontId="5" fillId="0" borderId="20" xfId="0" applyFont="1" applyBorder="1" applyAlignment="1"/>
    <xf numFmtId="0" fontId="5" fillId="0" borderId="8" xfId="0" applyFont="1" applyBorder="1" applyAlignment="1"/>
    <xf numFmtId="164" fontId="6" fillId="0" borderId="27" xfId="0" applyNumberFormat="1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wrapText="1"/>
    </xf>
    <xf numFmtId="164" fontId="6" fillId="0" borderId="28" xfId="0" applyNumberFormat="1" applyFont="1" applyBorder="1" applyAlignment="1">
      <alignment horizontal="center" wrapText="1"/>
    </xf>
    <xf numFmtId="164" fontId="6" fillId="0" borderId="9" xfId="0" applyNumberFormat="1" applyFont="1" applyBorder="1" applyAlignment="1">
      <alignment horizontal="center" wrapText="1"/>
    </xf>
    <xf numFmtId="164" fontId="6" fillId="0" borderId="11" xfId="0" applyNumberFormat="1" applyFont="1" applyBorder="1" applyAlignment="1">
      <alignment horizontal="center" wrapText="1"/>
    </xf>
    <xf numFmtId="164" fontId="6" fillId="0" borderId="10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4" fontId="6" fillId="0" borderId="14" xfId="0" applyNumberFormat="1" applyFont="1" applyBorder="1" applyAlignment="1">
      <alignment horizontal="center" wrapText="1"/>
    </xf>
    <xf numFmtId="164" fontId="6" fillId="0" borderId="15" xfId="0" applyNumberFormat="1" applyFont="1" applyBorder="1" applyAlignment="1">
      <alignment horizontal="center" wrapText="1"/>
    </xf>
    <xf numFmtId="164" fontId="6" fillId="0" borderId="16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6" fillId="33" borderId="24" xfId="0" applyNumberFormat="1" applyFont="1" applyFill="1" applyBorder="1" applyAlignment="1">
      <alignment horizontal="center" wrapText="1"/>
    </xf>
    <xf numFmtId="164" fontId="6" fillId="33" borderId="26" xfId="0" applyNumberFormat="1" applyFont="1" applyFill="1" applyBorder="1" applyAlignment="1">
      <alignment horizontal="center" wrapText="1"/>
    </xf>
    <xf numFmtId="164" fontId="6" fillId="33" borderId="25" xfId="0" applyNumberFormat="1" applyFont="1" applyFill="1" applyBorder="1" applyAlignment="1">
      <alignment horizontal="center" wrapText="1"/>
    </xf>
    <xf numFmtId="0" fontId="4" fillId="0" borderId="20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10" fillId="0" borderId="29" xfId="0" applyNumberFormat="1" applyFont="1" applyBorder="1" applyAlignment="1"/>
    <xf numFmtId="164" fontId="10" fillId="0" borderId="31" xfId="0" applyNumberFormat="1" applyFont="1" applyBorder="1" applyAlignment="1"/>
    <xf numFmtId="164" fontId="10" fillId="0" borderId="30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5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9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5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SheetLayoutView="75" workbookViewId="0"/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23292786</v>
      </c>
      <c r="D13" s="23">
        <v>17170654</v>
      </c>
      <c r="E13" s="23">
        <f t="shared" ref="E13:E22" si="0">D13-C13</f>
        <v>-6122132</v>
      </c>
      <c r="F13" s="24">
        <f t="shared" ref="F13:F22" si="1">IF(C13=0,0,E13/C13)</f>
        <v>-0.26283382331336408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27.75" customHeight="1" x14ac:dyDescent="0.2">
      <c r="A15" s="21">
        <v>3</v>
      </c>
      <c r="B15" s="22" t="s">
        <v>18</v>
      </c>
      <c r="C15" s="23">
        <v>36543623</v>
      </c>
      <c r="D15" s="23">
        <v>48945018</v>
      </c>
      <c r="E15" s="23">
        <f t="shared" si="0"/>
        <v>12401395</v>
      </c>
      <c r="F15" s="24">
        <f t="shared" si="1"/>
        <v>0.33935866183820906</v>
      </c>
    </row>
    <row r="16" spans="1:8" ht="24" customHeight="1" x14ac:dyDescent="0.2">
      <c r="A16" s="21">
        <v>4</v>
      </c>
      <c r="B16" s="22" t="s">
        <v>19</v>
      </c>
      <c r="C16" s="23">
        <v>16427</v>
      </c>
      <c r="D16" s="23">
        <v>0</v>
      </c>
      <c r="E16" s="23">
        <f t="shared" si="0"/>
        <v>-16427</v>
      </c>
      <c r="F16" s="24">
        <f t="shared" si="1"/>
        <v>-1</v>
      </c>
    </row>
    <row r="17" spans="1:11" ht="24" customHeight="1" x14ac:dyDescent="0.2">
      <c r="A17" s="21">
        <v>5</v>
      </c>
      <c r="B17" s="22" t="s">
        <v>20</v>
      </c>
      <c r="C17" s="23">
        <v>19913</v>
      </c>
      <c r="D17" s="23">
        <v>73947</v>
      </c>
      <c r="E17" s="23">
        <f t="shared" si="0"/>
        <v>54034</v>
      </c>
      <c r="F17" s="24">
        <f t="shared" si="1"/>
        <v>2.7135037412745442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4849198</v>
      </c>
      <c r="D19" s="23">
        <v>5586310</v>
      </c>
      <c r="E19" s="23">
        <f t="shared" si="0"/>
        <v>737112</v>
      </c>
      <c r="F19" s="24">
        <f t="shared" si="1"/>
        <v>0.1520069916716125</v>
      </c>
    </row>
    <row r="20" spans="1:11" ht="24" customHeight="1" x14ac:dyDescent="0.2">
      <c r="A20" s="21">
        <v>8</v>
      </c>
      <c r="B20" s="22" t="s">
        <v>23</v>
      </c>
      <c r="C20" s="23">
        <v>3335302</v>
      </c>
      <c r="D20" s="23">
        <v>4287847</v>
      </c>
      <c r="E20" s="23">
        <f t="shared" si="0"/>
        <v>952545</v>
      </c>
      <c r="F20" s="24">
        <f t="shared" si="1"/>
        <v>0.28559482769476346</v>
      </c>
    </row>
    <row r="21" spans="1:11" ht="24" customHeight="1" x14ac:dyDescent="0.2">
      <c r="A21" s="21">
        <v>9</v>
      </c>
      <c r="B21" s="22" t="s">
        <v>24</v>
      </c>
      <c r="C21" s="23">
        <v>1099043</v>
      </c>
      <c r="D21" s="23">
        <v>1564794</v>
      </c>
      <c r="E21" s="23">
        <f t="shared" si="0"/>
        <v>465751</v>
      </c>
      <c r="F21" s="24">
        <f t="shared" si="1"/>
        <v>0.42377868745808855</v>
      </c>
    </row>
    <row r="22" spans="1:11" ht="24" customHeight="1" x14ac:dyDescent="0.25">
      <c r="A22" s="25"/>
      <c r="B22" s="26" t="s">
        <v>25</v>
      </c>
      <c r="C22" s="27">
        <f>SUM(C13:C21)</f>
        <v>69156292</v>
      </c>
      <c r="D22" s="27">
        <f>SUM(D13:D21)</f>
        <v>77628570</v>
      </c>
      <c r="E22" s="27">
        <f t="shared" si="0"/>
        <v>8472278</v>
      </c>
      <c r="F22" s="28">
        <f t="shared" si="1"/>
        <v>0.12250914204596162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14035818</v>
      </c>
      <c r="D25" s="23">
        <v>13488594</v>
      </c>
      <c r="E25" s="23">
        <f>D25-C25</f>
        <v>-547224</v>
      </c>
      <c r="F25" s="24">
        <f>IF(C25=0,0,E25/C25)</f>
        <v>-3.8987681373468933E-2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24" customHeight="1" x14ac:dyDescent="0.2">
      <c r="A28" s="21">
        <v>4</v>
      </c>
      <c r="B28" s="22" t="s">
        <v>31</v>
      </c>
      <c r="C28" s="23">
        <v>0</v>
      </c>
      <c r="D28" s="23">
        <v>0</v>
      </c>
      <c r="E28" s="23">
        <f>D28-C28</f>
        <v>0</v>
      </c>
      <c r="F28" s="24">
        <f>IF(C28=0,0,E28/C28)</f>
        <v>0</v>
      </c>
    </row>
    <row r="29" spans="1:11" ht="24" customHeight="1" x14ac:dyDescent="0.25">
      <c r="A29" s="25"/>
      <c r="B29" s="26" t="s">
        <v>32</v>
      </c>
      <c r="C29" s="27">
        <f>SUM(C25:C28)</f>
        <v>14035818</v>
      </c>
      <c r="D29" s="27">
        <f>SUM(D25:D28)</f>
        <v>13488594</v>
      </c>
      <c r="E29" s="27">
        <f>D29-C29</f>
        <v>-547224</v>
      </c>
      <c r="F29" s="28">
        <f>IF(C29=0,0,E29/C29)</f>
        <v>-3.8987681373468933E-2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114413657</v>
      </c>
      <c r="D32" s="23">
        <v>113003036</v>
      </c>
      <c r="E32" s="23">
        <f>D32-C32</f>
        <v>-1410621</v>
      </c>
      <c r="F32" s="24">
        <f>IF(C32=0,0,E32/C32)</f>
        <v>-1.2329131302917797E-2</v>
      </c>
    </row>
    <row r="33" spans="1:8" ht="24" customHeight="1" x14ac:dyDescent="0.2">
      <c r="A33" s="21">
        <v>7</v>
      </c>
      <c r="B33" s="22" t="s">
        <v>35</v>
      </c>
      <c r="C33" s="23">
        <v>13559363</v>
      </c>
      <c r="D33" s="23">
        <v>16729867</v>
      </c>
      <c r="E33" s="23">
        <f>D33-C33</f>
        <v>3170504</v>
      </c>
      <c r="F33" s="24">
        <f>IF(C33=0,0,E33/C33)</f>
        <v>0.23382396355935009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368321929</v>
      </c>
      <c r="D36" s="23">
        <v>411952507</v>
      </c>
      <c r="E36" s="23">
        <f>D36-C36</f>
        <v>43630578</v>
      </c>
      <c r="F36" s="24">
        <f>IF(C36=0,0,E36/C36)</f>
        <v>0.11845772560558022</v>
      </c>
    </row>
    <row r="37" spans="1:8" ht="24" customHeight="1" x14ac:dyDescent="0.2">
      <c r="A37" s="21">
        <v>2</v>
      </c>
      <c r="B37" s="22" t="s">
        <v>39</v>
      </c>
      <c r="C37" s="23">
        <v>246081335</v>
      </c>
      <c r="D37" s="23">
        <v>260274904</v>
      </c>
      <c r="E37" s="23">
        <f>D37-C37</f>
        <v>14193569</v>
      </c>
      <c r="F37" s="24">
        <f>IF(C37=0,0,E37/C37)</f>
        <v>5.7678364756920716E-2</v>
      </c>
    </row>
    <row r="38" spans="1:8" ht="24" customHeight="1" x14ac:dyDescent="0.25">
      <c r="A38" s="25"/>
      <c r="B38" s="26" t="s">
        <v>40</v>
      </c>
      <c r="C38" s="27">
        <f>C36-C37</f>
        <v>122240594</v>
      </c>
      <c r="D38" s="27">
        <f>D36-D37</f>
        <v>151677603</v>
      </c>
      <c r="E38" s="27">
        <f>D38-C38</f>
        <v>29437009</v>
      </c>
      <c r="F38" s="28">
        <f>IF(C38=0,0,E38/C38)</f>
        <v>0.24081205789952231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3186504</v>
      </c>
      <c r="D40" s="23">
        <v>1087467</v>
      </c>
      <c r="E40" s="23">
        <f>D40-C40</f>
        <v>-2099037</v>
      </c>
      <c r="F40" s="24">
        <f>IF(C40=0,0,E40/C40)</f>
        <v>-0.65872724465432964</v>
      </c>
    </row>
    <row r="41" spans="1:8" ht="24" customHeight="1" x14ac:dyDescent="0.25">
      <c r="A41" s="25"/>
      <c r="B41" s="26" t="s">
        <v>42</v>
      </c>
      <c r="C41" s="27">
        <f>+C38+C40</f>
        <v>125427098</v>
      </c>
      <c r="D41" s="27">
        <f>+D38+D40</f>
        <v>152765070</v>
      </c>
      <c r="E41" s="27">
        <f>D41-C41</f>
        <v>27337972</v>
      </c>
      <c r="F41" s="28">
        <f>IF(C41=0,0,E41/C41)</f>
        <v>0.21795905698145068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336592228</v>
      </c>
      <c r="D43" s="27">
        <f>D22+D29+D31+D32+D33+D41</f>
        <v>373615137</v>
      </c>
      <c r="E43" s="27">
        <f>D43-C43</f>
        <v>37022909</v>
      </c>
      <c r="F43" s="28">
        <f>IF(C43=0,0,E43/C43)</f>
        <v>0.10999335670935337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25218831</v>
      </c>
      <c r="D49" s="23">
        <v>23363595</v>
      </c>
      <c r="E49" s="23">
        <f t="shared" ref="E49:E56" si="2">D49-C49</f>
        <v>-1855236</v>
      </c>
      <c r="F49" s="24">
        <f t="shared" ref="F49:F56" si="3">IF(C49=0,0,E49/C49)</f>
        <v>-7.3565503492211831E-2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11779341</v>
      </c>
      <c r="D50" s="23">
        <v>12301012</v>
      </c>
      <c r="E50" s="23">
        <f t="shared" si="2"/>
        <v>521671</v>
      </c>
      <c r="F50" s="24">
        <f t="shared" si="3"/>
        <v>4.4286942707575917E-2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19449485</v>
      </c>
      <c r="D51" s="23">
        <v>23838552</v>
      </c>
      <c r="E51" s="23">
        <f t="shared" si="2"/>
        <v>4389067</v>
      </c>
      <c r="F51" s="24">
        <f t="shared" si="3"/>
        <v>0.2256649469124761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40867</v>
      </c>
      <c r="D52" s="23">
        <v>374021</v>
      </c>
      <c r="E52" s="23">
        <f t="shared" si="2"/>
        <v>333154</v>
      </c>
      <c r="F52" s="24">
        <f t="shared" si="3"/>
        <v>8.1521521031639228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3889577</v>
      </c>
      <c r="D53" s="23">
        <v>2724400</v>
      </c>
      <c r="E53" s="23">
        <f t="shared" si="2"/>
        <v>-1165177</v>
      </c>
      <c r="F53" s="24">
        <f t="shared" si="3"/>
        <v>-0.29956393715820512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15934273</v>
      </c>
      <c r="D55" s="23">
        <v>15152018</v>
      </c>
      <c r="E55" s="23">
        <f t="shared" si="2"/>
        <v>-782255</v>
      </c>
      <c r="F55" s="24">
        <f t="shared" si="3"/>
        <v>-4.909260686069581E-2</v>
      </c>
    </row>
    <row r="56" spans="1:6" ht="24" customHeight="1" x14ac:dyDescent="0.25">
      <c r="A56" s="25"/>
      <c r="B56" s="26" t="s">
        <v>54</v>
      </c>
      <c r="C56" s="27">
        <f>SUM(C49:C55)</f>
        <v>76312374</v>
      </c>
      <c r="D56" s="27">
        <f>SUM(D49:D55)</f>
        <v>77753598</v>
      </c>
      <c r="E56" s="27">
        <f t="shared" si="2"/>
        <v>1441224</v>
      </c>
      <c r="F56" s="28">
        <f t="shared" si="3"/>
        <v>1.8885849364350792E-2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28910000</v>
      </c>
      <c r="D59" s="23">
        <v>0</v>
      </c>
      <c r="E59" s="23">
        <f>D59-C59</f>
        <v>-28910000</v>
      </c>
      <c r="F59" s="24">
        <f>IF(C59=0,0,E59/C59)</f>
        <v>-1</v>
      </c>
    </row>
    <row r="60" spans="1:6" ht="24" customHeight="1" x14ac:dyDescent="0.2">
      <c r="A60" s="21">
        <v>2</v>
      </c>
      <c r="B60" s="22" t="s">
        <v>57</v>
      </c>
      <c r="C60" s="23">
        <v>5307519</v>
      </c>
      <c r="D60" s="23">
        <v>3640365</v>
      </c>
      <c r="E60" s="23">
        <f>D60-C60</f>
        <v>-1667154</v>
      </c>
      <c r="F60" s="24">
        <f>IF(C60=0,0,E60/C60)</f>
        <v>-0.31411173469185888</v>
      </c>
    </row>
    <row r="61" spans="1:6" ht="24" customHeight="1" x14ac:dyDescent="0.25">
      <c r="A61" s="25"/>
      <c r="B61" s="26" t="s">
        <v>58</v>
      </c>
      <c r="C61" s="27">
        <f>SUM(C59:C60)</f>
        <v>34217519</v>
      </c>
      <c r="D61" s="27">
        <f>SUM(D59:D60)</f>
        <v>3640365</v>
      </c>
      <c r="E61" s="27">
        <f>D61-C61</f>
        <v>-30577154</v>
      </c>
      <c r="F61" s="28">
        <f>IF(C61=0,0,E61/C61)</f>
        <v>-0.89361107682880225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80880107</v>
      </c>
      <c r="D63" s="23">
        <v>82716227</v>
      </c>
      <c r="E63" s="23">
        <f>D63-C63</f>
        <v>1836120</v>
      </c>
      <c r="F63" s="24">
        <f>IF(C63=0,0,E63/C63)</f>
        <v>2.2701750382204611E-2</v>
      </c>
    </row>
    <row r="64" spans="1:6" ht="24" customHeight="1" x14ac:dyDescent="0.2">
      <c r="A64" s="21">
        <v>4</v>
      </c>
      <c r="B64" s="22" t="s">
        <v>60</v>
      </c>
      <c r="C64" s="23">
        <v>11627088</v>
      </c>
      <c r="D64" s="23">
        <v>44061835</v>
      </c>
      <c r="E64" s="23">
        <f>D64-C64</f>
        <v>32434747</v>
      </c>
      <c r="F64" s="24">
        <f>IF(C64=0,0,E64/C64)</f>
        <v>2.7895847180308602</v>
      </c>
    </row>
    <row r="65" spans="1:6" ht="24" customHeight="1" x14ac:dyDescent="0.25">
      <c r="A65" s="25"/>
      <c r="B65" s="26" t="s">
        <v>61</v>
      </c>
      <c r="C65" s="27">
        <f>SUM(C61:C64)</f>
        <v>126724714</v>
      </c>
      <c r="D65" s="27">
        <f>SUM(D61:D64)</f>
        <v>130418427</v>
      </c>
      <c r="E65" s="27">
        <f>D65-C65</f>
        <v>3693713</v>
      </c>
      <c r="F65" s="28">
        <f>IF(C65=0,0,E65/C65)</f>
        <v>2.9147534710553775E-2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96622401</v>
      </c>
      <c r="D70" s="23">
        <v>128627309</v>
      </c>
      <c r="E70" s="23">
        <f>D70-C70</f>
        <v>32004908</v>
      </c>
      <c r="F70" s="24">
        <f>IF(C70=0,0,E70/C70)</f>
        <v>0.33123693541831983</v>
      </c>
    </row>
    <row r="71" spans="1:6" ht="24" customHeight="1" x14ac:dyDescent="0.2">
      <c r="A71" s="21">
        <v>2</v>
      </c>
      <c r="B71" s="22" t="s">
        <v>65</v>
      </c>
      <c r="C71" s="23">
        <v>16296477</v>
      </c>
      <c r="D71" s="23">
        <v>16726765</v>
      </c>
      <c r="E71" s="23">
        <f>D71-C71</f>
        <v>430288</v>
      </c>
      <c r="F71" s="24">
        <f>IF(C71=0,0,E71/C71)</f>
        <v>2.6403743582125144E-2</v>
      </c>
    </row>
    <row r="72" spans="1:6" ht="24" customHeight="1" x14ac:dyDescent="0.2">
      <c r="A72" s="21">
        <v>3</v>
      </c>
      <c r="B72" s="22" t="s">
        <v>66</v>
      </c>
      <c r="C72" s="23">
        <v>20636262</v>
      </c>
      <c r="D72" s="23">
        <v>20089038</v>
      </c>
      <c r="E72" s="23">
        <f>D72-C72</f>
        <v>-547224</v>
      </c>
      <c r="F72" s="24">
        <f>IF(C72=0,0,E72/C72)</f>
        <v>-2.651759315713282E-2</v>
      </c>
    </row>
    <row r="73" spans="1:6" ht="24" customHeight="1" x14ac:dyDescent="0.25">
      <c r="A73" s="21"/>
      <c r="B73" s="26" t="s">
        <v>67</v>
      </c>
      <c r="C73" s="27">
        <f>SUM(C70:C72)</f>
        <v>133555140</v>
      </c>
      <c r="D73" s="27">
        <f>SUM(D70:D72)</f>
        <v>165443112</v>
      </c>
      <c r="E73" s="27">
        <f>D73-C73</f>
        <v>31887972</v>
      </c>
      <c r="F73" s="28">
        <f>IF(C73=0,0,E73/C73)</f>
        <v>0.23876259648262133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336592228</v>
      </c>
      <c r="D75" s="27">
        <f>D56+D65+D67+D73</f>
        <v>373615137</v>
      </c>
      <c r="E75" s="27">
        <f>D75-C75</f>
        <v>37022909</v>
      </c>
      <c r="F75" s="28">
        <f>IF(C75=0,0,E75/C75)</f>
        <v>0.10999335670935337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/>
  <headerFooter>
    <oddHeader>&amp;LOFFICE OF HEALTH CARE ACCESS&amp;CTWELVE MONTHS ACTUAL FILING&amp;RTHE HOSPITAL OF CENTRAL CONNECTICUT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SheetLayoutView="75" workbookViewId="0">
      <selection sqref="A1:E1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479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482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307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483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484</v>
      </c>
      <c r="C11" s="51">
        <v>401714458</v>
      </c>
      <c r="D11" s="51">
        <v>389909715</v>
      </c>
      <c r="E11" s="51">
        <v>380067051</v>
      </c>
      <c r="F11" s="28"/>
    </row>
    <row r="12" spans="1:6" ht="24" customHeight="1" x14ac:dyDescent="0.25">
      <c r="A12" s="44">
        <v>2</v>
      </c>
      <c r="B12" s="48" t="s">
        <v>76</v>
      </c>
      <c r="C12" s="49">
        <v>62637235</v>
      </c>
      <c r="D12" s="49">
        <v>57009444</v>
      </c>
      <c r="E12" s="49">
        <v>12704738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464351693</v>
      </c>
      <c r="D13" s="51">
        <f>+D11+D12</f>
        <v>446919159</v>
      </c>
      <c r="E13" s="51">
        <f>+E11+E12</f>
        <v>392771789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452150688</v>
      </c>
      <c r="D14" s="49">
        <v>447201215</v>
      </c>
      <c r="E14" s="49">
        <v>362033076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12201005</v>
      </c>
      <c r="D15" s="51">
        <f>+D13-D14</f>
        <v>-282056</v>
      </c>
      <c r="E15" s="51">
        <f>+E13-E14</f>
        <v>30738713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2012555</v>
      </c>
      <c r="D16" s="49">
        <v>6751321</v>
      </c>
      <c r="E16" s="49">
        <v>26025</v>
      </c>
      <c r="F16" s="70"/>
    </row>
    <row r="17" spans="1:14" s="56" customFormat="1" ht="24" customHeight="1" x14ac:dyDescent="0.2">
      <c r="A17" s="44">
        <v>7</v>
      </c>
      <c r="B17" s="45" t="s">
        <v>310</v>
      </c>
      <c r="C17" s="51">
        <f>C15+C16</f>
        <v>14213560</v>
      </c>
      <c r="D17" s="51">
        <f>D15+D16</f>
        <v>6469265</v>
      </c>
      <c r="E17" s="51">
        <f>E15+E16</f>
        <v>30764738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485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486</v>
      </c>
      <c r="C20" s="169">
        <f>IF(+C27=0,0,+C24/+C27)</f>
        <v>2.6161964713898908E-2</v>
      </c>
      <c r="D20" s="169">
        <f>IF(+D27=0,0,+D24/+D27)</f>
        <v>-6.2171997613774655E-4</v>
      </c>
      <c r="E20" s="169">
        <f>IF(+E27=0,0,+E24/+E27)</f>
        <v>7.825581483505914E-2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487</v>
      </c>
      <c r="C21" s="169">
        <f>IF(+C27=0,0,+C26/+C27)</f>
        <v>4.3154144183024943E-3</v>
      </c>
      <c r="D21" s="169">
        <f>IF(+D27=0,0,+D26/+D27)</f>
        <v>1.4881552354916281E-2</v>
      </c>
      <c r="E21" s="169">
        <f>IF(+E27=0,0,+E26/+E27)</f>
        <v>6.6255460372801359E-5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488</v>
      </c>
      <c r="C22" s="169">
        <f>IF(+C27=0,0,+C28/+C27)</f>
        <v>3.0477379132201401E-2</v>
      </c>
      <c r="D22" s="169">
        <f>IF(+D27=0,0,+D28/+D27)</f>
        <v>1.4259832378778535E-2</v>
      </c>
      <c r="E22" s="169">
        <f>IF(+E27=0,0,+E28/+E27)</f>
        <v>7.8322070295431936E-2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12201005</v>
      </c>
      <c r="D24" s="51">
        <f>+D15</f>
        <v>-282056</v>
      </c>
      <c r="E24" s="51">
        <f>+E15</f>
        <v>30738713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464351693</v>
      </c>
      <c r="D25" s="51">
        <f>+D13</f>
        <v>446919159</v>
      </c>
      <c r="E25" s="51">
        <f>+E13</f>
        <v>392771789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2012555</v>
      </c>
      <c r="D26" s="51">
        <f>+D16</f>
        <v>6751321</v>
      </c>
      <c r="E26" s="51">
        <f>+E16</f>
        <v>26025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315</v>
      </c>
      <c r="C27" s="51">
        <f>SUM(C25:C26)</f>
        <v>466364248</v>
      </c>
      <c r="D27" s="51">
        <f>SUM(D25:D26)</f>
        <v>453670480</v>
      </c>
      <c r="E27" s="51">
        <f>SUM(E25:E26)</f>
        <v>392797814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310</v>
      </c>
      <c r="C28" s="51">
        <f>+C17</f>
        <v>14213560</v>
      </c>
      <c r="D28" s="51">
        <f>+D17</f>
        <v>6469265</v>
      </c>
      <c r="E28" s="51">
        <f>+E17</f>
        <v>30764738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489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490</v>
      </c>
      <c r="C31" s="51">
        <v>104848599</v>
      </c>
      <c r="D31" s="51">
        <v>117892402</v>
      </c>
      <c r="E31" s="52">
        <v>138381964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491</v>
      </c>
      <c r="C32" s="51">
        <v>140054099</v>
      </c>
      <c r="D32" s="51">
        <v>154993818</v>
      </c>
      <c r="E32" s="51">
        <v>175197767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492</v>
      </c>
      <c r="C33" s="51">
        <v>-67583097</v>
      </c>
      <c r="D33" s="51">
        <f>+D32-C32</f>
        <v>14939719</v>
      </c>
      <c r="E33" s="51">
        <f>+E32-D32</f>
        <v>20203949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493</v>
      </c>
      <c r="C34" s="171">
        <v>0.67449999999999999</v>
      </c>
      <c r="D34" s="171">
        <f>IF(C32=0,0,+D33/C32)</f>
        <v>0.10667105858858154</v>
      </c>
      <c r="E34" s="171">
        <f>IF(D32=0,0,+E33/D32)</f>
        <v>0.13035325705700082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321</v>
      </c>
      <c r="B36" s="16" t="s">
        <v>343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344</v>
      </c>
      <c r="C38" s="269">
        <f>IF(+C40=0,0,+C39/+C40)</f>
        <v>1.0981701421116434</v>
      </c>
      <c r="D38" s="269">
        <f>IF(+D40=0,0,+D39/+D40)</f>
        <v>1.1507704302590578</v>
      </c>
      <c r="E38" s="269">
        <f>IF(+E40=0,0,+E39/+E40)</f>
        <v>1.1278808321181104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96045618</v>
      </c>
      <c r="D39" s="270">
        <v>103976479</v>
      </c>
      <c r="E39" s="270">
        <v>90065417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87459688</v>
      </c>
      <c r="D40" s="270">
        <v>90353798</v>
      </c>
      <c r="E40" s="270">
        <v>79853664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345</v>
      </c>
      <c r="C42" s="271">
        <f>IF((C48/365)=0,0,+C45/(C48/365))</f>
        <v>30.556785541864283</v>
      </c>
      <c r="D42" s="271">
        <f>IF((D48/365)=0,0,+D45/(D48/365))</f>
        <v>37.538435310015302</v>
      </c>
      <c r="E42" s="271">
        <f>IF((E48/365)=0,0,+E45/(E48/365))</f>
        <v>21.579155739744277</v>
      </c>
    </row>
    <row r="43" spans="1:14" ht="24" customHeight="1" x14ac:dyDescent="0.2">
      <c r="A43" s="17">
        <v>5</v>
      </c>
      <c r="B43" s="188" t="s">
        <v>16</v>
      </c>
      <c r="C43" s="272">
        <v>36164805</v>
      </c>
      <c r="D43" s="272">
        <v>43866837</v>
      </c>
      <c r="E43" s="272">
        <v>20299387</v>
      </c>
    </row>
    <row r="44" spans="1:14" ht="24" customHeight="1" x14ac:dyDescent="0.2">
      <c r="A44" s="17">
        <v>6</v>
      </c>
      <c r="B44" s="273" t="s">
        <v>17</v>
      </c>
      <c r="C44" s="274">
        <v>0</v>
      </c>
      <c r="D44" s="274">
        <v>0</v>
      </c>
      <c r="E44" s="274">
        <v>0</v>
      </c>
    </row>
    <row r="45" spans="1:14" ht="24" customHeight="1" x14ac:dyDescent="0.2">
      <c r="A45" s="17">
        <v>7</v>
      </c>
      <c r="B45" s="45" t="s">
        <v>346</v>
      </c>
      <c r="C45" s="270">
        <f>+C43+C44</f>
        <v>36164805</v>
      </c>
      <c r="D45" s="270">
        <f>+D43+D44</f>
        <v>43866837</v>
      </c>
      <c r="E45" s="270">
        <f>+E43+E44</f>
        <v>20299387</v>
      </c>
    </row>
    <row r="46" spans="1:14" ht="24" customHeight="1" x14ac:dyDescent="0.2">
      <c r="A46" s="17">
        <v>8</v>
      </c>
      <c r="B46" s="45" t="s">
        <v>324</v>
      </c>
      <c r="C46" s="270">
        <f>+C14</f>
        <v>452150688</v>
      </c>
      <c r="D46" s="270">
        <f>+D14</f>
        <v>447201215</v>
      </c>
      <c r="E46" s="270">
        <f>+E14</f>
        <v>362033076</v>
      </c>
    </row>
    <row r="47" spans="1:14" ht="24" customHeight="1" x14ac:dyDescent="0.2">
      <c r="A47" s="17">
        <v>9</v>
      </c>
      <c r="B47" s="45" t="s">
        <v>347</v>
      </c>
      <c r="C47" s="270">
        <v>20163043</v>
      </c>
      <c r="D47" s="270">
        <v>20667840</v>
      </c>
      <c r="E47" s="270">
        <v>18679687</v>
      </c>
    </row>
    <row r="48" spans="1:14" ht="24" customHeight="1" x14ac:dyDescent="0.2">
      <c r="A48" s="17">
        <v>10</v>
      </c>
      <c r="B48" s="45" t="s">
        <v>348</v>
      </c>
      <c r="C48" s="270">
        <f>+C46-C47</f>
        <v>431987645</v>
      </c>
      <c r="D48" s="270">
        <f>+D46-D47</f>
        <v>426533375</v>
      </c>
      <c r="E48" s="270">
        <f>+E46-E47</f>
        <v>343353389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349</v>
      </c>
      <c r="C50" s="278">
        <f>IF((C55/365)=0,0,+C54/(C55/365))</f>
        <v>22.75585605136472</v>
      </c>
      <c r="D50" s="278">
        <f>IF((D55/365)=0,0,+D54/(D55/365))</f>
        <v>19.102159919252077</v>
      </c>
      <c r="E50" s="278">
        <f>IF((E55/365)=0,0,+E54/(E55/365))</f>
        <v>24.111166874078751</v>
      </c>
    </row>
    <row r="51" spans="1:5" ht="24" customHeight="1" x14ac:dyDescent="0.2">
      <c r="A51" s="17">
        <v>12</v>
      </c>
      <c r="B51" s="188" t="s">
        <v>350</v>
      </c>
      <c r="C51" s="279">
        <v>40346696</v>
      </c>
      <c r="D51" s="279">
        <v>40669114</v>
      </c>
      <c r="E51" s="279">
        <v>48945018</v>
      </c>
    </row>
    <row r="52" spans="1:5" ht="24" customHeight="1" x14ac:dyDescent="0.2">
      <c r="A52" s="17">
        <v>13</v>
      </c>
      <c r="B52" s="188" t="s">
        <v>21</v>
      </c>
      <c r="C52" s="270">
        <v>0</v>
      </c>
      <c r="D52" s="270">
        <v>0</v>
      </c>
      <c r="E52" s="270">
        <v>0</v>
      </c>
    </row>
    <row r="53" spans="1:5" ht="24" customHeight="1" x14ac:dyDescent="0.2">
      <c r="A53" s="17">
        <v>14</v>
      </c>
      <c r="B53" s="188" t="s">
        <v>49</v>
      </c>
      <c r="C53" s="270">
        <v>15301884</v>
      </c>
      <c r="D53" s="270">
        <v>20263312</v>
      </c>
      <c r="E53" s="270">
        <v>23838552</v>
      </c>
    </row>
    <row r="54" spans="1:5" ht="32.25" customHeight="1" x14ac:dyDescent="0.2">
      <c r="A54" s="17">
        <v>15</v>
      </c>
      <c r="B54" s="45" t="s">
        <v>351</v>
      </c>
      <c r="C54" s="280">
        <f>+C51+C52-C53</f>
        <v>25044812</v>
      </c>
      <c r="D54" s="280">
        <f>+D51+D52-D53</f>
        <v>20405802</v>
      </c>
      <c r="E54" s="280">
        <f>+E51+E52-E53</f>
        <v>25106466</v>
      </c>
    </row>
    <row r="55" spans="1:5" ht="24" customHeight="1" x14ac:dyDescent="0.2">
      <c r="A55" s="17">
        <v>16</v>
      </c>
      <c r="B55" s="45" t="s">
        <v>75</v>
      </c>
      <c r="C55" s="270">
        <f>+C11</f>
        <v>401714458</v>
      </c>
      <c r="D55" s="270">
        <f>+D11</f>
        <v>389909715</v>
      </c>
      <c r="E55" s="270">
        <f>+E11</f>
        <v>380067051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352</v>
      </c>
      <c r="C57" s="283">
        <f>IF((C61/365)=0,0,+C58/(C61/365))</f>
        <v>73.897451673646827</v>
      </c>
      <c r="D57" s="283">
        <f>IF((D61/365)=0,0,+D58/(D61/365))</f>
        <v>77.319005271275657</v>
      </c>
      <c r="E57" s="283">
        <f>IF((E61/365)=0,0,+E58/(E61/365))</f>
        <v>84.888014196941569</v>
      </c>
    </row>
    <row r="58" spans="1:5" ht="24" customHeight="1" x14ac:dyDescent="0.2">
      <c r="A58" s="17">
        <v>18</v>
      </c>
      <c r="B58" s="45" t="s">
        <v>54</v>
      </c>
      <c r="C58" s="281">
        <f>+C40</f>
        <v>87459688</v>
      </c>
      <c r="D58" s="281">
        <f>+D40</f>
        <v>90353798</v>
      </c>
      <c r="E58" s="281">
        <f>+E40</f>
        <v>79853664</v>
      </c>
    </row>
    <row r="59" spans="1:5" ht="24" customHeight="1" x14ac:dyDescent="0.2">
      <c r="A59" s="17">
        <v>19</v>
      </c>
      <c r="B59" s="45" t="s">
        <v>324</v>
      </c>
      <c r="C59" s="281">
        <f t="shared" ref="C59:E60" si="0">+C46</f>
        <v>452150688</v>
      </c>
      <c r="D59" s="281">
        <f t="shared" si="0"/>
        <v>447201215</v>
      </c>
      <c r="E59" s="281">
        <f t="shared" si="0"/>
        <v>362033076</v>
      </c>
    </row>
    <row r="60" spans="1:5" ht="24" customHeight="1" x14ac:dyDescent="0.2">
      <c r="A60" s="17">
        <v>20</v>
      </c>
      <c r="B60" s="45" t="s">
        <v>347</v>
      </c>
      <c r="C60" s="176">
        <f t="shared" si="0"/>
        <v>20163043</v>
      </c>
      <c r="D60" s="176">
        <f t="shared" si="0"/>
        <v>20667840</v>
      </c>
      <c r="E60" s="176">
        <f t="shared" si="0"/>
        <v>18679687</v>
      </c>
    </row>
    <row r="61" spans="1:5" ht="24" customHeight="1" x14ac:dyDescent="0.2">
      <c r="A61" s="17">
        <v>21</v>
      </c>
      <c r="B61" s="45" t="s">
        <v>353</v>
      </c>
      <c r="C61" s="281">
        <f>+C59-C60</f>
        <v>431987645</v>
      </c>
      <c r="D61" s="281">
        <f>+D59-D60</f>
        <v>426533375</v>
      </c>
      <c r="E61" s="281">
        <f>+E59-E60</f>
        <v>343353389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342</v>
      </c>
      <c r="B63" s="16" t="s">
        <v>355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356</v>
      </c>
      <c r="C65" s="284">
        <f>IF(C67=0,0,(C66/C67)*100)</f>
        <v>35.00314649208083</v>
      </c>
      <c r="D65" s="284">
        <f>IF(D67=0,0,(D66/D67)*100)</f>
        <v>36.841221051096625</v>
      </c>
      <c r="E65" s="284">
        <f>IF(E67=0,0,(E66/E67)*100)</f>
        <v>43.421666198056151</v>
      </c>
    </row>
    <row r="66" spans="1:5" ht="24" customHeight="1" x14ac:dyDescent="0.2">
      <c r="A66" s="17">
        <v>2</v>
      </c>
      <c r="B66" s="45" t="s">
        <v>67</v>
      </c>
      <c r="C66" s="281">
        <f>+C32</f>
        <v>140054099</v>
      </c>
      <c r="D66" s="281">
        <f>+D32</f>
        <v>154993818</v>
      </c>
      <c r="E66" s="281">
        <f>+E32</f>
        <v>175197767</v>
      </c>
    </row>
    <row r="67" spans="1:5" ht="24" customHeight="1" x14ac:dyDescent="0.2">
      <c r="A67" s="17">
        <v>3</v>
      </c>
      <c r="B67" s="45" t="s">
        <v>43</v>
      </c>
      <c r="C67" s="281">
        <v>400118598</v>
      </c>
      <c r="D67" s="281">
        <v>420707603</v>
      </c>
      <c r="E67" s="281">
        <v>403480065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357</v>
      </c>
      <c r="C69" s="284">
        <f>IF(C75=0,0,(C72/C75)*100)</f>
        <v>23.803496608334743</v>
      </c>
      <c r="D69" s="284">
        <f>IF(D75=0,0,(D72/D75)*100)</f>
        <v>18.588228513674643</v>
      </c>
      <c r="E69" s="284">
        <f>IF(E75=0,0,(E72/E75)*100)</f>
        <v>59.219114938147257</v>
      </c>
    </row>
    <row r="70" spans="1:5" ht="24" customHeight="1" x14ac:dyDescent="0.2">
      <c r="A70" s="17">
        <v>5</v>
      </c>
      <c r="B70" s="45" t="s">
        <v>358</v>
      </c>
      <c r="C70" s="281">
        <f>+C28</f>
        <v>14213560</v>
      </c>
      <c r="D70" s="281">
        <f>+D28</f>
        <v>6469265</v>
      </c>
      <c r="E70" s="281">
        <f>+E28</f>
        <v>30764738</v>
      </c>
    </row>
    <row r="71" spans="1:5" ht="24" customHeight="1" x14ac:dyDescent="0.2">
      <c r="A71" s="17">
        <v>6</v>
      </c>
      <c r="B71" s="45" t="s">
        <v>347</v>
      </c>
      <c r="C71" s="176">
        <f>+C47</f>
        <v>20163043</v>
      </c>
      <c r="D71" s="176">
        <f>+D47</f>
        <v>20667840</v>
      </c>
      <c r="E71" s="176">
        <f>+E47</f>
        <v>18679687</v>
      </c>
    </row>
    <row r="72" spans="1:5" ht="24" customHeight="1" x14ac:dyDescent="0.2">
      <c r="A72" s="17">
        <v>7</v>
      </c>
      <c r="B72" s="45" t="s">
        <v>359</v>
      </c>
      <c r="C72" s="281">
        <f>+C70+C71</f>
        <v>34376603</v>
      </c>
      <c r="D72" s="281">
        <f>+D70+D71</f>
        <v>27137105</v>
      </c>
      <c r="E72" s="281">
        <f>+E70+E71</f>
        <v>49444425</v>
      </c>
    </row>
    <row r="73" spans="1:5" ht="24" customHeight="1" x14ac:dyDescent="0.2">
      <c r="A73" s="17">
        <v>8</v>
      </c>
      <c r="B73" s="45" t="s">
        <v>54</v>
      </c>
      <c r="C73" s="270">
        <f>+C40</f>
        <v>87459688</v>
      </c>
      <c r="D73" s="270">
        <f>+D40</f>
        <v>90353798</v>
      </c>
      <c r="E73" s="270">
        <f>+E40</f>
        <v>79853664</v>
      </c>
    </row>
    <row r="74" spans="1:5" ht="24" customHeight="1" x14ac:dyDescent="0.2">
      <c r="A74" s="17">
        <v>9</v>
      </c>
      <c r="B74" s="45" t="s">
        <v>58</v>
      </c>
      <c r="C74" s="281">
        <v>56958603</v>
      </c>
      <c r="D74" s="281">
        <v>55637010</v>
      </c>
      <c r="E74" s="281">
        <v>3640365</v>
      </c>
    </row>
    <row r="75" spans="1:5" ht="24" customHeight="1" x14ac:dyDescent="0.2">
      <c r="A75" s="17">
        <v>10</v>
      </c>
      <c r="B75" s="285" t="s">
        <v>360</v>
      </c>
      <c r="C75" s="270">
        <f>+C73+C74</f>
        <v>144418291</v>
      </c>
      <c r="D75" s="270">
        <f>+D73+D74</f>
        <v>145990808</v>
      </c>
      <c r="E75" s="270">
        <f>+E73+E74</f>
        <v>83494029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361</v>
      </c>
      <c r="C77" s="286">
        <f>IF(C80=0,0,(C78/C80)*100)</f>
        <v>28.911132339071216</v>
      </c>
      <c r="D77" s="286">
        <f>IF(D80=0,0,(D78/D80)*100)</f>
        <v>26.414466737034331</v>
      </c>
      <c r="E77" s="286">
        <f>IF(E80=0,0,(E78/E80)*100)</f>
        <v>2.0355642050656177</v>
      </c>
    </row>
    <row r="78" spans="1:5" ht="24" customHeight="1" x14ac:dyDescent="0.2">
      <c r="A78" s="17">
        <v>12</v>
      </c>
      <c r="B78" s="45" t="s">
        <v>58</v>
      </c>
      <c r="C78" s="270">
        <f>+C74</f>
        <v>56958603</v>
      </c>
      <c r="D78" s="270">
        <f>+D74</f>
        <v>55637010</v>
      </c>
      <c r="E78" s="270">
        <f>+E74</f>
        <v>3640365</v>
      </c>
    </row>
    <row r="79" spans="1:5" ht="24" customHeight="1" x14ac:dyDescent="0.2">
      <c r="A79" s="17">
        <v>13</v>
      </c>
      <c r="B79" s="45" t="s">
        <v>67</v>
      </c>
      <c r="C79" s="270">
        <f>+C32</f>
        <v>140054099</v>
      </c>
      <c r="D79" s="270">
        <f>+D32</f>
        <v>154993818</v>
      </c>
      <c r="E79" s="270">
        <f>+E32</f>
        <v>175197767</v>
      </c>
    </row>
    <row r="80" spans="1:5" ht="24" customHeight="1" x14ac:dyDescent="0.2">
      <c r="A80" s="17">
        <v>14</v>
      </c>
      <c r="B80" s="45" t="s">
        <v>362</v>
      </c>
      <c r="C80" s="270">
        <f>+C78+C79</f>
        <v>197012702</v>
      </c>
      <c r="D80" s="270">
        <f>+D78+D79</f>
        <v>210630828</v>
      </c>
      <c r="E80" s="270">
        <f>+E78+E79</f>
        <v>178838132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/>
  <headerFooter>
    <oddHeader>&amp;L&amp;8OFFICE OF HEALTH CARE ACCESS&amp;C&amp;8TWELVE MONTHS ACTUAL FILING&amp;R&amp;8HARTFORD HEALTH CARE CORPORATION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zoomScale="75" zoomScaleSheetLayoutView="75" workbookViewId="0"/>
  </sheetViews>
  <sheetFormatPr defaultRowHeight="12.75" x14ac:dyDescent="0.2"/>
  <cols>
    <col min="1" max="1" width="5.85546875" style="55" customWidth="1"/>
    <col min="2" max="2" width="47.7109375" style="55" customWidth="1"/>
    <col min="3" max="3" width="17.28515625" style="55" customWidth="1"/>
    <col min="4" max="4" width="19.140625" style="55" customWidth="1"/>
    <col min="5" max="7" width="17.28515625" style="55" customWidth="1"/>
    <col min="8" max="9" width="19.140625" style="55" customWidth="1"/>
    <col min="10" max="10" width="14" style="55" bestFit="1" customWidth="1"/>
    <col min="11" max="11" width="15.140625" style="55" customWidth="1"/>
    <col min="12" max="16384" width="9.140625" style="55"/>
  </cols>
  <sheetData>
    <row r="1" spans="1:11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6"/>
      <c r="I1" s="125"/>
      <c r="J1" s="125"/>
    </row>
    <row r="2" spans="1:11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6"/>
      <c r="I2" s="126"/>
      <c r="J2" s="125"/>
      <c r="K2" s="125"/>
    </row>
    <row r="3" spans="1:11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6"/>
      <c r="I3" s="126"/>
      <c r="J3" s="125"/>
      <c r="K3" s="125"/>
    </row>
    <row r="4" spans="1:11" ht="15.75" customHeight="1" x14ac:dyDescent="0.25">
      <c r="A4" s="287"/>
      <c r="B4" s="126"/>
      <c r="C4" s="126"/>
      <c r="D4" s="288" t="s">
        <v>494</v>
      </c>
      <c r="E4" s="126"/>
      <c r="F4" s="126"/>
      <c r="G4" s="126"/>
      <c r="H4" s="126"/>
      <c r="I4" s="126"/>
      <c r="J4" s="125"/>
      <c r="K4" s="125"/>
    </row>
    <row r="5" spans="1:11" ht="15.75" customHeight="1" x14ac:dyDescent="0.25">
      <c r="A5" s="287"/>
      <c r="B5" s="126"/>
      <c r="C5" s="126"/>
      <c r="D5" s="126"/>
      <c r="E5" s="126"/>
      <c r="F5" s="126"/>
      <c r="G5" s="126"/>
      <c r="H5" s="126"/>
      <c r="I5" s="126"/>
      <c r="J5" s="125"/>
      <c r="K5" s="125"/>
    </row>
    <row r="6" spans="1:11" ht="15.75" customHeight="1" x14ac:dyDescent="0.25">
      <c r="A6" s="126">
        <v>-1</v>
      </c>
      <c r="B6" s="126">
        <v>-2</v>
      </c>
      <c r="C6" s="126">
        <v>-3</v>
      </c>
      <c r="D6" s="126" t="s">
        <v>495</v>
      </c>
      <c r="E6" s="126" t="s">
        <v>496</v>
      </c>
      <c r="F6" s="126">
        <v>-4</v>
      </c>
      <c r="G6" s="126">
        <v>-5</v>
      </c>
      <c r="H6" s="126">
        <v>-6</v>
      </c>
      <c r="I6" s="126">
        <v>-7</v>
      </c>
      <c r="J6" s="125"/>
      <c r="K6" s="125"/>
    </row>
    <row r="7" spans="1:11" ht="15.75" customHeight="1" x14ac:dyDescent="0.25">
      <c r="A7" s="287"/>
      <c r="B7" s="126"/>
      <c r="C7" s="126"/>
      <c r="D7" s="126" t="s">
        <v>137</v>
      </c>
      <c r="E7" s="126"/>
      <c r="F7" s="126"/>
      <c r="G7" s="126"/>
      <c r="H7" s="126" t="s">
        <v>497</v>
      </c>
      <c r="I7" s="126" t="s">
        <v>497</v>
      </c>
      <c r="J7" s="125"/>
      <c r="K7" s="289"/>
    </row>
    <row r="8" spans="1:11" ht="15.75" customHeight="1" x14ac:dyDescent="0.25">
      <c r="A8" s="287"/>
      <c r="B8" s="126"/>
      <c r="C8" s="126" t="s">
        <v>498</v>
      </c>
      <c r="D8" s="126" t="s">
        <v>499</v>
      </c>
      <c r="E8" s="126" t="s">
        <v>500</v>
      </c>
      <c r="F8" s="126" t="s">
        <v>501</v>
      </c>
      <c r="G8" s="126" t="s">
        <v>502</v>
      </c>
      <c r="H8" s="126" t="s">
        <v>503</v>
      </c>
      <c r="I8" s="126" t="s">
        <v>504</v>
      </c>
      <c r="J8" s="125"/>
      <c r="K8" s="289"/>
    </row>
    <row r="9" spans="1:11" ht="15.75" customHeight="1" x14ac:dyDescent="0.25">
      <c r="A9" s="290" t="s">
        <v>8</v>
      </c>
      <c r="B9" s="291" t="s">
        <v>9</v>
      </c>
      <c r="C9" s="292" t="s">
        <v>505</v>
      </c>
      <c r="D9" s="292" t="s">
        <v>506</v>
      </c>
      <c r="E9" s="292" t="s">
        <v>507</v>
      </c>
      <c r="F9" s="292" t="s">
        <v>508</v>
      </c>
      <c r="G9" s="292" t="s">
        <v>509</v>
      </c>
      <c r="H9" s="292" t="s">
        <v>508</v>
      </c>
      <c r="I9" s="292" t="s">
        <v>509</v>
      </c>
      <c r="J9" s="125"/>
      <c r="K9" s="56"/>
    </row>
    <row r="10" spans="1:11" ht="15.75" customHeight="1" x14ac:dyDescent="0.25">
      <c r="A10" s="293" t="s">
        <v>507</v>
      </c>
      <c r="B10" s="126"/>
      <c r="C10" s="126"/>
      <c r="D10" s="126"/>
      <c r="E10" s="126"/>
      <c r="F10" s="126"/>
      <c r="G10" s="126"/>
      <c r="H10" s="126"/>
      <c r="I10" s="126"/>
      <c r="J10" s="125"/>
      <c r="K10" s="56"/>
    </row>
    <row r="11" spans="1:11" ht="15" customHeight="1" x14ac:dyDescent="0.2">
      <c r="A11" s="294">
        <v>1</v>
      </c>
      <c r="B11" s="295" t="s">
        <v>510</v>
      </c>
      <c r="C11" s="296">
        <v>57564</v>
      </c>
      <c r="D11" s="296">
        <v>15859</v>
      </c>
      <c r="E11" s="296">
        <v>14175</v>
      </c>
      <c r="F11" s="297">
        <v>231</v>
      </c>
      <c r="G11" s="297">
        <v>253</v>
      </c>
      <c r="H11" s="298">
        <f>IF(F11=0,0,$C11/(F11*365))</f>
        <v>0.68272549368439783</v>
      </c>
      <c r="I11" s="298">
        <f>IF(G11=0,0,$C11/(G11*365))</f>
        <v>0.62335805945097189</v>
      </c>
      <c r="J11" s="125"/>
      <c r="K11" s="299"/>
    </row>
    <row r="12" spans="1:11" ht="15" customHeight="1" thickBot="1" x14ac:dyDescent="0.3">
      <c r="A12" s="294"/>
      <c r="B12" s="141"/>
      <c r="C12" s="296"/>
      <c r="D12" s="89"/>
      <c r="F12" s="298"/>
      <c r="G12" s="298"/>
      <c r="H12" s="298"/>
      <c r="I12" s="298"/>
      <c r="J12" s="125"/>
      <c r="K12" s="299"/>
    </row>
    <row r="13" spans="1:11" ht="15" customHeight="1" x14ac:dyDescent="0.2">
      <c r="A13" s="294">
        <v>2</v>
      </c>
      <c r="B13" s="295" t="s">
        <v>511</v>
      </c>
      <c r="C13" s="296">
        <v>7160</v>
      </c>
      <c r="D13" s="296">
        <v>1636</v>
      </c>
      <c r="E13" s="296">
        <v>0</v>
      </c>
      <c r="F13" s="297">
        <v>32</v>
      </c>
      <c r="G13" s="297">
        <v>32</v>
      </c>
      <c r="H13" s="298">
        <f>IF(F13=0,0,$C13/(F13*365))</f>
        <v>0.61301369863013699</v>
      </c>
      <c r="I13" s="298">
        <f>IF(G13=0,0,$C13/(G13*365))</f>
        <v>0.61301369863013699</v>
      </c>
      <c r="J13" s="125"/>
      <c r="K13" s="299"/>
    </row>
    <row r="14" spans="1:11" ht="15" customHeight="1" x14ac:dyDescent="0.2">
      <c r="A14" s="294"/>
      <c r="B14" s="141"/>
      <c r="C14" s="296"/>
      <c r="F14" s="298"/>
      <c r="G14" s="298"/>
      <c r="H14" s="298"/>
      <c r="I14" s="298"/>
      <c r="J14" s="125"/>
      <c r="K14" s="299"/>
    </row>
    <row r="15" spans="1:11" ht="15" customHeight="1" x14ac:dyDescent="0.2">
      <c r="A15" s="294">
        <v>3</v>
      </c>
      <c r="B15" s="295" t="s">
        <v>512</v>
      </c>
      <c r="C15" s="296">
        <v>0</v>
      </c>
      <c r="D15" s="296">
        <v>0</v>
      </c>
      <c r="E15" s="296">
        <v>0</v>
      </c>
      <c r="F15" s="297">
        <v>0</v>
      </c>
      <c r="G15" s="297">
        <v>0</v>
      </c>
      <c r="H15" s="298">
        <f t="shared" ref="H15:I17" si="0">IF(F15=0,0,$C15/(F15*365))</f>
        <v>0</v>
      </c>
      <c r="I15" s="298">
        <f t="shared" si="0"/>
        <v>0</v>
      </c>
      <c r="J15" s="125"/>
      <c r="K15" s="299"/>
    </row>
    <row r="16" spans="1:11" ht="15" customHeight="1" x14ac:dyDescent="0.2">
      <c r="A16" s="294">
        <v>4</v>
      </c>
      <c r="B16" s="295" t="s">
        <v>513</v>
      </c>
      <c r="C16" s="296">
        <v>6838</v>
      </c>
      <c r="D16" s="296">
        <v>790</v>
      </c>
      <c r="E16" s="296">
        <v>789</v>
      </c>
      <c r="F16" s="297">
        <v>22</v>
      </c>
      <c r="G16" s="297">
        <v>24</v>
      </c>
      <c r="H16" s="298">
        <f t="shared" si="0"/>
        <v>0.85155666251556661</v>
      </c>
      <c r="I16" s="298">
        <f t="shared" si="0"/>
        <v>0.78059360730593608</v>
      </c>
      <c r="J16" s="125"/>
      <c r="K16" s="299"/>
    </row>
    <row r="17" spans="1:11" ht="15.75" customHeight="1" x14ac:dyDescent="0.25">
      <c r="A17" s="293"/>
      <c r="B17" s="135" t="s">
        <v>514</v>
      </c>
      <c r="C17" s="300">
        <f>SUM(C15:C16)</f>
        <v>6838</v>
      </c>
      <c r="D17" s="300">
        <f>SUM(D15:D16)</f>
        <v>790</v>
      </c>
      <c r="E17" s="300">
        <f>SUM(E15:E16)</f>
        <v>789</v>
      </c>
      <c r="F17" s="300">
        <f>SUM(F15:F16)</f>
        <v>22</v>
      </c>
      <c r="G17" s="300">
        <f>SUM(G15:G16)</f>
        <v>24</v>
      </c>
      <c r="H17" s="301">
        <f t="shared" si="0"/>
        <v>0.85155666251556661</v>
      </c>
      <c r="I17" s="301">
        <f t="shared" si="0"/>
        <v>0.78059360730593608</v>
      </c>
      <c r="J17" s="125"/>
      <c r="K17" s="299"/>
    </row>
    <row r="18" spans="1:11" ht="15.75" customHeight="1" x14ac:dyDescent="0.25">
      <c r="A18" s="293"/>
      <c r="B18" s="153"/>
      <c r="C18" s="296"/>
      <c r="D18" s="297"/>
      <c r="E18" s="297"/>
      <c r="F18" s="298"/>
      <c r="G18" s="298"/>
      <c r="H18" s="298"/>
      <c r="I18" s="298"/>
      <c r="J18" s="125"/>
      <c r="K18" s="299"/>
    </row>
    <row r="19" spans="1:11" ht="15" customHeight="1" x14ac:dyDescent="0.2">
      <c r="A19" s="294">
        <v>5</v>
      </c>
      <c r="B19" s="295" t="s">
        <v>515</v>
      </c>
      <c r="C19" s="296">
        <v>0</v>
      </c>
      <c r="D19" s="296">
        <v>0</v>
      </c>
      <c r="E19" s="296">
        <v>0</v>
      </c>
      <c r="F19" s="297">
        <v>0</v>
      </c>
      <c r="G19" s="297">
        <v>0</v>
      </c>
      <c r="H19" s="298">
        <f>IF(F19=0,0,$C19/(F19*365))</f>
        <v>0</v>
      </c>
      <c r="I19" s="298">
        <f>IF(G19=0,0,$C19/(G19*365))</f>
        <v>0</v>
      </c>
      <c r="J19" s="125"/>
      <c r="K19" s="299"/>
    </row>
    <row r="20" spans="1:11" ht="15" customHeight="1" x14ac:dyDescent="0.2">
      <c r="A20" s="294"/>
      <c r="B20" s="141"/>
      <c r="F20" s="298"/>
      <c r="G20" s="298"/>
      <c r="H20" s="298"/>
      <c r="I20" s="298"/>
      <c r="J20" s="125"/>
      <c r="K20" s="299"/>
    </row>
    <row r="21" spans="1:11" ht="15" customHeight="1" x14ac:dyDescent="0.2">
      <c r="A21" s="294">
        <v>6</v>
      </c>
      <c r="B21" s="295" t="s">
        <v>516</v>
      </c>
      <c r="C21" s="296">
        <v>5171</v>
      </c>
      <c r="D21" s="296">
        <v>1816</v>
      </c>
      <c r="E21" s="296">
        <v>1819</v>
      </c>
      <c r="F21" s="297">
        <v>25</v>
      </c>
      <c r="G21" s="297">
        <v>27</v>
      </c>
      <c r="H21" s="298">
        <f>IF(F21=0,0,$C21/(F21*365))</f>
        <v>0.56668493150684929</v>
      </c>
      <c r="I21" s="298">
        <f>IF(G21=0,0,$C21/(G21*365))</f>
        <v>0.52470826991374941</v>
      </c>
      <c r="J21" s="125"/>
      <c r="K21" s="299"/>
    </row>
    <row r="22" spans="1:11" ht="15" customHeight="1" x14ac:dyDescent="0.2">
      <c r="A22" s="294"/>
      <c r="B22" s="141"/>
      <c r="F22" s="298"/>
      <c r="G22" s="298"/>
      <c r="H22" s="298"/>
      <c r="I22" s="298"/>
      <c r="J22" s="125"/>
      <c r="K22" s="299"/>
    </row>
    <row r="23" spans="1:11" ht="15" customHeight="1" x14ac:dyDescent="0.2">
      <c r="A23" s="294">
        <v>7</v>
      </c>
      <c r="B23" s="295" t="s">
        <v>517</v>
      </c>
      <c r="C23" s="296">
        <v>3930</v>
      </c>
      <c r="D23" s="296">
        <v>1400</v>
      </c>
      <c r="E23" s="296">
        <v>1451</v>
      </c>
      <c r="F23" s="297">
        <v>20</v>
      </c>
      <c r="G23" s="297">
        <v>20</v>
      </c>
      <c r="H23" s="298">
        <f>IF(F23=0,0,$C23/(F23*365))</f>
        <v>0.5383561643835616</v>
      </c>
      <c r="I23" s="298">
        <f>IF(G23=0,0,$C23/(G23*365))</f>
        <v>0.5383561643835616</v>
      </c>
      <c r="J23" s="125"/>
      <c r="K23" s="299"/>
    </row>
    <row r="24" spans="1:11" ht="15" customHeight="1" x14ac:dyDescent="0.2">
      <c r="A24" s="294"/>
      <c r="B24" s="141"/>
      <c r="F24" s="298"/>
      <c r="G24" s="298"/>
      <c r="H24" s="298"/>
      <c r="I24" s="298"/>
      <c r="J24" s="125"/>
      <c r="K24" s="299"/>
    </row>
    <row r="25" spans="1:11" ht="15" customHeight="1" x14ac:dyDescent="0.2">
      <c r="A25" s="294">
        <v>8</v>
      </c>
      <c r="B25" s="295" t="s">
        <v>295</v>
      </c>
      <c r="C25" s="296">
        <v>1598</v>
      </c>
      <c r="D25" s="296">
        <v>295</v>
      </c>
      <c r="E25" s="296">
        <v>0</v>
      </c>
      <c r="F25" s="297">
        <v>12</v>
      </c>
      <c r="G25" s="297">
        <v>12</v>
      </c>
      <c r="H25" s="298">
        <f>IF(F25=0,0,$C25/(F25*365))</f>
        <v>0.36484018264840185</v>
      </c>
      <c r="I25" s="298">
        <f>IF(G25=0,0,$C25/(G25*365))</f>
        <v>0.36484018264840185</v>
      </c>
      <c r="J25" s="125"/>
      <c r="K25" s="299"/>
    </row>
    <row r="26" spans="1:11" ht="15" customHeight="1" x14ac:dyDescent="0.2">
      <c r="A26" s="294"/>
      <c r="B26" s="141"/>
      <c r="F26" s="298"/>
      <c r="G26" s="298"/>
      <c r="H26" s="298"/>
      <c r="I26" s="298"/>
      <c r="J26" s="125"/>
      <c r="K26" s="299"/>
    </row>
    <row r="27" spans="1:11" ht="15" customHeight="1" x14ac:dyDescent="0.2">
      <c r="A27" s="294">
        <v>9</v>
      </c>
      <c r="B27" s="295" t="s">
        <v>518</v>
      </c>
      <c r="C27" s="296">
        <v>876</v>
      </c>
      <c r="D27" s="296">
        <v>386</v>
      </c>
      <c r="E27" s="296">
        <v>374</v>
      </c>
      <c r="F27" s="297">
        <v>14</v>
      </c>
      <c r="G27" s="297">
        <v>15</v>
      </c>
      <c r="H27" s="298">
        <f>IF(F27=0,0,$C27/(F27*365))</f>
        <v>0.17142857142857143</v>
      </c>
      <c r="I27" s="298">
        <f>IF(G27=0,0,$C27/(G27*365))</f>
        <v>0.16</v>
      </c>
      <c r="J27" s="125"/>
      <c r="K27" s="299"/>
    </row>
    <row r="28" spans="1:11" ht="15" customHeight="1" x14ac:dyDescent="0.2">
      <c r="A28" s="294"/>
      <c r="B28" s="141"/>
      <c r="F28" s="298"/>
      <c r="G28" s="298"/>
      <c r="H28" s="298"/>
      <c r="I28" s="298"/>
      <c r="J28" s="125"/>
      <c r="K28" s="299"/>
    </row>
    <row r="29" spans="1:11" ht="15" customHeight="1" x14ac:dyDescent="0.2">
      <c r="A29" s="294">
        <v>10</v>
      </c>
      <c r="B29" s="295" t="s">
        <v>519</v>
      </c>
      <c r="C29" s="296">
        <v>0</v>
      </c>
      <c r="D29" s="296">
        <v>0</v>
      </c>
      <c r="E29" s="296">
        <v>0</v>
      </c>
      <c r="F29" s="297">
        <v>0</v>
      </c>
      <c r="G29" s="297">
        <v>0</v>
      </c>
      <c r="H29" s="298">
        <f>IF(F29=0,0,$C29/(F29*365))</f>
        <v>0</v>
      </c>
      <c r="I29" s="298">
        <f>IF(G29=0,0,$C29/(G29*365))</f>
        <v>0</v>
      </c>
      <c r="J29" s="125"/>
      <c r="K29" s="299"/>
    </row>
    <row r="30" spans="1:11" ht="15.75" customHeight="1" x14ac:dyDescent="0.25">
      <c r="A30" s="293"/>
      <c r="B30" s="153"/>
      <c r="C30" s="296"/>
      <c r="D30" s="297"/>
      <c r="E30" s="297"/>
      <c r="F30" s="298"/>
      <c r="G30" s="298"/>
      <c r="H30" s="298"/>
      <c r="I30" s="298"/>
      <c r="J30" s="125"/>
      <c r="K30" s="299"/>
    </row>
    <row r="31" spans="1:11" ht="15.75" customHeight="1" x14ac:dyDescent="0.25">
      <c r="A31" s="293"/>
      <c r="B31" s="135" t="s">
        <v>520</v>
      </c>
      <c r="C31" s="300">
        <f>SUM(C10:C29)-C17-C23</f>
        <v>79207</v>
      </c>
      <c r="D31" s="300">
        <f>SUM(D10:D29)-D13-D17-D23</f>
        <v>19146</v>
      </c>
      <c r="E31" s="300">
        <f>SUM(E10:E29)-E17-E23</f>
        <v>17157</v>
      </c>
      <c r="F31" s="300">
        <f>SUM(F10:F29)-F17-F23</f>
        <v>336</v>
      </c>
      <c r="G31" s="300">
        <f>SUM(G10:G29)-G17-G23</f>
        <v>363</v>
      </c>
      <c r="H31" s="301">
        <f>IF(F31=0,0,$C31/(F31*365))</f>
        <v>0.64584964122635358</v>
      </c>
      <c r="I31" s="301">
        <f>IF(G31=0,0,$C31/(G31*365))</f>
        <v>0.59781123815993054</v>
      </c>
      <c r="J31" s="125"/>
      <c r="K31" s="299"/>
    </row>
    <row r="32" spans="1:11" ht="15.75" customHeight="1" x14ac:dyDescent="0.25">
      <c r="A32" s="293"/>
      <c r="B32" s="153"/>
      <c r="C32" s="296"/>
      <c r="D32" s="296"/>
      <c r="E32" s="296"/>
      <c r="F32" s="298"/>
      <c r="G32" s="298"/>
      <c r="H32" s="298"/>
      <c r="I32" s="298"/>
      <c r="J32" s="125"/>
      <c r="K32" s="299"/>
    </row>
    <row r="33" spans="1:11" ht="15.75" customHeight="1" x14ac:dyDescent="0.25">
      <c r="A33" s="293"/>
      <c r="B33" s="135" t="s">
        <v>521</v>
      </c>
      <c r="C33" s="300">
        <f>SUM(C10:C29)-C17</f>
        <v>83137</v>
      </c>
      <c r="D33" s="300">
        <f>SUM(D10:D29)-D13-D17</f>
        <v>20546</v>
      </c>
      <c r="E33" s="300">
        <f>SUM(E10:E29)-E17</f>
        <v>18608</v>
      </c>
      <c r="F33" s="300">
        <f>SUM(F10:F29)-F17</f>
        <v>356</v>
      </c>
      <c r="G33" s="300">
        <f>SUM(G10:G29)-G17</f>
        <v>383</v>
      </c>
      <c r="H33" s="301">
        <f>IF(F33=0,0,$C33/(F33*365))</f>
        <v>0.63981068185316303</v>
      </c>
      <c r="I33" s="301">
        <f>IF(G33=0,0,$C33/(G33*365))</f>
        <v>0.59470653456847522</v>
      </c>
      <c r="J33" s="125"/>
      <c r="K33" s="299"/>
    </row>
    <row r="34" spans="1:11" ht="15.75" customHeight="1" x14ac:dyDescent="0.25">
      <c r="A34" s="293"/>
      <c r="B34" s="126"/>
      <c r="C34" s="300"/>
      <c r="D34" s="302"/>
      <c r="E34" s="302"/>
      <c r="F34" s="301"/>
      <c r="G34" s="301"/>
      <c r="H34" s="301"/>
      <c r="I34" s="301"/>
      <c r="J34" s="125"/>
      <c r="K34" s="299"/>
    </row>
    <row r="35" spans="1:11" ht="15.75" customHeight="1" x14ac:dyDescent="0.25">
      <c r="A35" s="293"/>
      <c r="B35" s="126"/>
      <c r="C35" s="300"/>
      <c r="D35" s="302"/>
      <c r="E35" s="302"/>
      <c r="F35" s="301"/>
      <c r="G35" s="301"/>
      <c r="H35" s="301"/>
      <c r="I35" s="301"/>
      <c r="J35" s="125"/>
      <c r="K35" s="299"/>
    </row>
    <row r="36" spans="1:11" ht="15.75" customHeight="1" x14ac:dyDescent="0.25">
      <c r="A36" s="293"/>
      <c r="B36" s="135" t="s">
        <v>522</v>
      </c>
      <c r="C36" s="300">
        <f t="shared" ref="C36:I36" si="1">+C33</f>
        <v>83137</v>
      </c>
      <c r="D36" s="300">
        <f t="shared" si="1"/>
        <v>20546</v>
      </c>
      <c r="E36" s="300">
        <f t="shared" si="1"/>
        <v>18608</v>
      </c>
      <c r="F36" s="300">
        <f t="shared" si="1"/>
        <v>356</v>
      </c>
      <c r="G36" s="300">
        <f t="shared" si="1"/>
        <v>383</v>
      </c>
      <c r="H36" s="301">
        <f t="shared" si="1"/>
        <v>0.63981068185316303</v>
      </c>
      <c r="I36" s="301">
        <f t="shared" si="1"/>
        <v>0.59470653456847522</v>
      </c>
      <c r="J36" s="125"/>
      <c r="K36" s="299"/>
    </row>
    <row r="37" spans="1:11" ht="15.75" customHeight="1" x14ac:dyDescent="0.25">
      <c r="A37" s="293"/>
      <c r="B37" s="135" t="s">
        <v>523</v>
      </c>
      <c r="C37" s="300">
        <v>81872</v>
      </c>
      <c r="D37" s="300">
        <v>0</v>
      </c>
      <c r="E37" s="300">
        <v>0</v>
      </c>
      <c r="F37" s="302">
        <v>341</v>
      </c>
      <c r="G37" s="302">
        <v>356</v>
      </c>
      <c r="H37" s="301">
        <f>IF(F37=0,0,$C37/(F37*365))</f>
        <v>0.65779134696501029</v>
      </c>
      <c r="I37" s="301">
        <f>IF(G37=0,0,$C37/(G37*365))</f>
        <v>0.63007541942434975</v>
      </c>
      <c r="J37" s="125"/>
      <c r="K37" s="299"/>
    </row>
    <row r="38" spans="1:11" ht="15.75" customHeight="1" x14ac:dyDescent="0.25">
      <c r="A38" s="293"/>
      <c r="B38" s="135" t="s">
        <v>524</v>
      </c>
      <c r="C38" s="300">
        <f t="shared" ref="C38:I38" si="2">+C36-C37</f>
        <v>1265</v>
      </c>
      <c r="D38" s="300">
        <f t="shared" si="2"/>
        <v>20546</v>
      </c>
      <c r="E38" s="300">
        <f t="shared" si="2"/>
        <v>18608</v>
      </c>
      <c r="F38" s="300">
        <f t="shared" si="2"/>
        <v>15</v>
      </c>
      <c r="G38" s="300">
        <f t="shared" si="2"/>
        <v>27</v>
      </c>
      <c r="H38" s="301">
        <f t="shared" si="2"/>
        <v>-1.798066511184726E-2</v>
      </c>
      <c r="I38" s="301">
        <f t="shared" si="2"/>
        <v>-3.5368884855874527E-2</v>
      </c>
      <c r="J38" s="125"/>
      <c r="K38" s="299"/>
    </row>
    <row r="39" spans="1:11" ht="15.75" customHeight="1" x14ac:dyDescent="0.25">
      <c r="A39" s="293"/>
      <c r="B39" s="153"/>
      <c r="C39" s="303"/>
      <c r="D39" s="303"/>
      <c r="E39" s="303"/>
      <c r="F39" s="301"/>
      <c r="G39" s="301"/>
      <c r="H39" s="301"/>
      <c r="I39" s="301"/>
      <c r="J39" s="125"/>
      <c r="K39" s="299"/>
    </row>
    <row r="40" spans="1:11" ht="15.75" customHeight="1" x14ac:dyDescent="0.25">
      <c r="A40" s="293"/>
      <c r="B40" s="135" t="s">
        <v>525</v>
      </c>
      <c r="C40" s="148">
        <f t="shared" ref="C40:I40" si="3">IF(C37=0,0,C38/C37)</f>
        <v>1.545094782098886E-2</v>
      </c>
      <c r="D40" s="148">
        <f t="shared" si="3"/>
        <v>0</v>
      </c>
      <c r="E40" s="148">
        <f t="shared" si="3"/>
        <v>0</v>
      </c>
      <c r="F40" s="148">
        <f t="shared" si="3"/>
        <v>4.398826979472141E-2</v>
      </c>
      <c r="G40" s="148">
        <f t="shared" si="3"/>
        <v>7.5842696629213488E-2</v>
      </c>
      <c r="H40" s="148">
        <f t="shared" si="3"/>
        <v>-2.7334906722030355E-2</v>
      </c>
      <c r="I40" s="148">
        <f t="shared" si="3"/>
        <v>-5.6134367038454362E-2</v>
      </c>
      <c r="J40" s="202"/>
      <c r="K40" s="299"/>
    </row>
    <row r="41" spans="1:11" ht="15.75" customHeight="1" x14ac:dyDescent="0.25">
      <c r="A41" s="200"/>
      <c r="B41" s="200"/>
      <c r="C41" s="200"/>
      <c r="D41" s="200"/>
      <c r="E41" s="200"/>
      <c r="F41" s="200"/>
      <c r="G41" s="200"/>
      <c r="H41" s="200"/>
      <c r="I41" s="200"/>
      <c r="J41" s="125"/>
      <c r="K41" s="299"/>
    </row>
    <row r="42" spans="1:11" ht="15.75" customHeight="1" x14ac:dyDescent="0.25">
      <c r="A42" s="60"/>
      <c r="B42" s="295" t="s">
        <v>526</v>
      </c>
      <c r="C42" s="295">
        <v>464</v>
      </c>
      <c r="D42" s="60"/>
      <c r="E42" s="60"/>
      <c r="F42" s="60"/>
      <c r="G42" s="60"/>
      <c r="H42" s="60"/>
      <c r="I42" s="60"/>
      <c r="J42" s="8"/>
      <c r="K42" s="21"/>
    </row>
    <row r="43" spans="1:11" ht="15.7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8"/>
      <c r="K43" s="21"/>
    </row>
    <row r="44" spans="1:11" ht="15.75" customHeight="1" x14ac:dyDescent="0.25">
      <c r="A44" s="304" t="s">
        <v>527</v>
      </c>
      <c r="B44" s="305"/>
      <c r="C44" s="125"/>
      <c r="D44" s="125"/>
      <c r="E44" s="125"/>
      <c r="F44" s="125"/>
      <c r="G44" s="125"/>
      <c r="H44" s="125"/>
      <c r="I44" s="125"/>
      <c r="J44" s="125"/>
      <c r="K44" s="299"/>
    </row>
    <row r="45" spans="1:11" ht="15.75" customHeight="1" x14ac:dyDescent="0.25">
      <c r="A45" s="304" t="s">
        <v>507</v>
      </c>
      <c r="B45" s="305"/>
      <c r="C45" s="125"/>
      <c r="D45" s="125"/>
      <c r="E45" s="125"/>
      <c r="F45" s="125"/>
      <c r="G45" s="125"/>
      <c r="H45" s="125"/>
      <c r="I45" s="125"/>
      <c r="J45" s="125"/>
      <c r="K45" s="299"/>
    </row>
    <row r="46" spans="1:11" ht="15.75" customHeight="1" x14ac:dyDescent="0.25">
      <c r="A46" s="306"/>
      <c r="B46" s="305"/>
      <c r="C46" s="305"/>
      <c r="D46" s="305"/>
      <c r="E46" s="305"/>
      <c r="F46" s="305"/>
      <c r="G46" s="305"/>
      <c r="H46" s="305"/>
      <c r="I46" s="305"/>
    </row>
    <row r="47" spans="1:11" ht="15" customHeight="1" x14ac:dyDescent="0.25">
      <c r="B47" s="26"/>
      <c r="C47" s="48"/>
    </row>
  </sheetData>
  <printOptions horizontalCentered="1" gridLines="1"/>
  <pageMargins left="0.5" right="0.5" top="0.5" bottom="0.5" header="0.25" footer="0.25"/>
  <pageSetup paperSize="9" scale="76" orientation="landscape" horizontalDpi="1200" verticalDpi="1200"/>
  <headerFooter>
    <oddHeader>&amp;LOFFICE OF HEALTH CARE ACCESS&amp;CTWELVE MONTHS ACTUAL FILING&amp;RTHE HOSPITAL OF CENTRAL CONNECTICUT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528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529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530</v>
      </c>
      <c r="C12" s="296">
        <v>10911</v>
      </c>
      <c r="D12" s="296">
        <v>8346</v>
      </c>
      <c r="E12" s="296">
        <f>+D12-C12</f>
        <v>-2565</v>
      </c>
      <c r="F12" s="316">
        <f>IF(C12=0,0,+E12/C12)</f>
        <v>-0.23508386032444323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531</v>
      </c>
      <c r="C13" s="296">
        <v>8947</v>
      </c>
      <c r="D13" s="296">
        <v>7165</v>
      </c>
      <c r="E13" s="296">
        <f>+D13-C13</f>
        <v>-1782</v>
      </c>
      <c r="F13" s="316">
        <f>IF(C13=0,0,+E13/C13)</f>
        <v>-0.19917290711970492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532</v>
      </c>
      <c r="C14" s="296">
        <v>15336</v>
      </c>
      <c r="D14" s="296">
        <v>14456</v>
      </c>
      <c r="E14" s="296">
        <f>+D14-C14</f>
        <v>-880</v>
      </c>
      <c r="F14" s="316">
        <f>IF(C14=0,0,+E14/C14)</f>
        <v>-5.738132498695879E-2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533</v>
      </c>
      <c r="C15" s="296">
        <v>0</v>
      </c>
      <c r="D15" s="296">
        <v>0</v>
      </c>
      <c r="E15" s="296">
        <f>+D15-C15</f>
        <v>0</v>
      </c>
      <c r="F15" s="316">
        <f>IF(C15=0,0,+E15/C15)</f>
        <v>0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534</v>
      </c>
      <c r="C16" s="300">
        <f>SUM(C12:C15)</f>
        <v>35194</v>
      </c>
      <c r="D16" s="300">
        <f>SUM(D12:D15)</f>
        <v>29967</v>
      </c>
      <c r="E16" s="300">
        <f>+D16-C16</f>
        <v>-5227</v>
      </c>
      <c r="F16" s="309">
        <f>IF(C16=0,0,+E16/C16)</f>
        <v>-0.14851963402852758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535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530</v>
      </c>
      <c r="C19" s="296">
        <v>315</v>
      </c>
      <c r="D19" s="296">
        <v>327</v>
      </c>
      <c r="E19" s="296">
        <f>+D19-C19</f>
        <v>12</v>
      </c>
      <c r="F19" s="316">
        <f>IF(C19=0,0,+E19/C19)</f>
        <v>3.8095238095238099E-2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531</v>
      </c>
      <c r="C20" s="296">
        <v>3193</v>
      </c>
      <c r="D20" s="296">
        <v>3546</v>
      </c>
      <c r="E20" s="296">
        <f>+D20-C20</f>
        <v>353</v>
      </c>
      <c r="F20" s="316">
        <f>IF(C20=0,0,+E20/C20)</f>
        <v>0.11055433761352959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532</v>
      </c>
      <c r="C21" s="296">
        <v>25</v>
      </c>
      <c r="D21" s="296">
        <v>67</v>
      </c>
      <c r="E21" s="296">
        <f>+D21-C21</f>
        <v>42</v>
      </c>
      <c r="F21" s="316">
        <f>IF(C21=0,0,+E21/C21)</f>
        <v>1.68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533</v>
      </c>
      <c r="C22" s="296">
        <v>3432</v>
      </c>
      <c r="D22" s="296">
        <v>3763</v>
      </c>
      <c r="E22" s="296">
        <f>+D22-C22</f>
        <v>331</v>
      </c>
      <c r="F22" s="316">
        <f>IF(C22=0,0,+E22/C22)</f>
        <v>9.6445221445221441E-2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536</v>
      </c>
      <c r="C23" s="300">
        <f>SUM(C19:C22)</f>
        <v>6965</v>
      </c>
      <c r="D23" s="300">
        <f>SUM(D19:D22)</f>
        <v>7703</v>
      </c>
      <c r="E23" s="300">
        <f>+D23-C23</f>
        <v>738</v>
      </c>
      <c r="F23" s="309">
        <f>IF(C23=0,0,+E23/C23)</f>
        <v>0.10595836324479541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537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530</v>
      </c>
      <c r="C26" s="296">
        <v>0</v>
      </c>
      <c r="D26" s="296">
        <v>0</v>
      </c>
      <c r="E26" s="296">
        <f>+D26-C26</f>
        <v>0</v>
      </c>
      <c r="F26" s="316">
        <f>IF(C26=0,0,+E26/C26)</f>
        <v>0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531</v>
      </c>
      <c r="C27" s="296">
        <v>0</v>
      </c>
      <c r="D27" s="296">
        <v>0</v>
      </c>
      <c r="E27" s="296">
        <f>+D27-C27</f>
        <v>0</v>
      </c>
      <c r="F27" s="316">
        <f>IF(C27=0,0,+E27/C27)</f>
        <v>0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532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533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538</v>
      </c>
      <c r="C30" s="300">
        <f>SUM(C26:C29)</f>
        <v>0</v>
      </c>
      <c r="D30" s="300">
        <f>SUM(D26:D29)</f>
        <v>0</v>
      </c>
      <c r="E30" s="300">
        <f>+D30-C30</f>
        <v>0</v>
      </c>
      <c r="F30" s="309">
        <f>IF(C30=0,0,+E30/C30)</f>
        <v>0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321</v>
      </c>
      <c r="B32" s="291" t="s">
        <v>539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530</v>
      </c>
      <c r="C33" s="296">
        <v>34</v>
      </c>
      <c r="D33" s="296">
        <v>20</v>
      </c>
      <c r="E33" s="296">
        <f>+D33-C33</f>
        <v>-14</v>
      </c>
      <c r="F33" s="316">
        <f>IF(C33=0,0,+E33/C33)</f>
        <v>-0.41176470588235292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531</v>
      </c>
      <c r="C34" s="296">
        <v>333</v>
      </c>
      <c r="D34" s="296">
        <v>373</v>
      </c>
      <c r="E34" s="296">
        <f>+D34-C34</f>
        <v>40</v>
      </c>
      <c r="F34" s="316">
        <f>IF(C34=0,0,+E34/C34)</f>
        <v>0.12012012012012012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532</v>
      </c>
      <c r="C35" s="296">
        <v>2</v>
      </c>
      <c r="D35" s="296">
        <v>1</v>
      </c>
      <c r="E35" s="296">
        <f>+D35-C35</f>
        <v>-1</v>
      </c>
      <c r="F35" s="316">
        <f>IF(C35=0,0,+E35/C35)</f>
        <v>-0.5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533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540</v>
      </c>
      <c r="C37" s="300">
        <f>SUM(C33:C36)</f>
        <v>369</v>
      </c>
      <c r="D37" s="300">
        <f>SUM(D33:D36)</f>
        <v>394</v>
      </c>
      <c r="E37" s="300">
        <f>+D37-C37</f>
        <v>25</v>
      </c>
      <c r="F37" s="309">
        <f>IF(C37=0,0,+E37/C37)</f>
        <v>6.7750677506775062E-2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541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542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342</v>
      </c>
      <c r="B42" s="291" t="s">
        <v>543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544</v>
      </c>
      <c r="C43" s="296">
        <v>218</v>
      </c>
      <c r="D43" s="296">
        <v>313</v>
      </c>
      <c r="E43" s="296">
        <f>+D43-C43</f>
        <v>95</v>
      </c>
      <c r="F43" s="316">
        <f>IF(C43=0,0,+E43/C43)</f>
        <v>0.43577981651376146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545</v>
      </c>
      <c r="C44" s="296">
        <v>6585</v>
      </c>
      <c r="D44" s="296">
        <v>6533</v>
      </c>
      <c r="E44" s="296">
        <f>+D44-C44</f>
        <v>-52</v>
      </c>
      <c r="F44" s="316">
        <f>IF(C44=0,0,+E44/C44)</f>
        <v>-7.8967350037965067E-3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546</v>
      </c>
      <c r="C45" s="300">
        <f>SUM(C43:C44)</f>
        <v>6803</v>
      </c>
      <c r="D45" s="300">
        <f>SUM(D43:D44)</f>
        <v>6846</v>
      </c>
      <c r="E45" s="300">
        <f>+D45-C45</f>
        <v>43</v>
      </c>
      <c r="F45" s="309">
        <f>IF(C45=0,0,+E45/C45)</f>
        <v>6.3207408496251654E-3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354</v>
      </c>
      <c r="B47" s="291" t="s">
        <v>547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544</v>
      </c>
      <c r="C48" s="296">
        <v>282</v>
      </c>
      <c r="D48" s="296">
        <v>107</v>
      </c>
      <c r="E48" s="296">
        <f>+D48-C48</f>
        <v>-175</v>
      </c>
      <c r="F48" s="316">
        <f>IF(C48=0,0,+E48/C48)</f>
        <v>-0.62056737588652477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545</v>
      </c>
      <c r="C49" s="296">
        <v>294</v>
      </c>
      <c r="D49" s="296">
        <v>76</v>
      </c>
      <c r="E49" s="296">
        <f>+D49-C49</f>
        <v>-218</v>
      </c>
      <c r="F49" s="316">
        <f>IF(C49=0,0,+E49/C49)</f>
        <v>-0.74149659863945583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548</v>
      </c>
      <c r="C50" s="300">
        <f>SUM(C48:C49)</f>
        <v>576</v>
      </c>
      <c r="D50" s="300">
        <f>SUM(D48:D49)</f>
        <v>183</v>
      </c>
      <c r="E50" s="300">
        <f>+D50-C50</f>
        <v>-393</v>
      </c>
      <c r="F50" s="309">
        <f>IF(C50=0,0,+E50/C50)</f>
        <v>-0.68229166666666663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366</v>
      </c>
      <c r="B52" s="291" t="s">
        <v>549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550</v>
      </c>
      <c r="C53" s="296">
        <v>112</v>
      </c>
      <c r="D53" s="296">
        <v>132</v>
      </c>
      <c r="E53" s="296">
        <f>+D53-C53</f>
        <v>20</v>
      </c>
      <c r="F53" s="316">
        <f>IF(C53=0,0,+E53/C53)</f>
        <v>0.17857142857142858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551</v>
      </c>
      <c r="C54" s="296">
        <v>0</v>
      </c>
      <c r="D54" s="296">
        <v>0</v>
      </c>
      <c r="E54" s="296">
        <f>+D54-C54</f>
        <v>0</v>
      </c>
      <c r="F54" s="316">
        <f>IF(C54=0,0,+E54/C54)</f>
        <v>0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552</v>
      </c>
      <c r="C55" s="300">
        <f>SUM(C53:C54)</f>
        <v>112</v>
      </c>
      <c r="D55" s="300">
        <f>SUM(D53:D54)</f>
        <v>132</v>
      </c>
      <c r="E55" s="300">
        <f>+D55-C55</f>
        <v>20</v>
      </c>
      <c r="F55" s="309">
        <f>IF(C55=0,0,+E55/C55)</f>
        <v>0.17857142857142858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370</v>
      </c>
      <c r="B57" s="291" t="s">
        <v>553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554</v>
      </c>
      <c r="C58" s="296">
        <v>0</v>
      </c>
      <c r="D58" s="296">
        <v>0</v>
      </c>
      <c r="E58" s="296">
        <f>+D58-C58</f>
        <v>0</v>
      </c>
      <c r="F58" s="316">
        <f>IF(C58=0,0,+E58/C58)</f>
        <v>0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555</v>
      </c>
      <c r="C59" s="296">
        <v>0</v>
      </c>
      <c r="D59" s="296">
        <v>0</v>
      </c>
      <c r="E59" s="296">
        <f>+D59-C59</f>
        <v>0</v>
      </c>
      <c r="F59" s="316">
        <f>IF(C59=0,0,+E59/C59)</f>
        <v>0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556</v>
      </c>
      <c r="C60" s="300">
        <f>SUM(C58:C59)</f>
        <v>0</v>
      </c>
      <c r="D60" s="300">
        <f>SUM(D58:D59)</f>
        <v>0</v>
      </c>
      <c r="E60" s="300">
        <f>SUM(E58:E59)</f>
        <v>0</v>
      </c>
      <c r="F60" s="309">
        <f>IF(C60=0,0,+E60/C60)</f>
        <v>0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557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558</v>
      </c>
      <c r="C63" s="296">
        <v>4254</v>
      </c>
      <c r="D63" s="296">
        <v>3964</v>
      </c>
      <c r="E63" s="296">
        <f>+D63-C63</f>
        <v>-290</v>
      </c>
      <c r="F63" s="316">
        <f>IF(C63=0,0,+E63/C63)</f>
        <v>-6.8171133051245891E-2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559</v>
      </c>
      <c r="C64" s="296">
        <v>8486</v>
      </c>
      <c r="D64" s="296">
        <v>8021</v>
      </c>
      <c r="E64" s="296">
        <f>+D64-C64</f>
        <v>-465</v>
      </c>
      <c r="F64" s="316">
        <f>IF(C64=0,0,+E64/C64)</f>
        <v>-5.4796134810275746E-2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560</v>
      </c>
      <c r="C65" s="300">
        <f>SUM(C63:C64)</f>
        <v>12740</v>
      </c>
      <c r="D65" s="300">
        <f>SUM(D63:D64)</f>
        <v>11985</v>
      </c>
      <c r="E65" s="300">
        <f>+D65-C65</f>
        <v>-755</v>
      </c>
      <c r="F65" s="309">
        <f>IF(C65=0,0,+E65/C65)</f>
        <v>-5.9262166405023547E-2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396</v>
      </c>
      <c r="B67" s="291" t="s">
        <v>561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562</v>
      </c>
      <c r="C68" s="296">
        <v>1325</v>
      </c>
      <c r="D68" s="296">
        <v>1363</v>
      </c>
      <c r="E68" s="296">
        <f>+D68-C68</f>
        <v>38</v>
      </c>
      <c r="F68" s="316">
        <f>IF(C68=0,0,+E68/C68)</f>
        <v>2.8679245283018868E-2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563</v>
      </c>
      <c r="C69" s="296">
        <v>7037</v>
      </c>
      <c r="D69" s="296">
        <v>6679</v>
      </c>
      <c r="E69" s="296">
        <f>+D69-C69</f>
        <v>-358</v>
      </c>
      <c r="F69" s="318">
        <f>IF(C69=0,0,+E69/C69)</f>
        <v>-5.0873951968168254E-2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564</v>
      </c>
      <c r="C70" s="300">
        <f>SUM(C68:C69)</f>
        <v>8362</v>
      </c>
      <c r="D70" s="300">
        <f>SUM(D68:D69)</f>
        <v>8042</v>
      </c>
      <c r="E70" s="300">
        <f>+D70-C70</f>
        <v>-320</v>
      </c>
      <c r="F70" s="309">
        <f>IF(C70=0,0,+E70/C70)</f>
        <v>-3.8268356852427646E-2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412</v>
      </c>
      <c r="B72" s="291" t="s">
        <v>565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566</v>
      </c>
      <c r="C73" s="319">
        <v>15051</v>
      </c>
      <c r="D73" s="319">
        <v>14219</v>
      </c>
      <c r="E73" s="296">
        <f>+D73-C73</f>
        <v>-832</v>
      </c>
      <c r="F73" s="316">
        <f>IF(C73=0,0,+E73/C73)</f>
        <v>-5.5278719021991891E-2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567</v>
      </c>
      <c r="C74" s="319">
        <v>90611</v>
      </c>
      <c r="D74" s="319">
        <v>94835</v>
      </c>
      <c r="E74" s="296">
        <f>+D74-C74</f>
        <v>4224</v>
      </c>
      <c r="F74" s="316">
        <f>IF(C74=0,0,+E74/C74)</f>
        <v>4.6616856673030865E-2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428</v>
      </c>
      <c r="C75" s="300">
        <f>SUM(C73:C74)</f>
        <v>105662</v>
      </c>
      <c r="D75" s="300">
        <f>SUM(D73:D74)</f>
        <v>109054</v>
      </c>
      <c r="E75" s="300">
        <f>SUM(E73:E74)</f>
        <v>3392</v>
      </c>
      <c r="F75" s="309">
        <f>IF(C75=0,0,+E75/C75)</f>
        <v>3.2102364142264958E-2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421</v>
      </c>
      <c r="B78" s="291" t="s">
        <v>568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569</v>
      </c>
      <c r="C79" s="319">
        <v>22258</v>
      </c>
      <c r="D79" s="319">
        <v>16977</v>
      </c>
      <c r="E79" s="296">
        <f t="shared" ref="E79:E84" si="0">+D79-C79</f>
        <v>-5281</v>
      </c>
      <c r="F79" s="316">
        <f t="shared" ref="F79:F84" si="1">IF(C79=0,0,+E79/C79)</f>
        <v>-0.2372630065594393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570</v>
      </c>
      <c r="C80" s="319">
        <v>0</v>
      </c>
      <c r="D80" s="319">
        <v>0</v>
      </c>
      <c r="E80" s="296">
        <f t="shared" si="0"/>
        <v>0</v>
      </c>
      <c r="F80" s="316">
        <f t="shared" si="1"/>
        <v>0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571</v>
      </c>
      <c r="C81" s="319">
        <v>63401</v>
      </c>
      <c r="D81" s="319">
        <v>60591</v>
      </c>
      <c r="E81" s="296">
        <f t="shared" si="0"/>
        <v>-2810</v>
      </c>
      <c r="F81" s="316">
        <f t="shared" si="1"/>
        <v>-4.432106749104904E-2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572</v>
      </c>
      <c r="C82" s="319">
        <v>4196</v>
      </c>
      <c r="D82" s="319">
        <v>4204</v>
      </c>
      <c r="E82" s="296">
        <f t="shared" si="0"/>
        <v>8</v>
      </c>
      <c r="F82" s="316">
        <f t="shared" si="1"/>
        <v>1.9065776930409914E-3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573</v>
      </c>
      <c r="C83" s="319">
        <v>16418</v>
      </c>
      <c r="D83" s="319">
        <v>16344</v>
      </c>
      <c r="E83" s="296">
        <f t="shared" si="0"/>
        <v>-74</v>
      </c>
      <c r="F83" s="316">
        <f t="shared" si="1"/>
        <v>-4.5072481422828601E-3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574</v>
      </c>
      <c r="C84" s="320">
        <f>SUM(C79:C83)</f>
        <v>106273</v>
      </c>
      <c r="D84" s="320">
        <f>SUM(D79:D83)</f>
        <v>98116</v>
      </c>
      <c r="E84" s="300">
        <f t="shared" si="0"/>
        <v>-8157</v>
      </c>
      <c r="F84" s="309">
        <f t="shared" si="1"/>
        <v>-7.6755149473525727E-2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424</v>
      </c>
      <c r="B86" s="291" t="s">
        <v>575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576</v>
      </c>
      <c r="C87" s="322">
        <v>34694</v>
      </c>
      <c r="D87" s="322">
        <v>33770</v>
      </c>
      <c r="E87" s="323">
        <f t="shared" ref="E87:E92" si="2">+D87-C87</f>
        <v>-924</v>
      </c>
      <c r="F87" s="318">
        <f t="shared" ref="F87:F92" si="3">IF(C87=0,0,+E87/C87)</f>
        <v>-2.6632847178186429E-2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263</v>
      </c>
      <c r="C88" s="322">
        <v>6010</v>
      </c>
      <c r="D88" s="322">
        <v>6485</v>
      </c>
      <c r="E88" s="296">
        <f t="shared" si="2"/>
        <v>475</v>
      </c>
      <c r="F88" s="316">
        <f t="shared" si="3"/>
        <v>7.9034941763727121E-2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577</v>
      </c>
      <c r="C89" s="322">
        <v>3929</v>
      </c>
      <c r="D89" s="322">
        <v>3050</v>
      </c>
      <c r="E89" s="296">
        <f t="shared" si="2"/>
        <v>-879</v>
      </c>
      <c r="F89" s="316">
        <f t="shared" si="3"/>
        <v>-0.22372104861287859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578</v>
      </c>
      <c r="C90" s="322">
        <v>349</v>
      </c>
      <c r="D90" s="322">
        <v>297</v>
      </c>
      <c r="E90" s="296">
        <f t="shared" si="2"/>
        <v>-52</v>
      </c>
      <c r="F90" s="316">
        <f t="shared" si="3"/>
        <v>-0.14899713467048711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579</v>
      </c>
      <c r="C91" s="322">
        <v>31555</v>
      </c>
      <c r="D91" s="322">
        <v>32049</v>
      </c>
      <c r="E91" s="296">
        <f t="shared" si="2"/>
        <v>494</v>
      </c>
      <c r="F91" s="316">
        <f t="shared" si="3"/>
        <v>1.5655205197274601E-2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580</v>
      </c>
      <c r="C92" s="320">
        <f>SUM(C87:C91)</f>
        <v>76537</v>
      </c>
      <c r="D92" s="320">
        <f>SUM(D87:D91)</f>
        <v>75651</v>
      </c>
      <c r="E92" s="300">
        <f t="shared" si="2"/>
        <v>-886</v>
      </c>
      <c r="F92" s="309">
        <f t="shared" si="3"/>
        <v>-1.1576100448149261E-2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581</v>
      </c>
      <c r="B95" s="291" t="s">
        <v>582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583</v>
      </c>
      <c r="C96" s="325">
        <v>634.29999999999995</v>
      </c>
      <c r="D96" s="325">
        <v>627.5</v>
      </c>
      <c r="E96" s="326">
        <f>+D96-C96</f>
        <v>-6.7999999999999545</v>
      </c>
      <c r="F96" s="316">
        <f>IF(C96=0,0,+E96/C96)</f>
        <v>-1.0720479268484873E-2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584</v>
      </c>
      <c r="C97" s="325">
        <v>111</v>
      </c>
      <c r="D97" s="325">
        <v>109.6</v>
      </c>
      <c r="E97" s="326">
        <f>+D97-C97</f>
        <v>-1.4000000000000057</v>
      </c>
      <c r="F97" s="316">
        <f>IF(C97=0,0,+E97/C97)</f>
        <v>-1.2612612612612664E-2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585</v>
      </c>
      <c r="C98" s="325">
        <v>1420.8</v>
      </c>
      <c r="D98" s="325">
        <v>1434.9</v>
      </c>
      <c r="E98" s="326">
        <f>+D98-C98</f>
        <v>14.100000000000136</v>
      </c>
      <c r="F98" s="316">
        <f>IF(C98=0,0,+E98/C98)</f>
        <v>9.9239864864865829E-3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586</v>
      </c>
      <c r="C99" s="327">
        <f>SUM(C96:C98)</f>
        <v>2166.1</v>
      </c>
      <c r="D99" s="327">
        <f>SUM(D96:D98)</f>
        <v>2172</v>
      </c>
      <c r="E99" s="327">
        <f>+D99-C99</f>
        <v>5.9000000000000909</v>
      </c>
      <c r="F99" s="309">
        <f>IF(C99=0,0,+E99/C99)</f>
        <v>2.7237892987397126E-3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/>
  <headerFooter>
    <oddHeader>&amp;LOFFICE OF HEALTH CARE ACCESS&amp;CTWELVE MONTHS ACTUAL FILING&amp;RTHE HOSPITAL OF CENTRAL CONNECTICUT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="75" zoomScaleSheetLayoutView="90" workbookViewId="0">
      <selection sqref="A1:F1"/>
    </sheetView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587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559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588</v>
      </c>
      <c r="C12" s="296">
        <v>8486</v>
      </c>
      <c r="D12" s="296">
        <v>8021</v>
      </c>
      <c r="E12" s="296">
        <f>+D12-C12</f>
        <v>-465</v>
      </c>
      <c r="F12" s="316">
        <f>IF(C12=0,0,+E12/C12)</f>
        <v>-5.4796134810275746E-2</v>
      </c>
    </row>
    <row r="13" spans="1:16" ht="15.75" customHeight="1" x14ac:dyDescent="0.25">
      <c r="A13" s="294"/>
      <c r="B13" s="135" t="s">
        <v>589</v>
      </c>
      <c r="C13" s="300">
        <f>SUM(C11:C12)</f>
        <v>8486</v>
      </c>
      <c r="D13" s="300">
        <f>SUM(D11:D12)</f>
        <v>8021</v>
      </c>
      <c r="E13" s="300">
        <f>+D13-C13</f>
        <v>-465</v>
      </c>
      <c r="F13" s="309">
        <f>IF(C13=0,0,+E13/C13)</f>
        <v>-5.4796134810275746E-2</v>
      </c>
    </row>
    <row r="14" spans="1:16" ht="15.75" customHeight="1" x14ac:dyDescent="0.25">
      <c r="A14" s="293"/>
      <c r="B14" s="135"/>
      <c r="C14" s="300"/>
      <c r="D14" s="300"/>
      <c r="E14" s="300"/>
      <c r="F14" s="309"/>
    </row>
    <row r="15" spans="1:16" ht="15.75" customHeight="1" x14ac:dyDescent="0.25">
      <c r="A15" s="293" t="s">
        <v>124</v>
      </c>
      <c r="B15" s="291" t="s">
        <v>563</v>
      </c>
      <c r="C15" s="296"/>
      <c r="D15" s="296"/>
      <c r="E15" s="296"/>
      <c r="F15" s="316"/>
    </row>
    <row r="16" spans="1:16" ht="15.75" customHeight="1" x14ac:dyDescent="0.2">
      <c r="A16" s="294">
        <v>1</v>
      </c>
      <c r="B16" s="295" t="s">
        <v>588</v>
      </c>
      <c r="C16" s="296">
        <v>7037</v>
      </c>
      <c r="D16" s="296">
        <v>6679</v>
      </c>
      <c r="E16" s="296">
        <f>+D16-C16</f>
        <v>-358</v>
      </c>
      <c r="F16" s="316">
        <f>IF(C16=0,0,+E16/C16)</f>
        <v>-5.0873951968168254E-2</v>
      </c>
    </row>
    <row r="17" spans="1:6" ht="15.75" customHeight="1" x14ac:dyDescent="0.25">
      <c r="A17" s="294"/>
      <c r="B17" s="135" t="s">
        <v>590</v>
      </c>
      <c r="C17" s="300">
        <f>SUM(C15:C16)</f>
        <v>7037</v>
      </c>
      <c r="D17" s="300">
        <f>SUM(D15:D16)</f>
        <v>6679</v>
      </c>
      <c r="E17" s="300">
        <f>+D17-C17</f>
        <v>-358</v>
      </c>
      <c r="F17" s="309">
        <f>IF(C17=0,0,+E17/C17)</f>
        <v>-5.0873951968168254E-2</v>
      </c>
    </row>
    <row r="18" spans="1:6" ht="15.75" customHeight="1" x14ac:dyDescent="0.25">
      <c r="A18" s="293"/>
      <c r="B18" s="135"/>
      <c r="C18" s="300"/>
      <c r="D18" s="300"/>
      <c r="E18" s="300"/>
      <c r="F18" s="309"/>
    </row>
    <row r="19" spans="1:6" ht="15.75" customHeight="1" x14ac:dyDescent="0.25">
      <c r="A19" s="293" t="s">
        <v>141</v>
      </c>
      <c r="B19" s="291" t="s">
        <v>591</v>
      </c>
      <c r="C19" s="296"/>
      <c r="D19" s="296"/>
      <c r="E19" s="296"/>
      <c r="F19" s="316"/>
    </row>
    <row r="20" spans="1:6" ht="15.75" customHeight="1" x14ac:dyDescent="0.2">
      <c r="A20" s="294">
        <v>1</v>
      </c>
      <c r="B20" s="295" t="s">
        <v>588</v>
      </c>
      <c r="C20" s="296">
        <v>90611</v>
      </c>
      <c r="D20" s="296">
        <v>94835</v>
      </c>
      <c r="E20" s="296">
        <f>+D20-C20</f>
        <v>4224</v>
      </c>
      <c r="F20" s="316">
        <f>IF(C20=0,0,+E20/C20)</f>
        <v>4.6616856673030865E-2</v>
      </c>
    </row>
    <row r="21" spans="1:6" ht="15.75" customHeight="1" x14ac:dyDescent="0.25">
      <c r="A21" s="294"/>
      <c r="B21" s="135" t="s">
        <v>592</v>
      </c>
      <c r="C21" s="300">
        <f>SUM(C19:C20)</f>
        <v>90611</v>
      </c>
      <c r="D21" s="300">
        <f>SUM(D19:D20)</f>
        <v>94835</v>
      </c>
      <c r="E21" s="300">
        <f>+D21-C21</f>
        <v>4224</v>
      </c>
      <c r="F21" s="309">
        <f>IF(C21=0,0,+E21/C21)</f>
        <v>4.6616856673030865E-2</v>
      </c>
    </row>
    <row r="22" spans="1:6" ht="15.75" customHeight="1" x14ac:dyDescent="0.25">
      <c r="A22" s="293"/>
      <c r="B22" s="135"/>
      <c r="C22" s="300"/>
      <c r="D22" s="300"/>
      <c r="E22" s="300"/>
      <c r="F22" s="309"/>
    </row>
    <row r="23" spans="1:6" ht="15.75" customHeight="1" x14ac:dyDescent="0.25">
      <c r="B23" s="699" t="s">
        <v>593</v>
      </c>
      <c r="C23" s="700"/>
      <c r="D23" s="700"/>
      <c r="E23" s="700"/>
      <c r="F23" s="701"/>
    </row>
    <row r="24" spans="1:6" ht="15.75" customHeight="1" x14ac:dyDescent="0.25">
      <c r="A24" s="293"/>
      <c r="B24" s="135"/>
      <c r="C24" s="300"/>
      <c r="D24" s="300"/>
      <c r="E24" s="300"/>
      <c r="F24" s="309"/>
    </row>
    <row r="25" spans="1:6" ht="15.75" customHeight="1" x14ac:dyDescent="0.25">
      <c r="B25" s="699" t="s">
        <v>594</v>
      </c>
      <c r="C25" s="700"/>
      <c r="D25" s="700"/>
      <c r="E25" s="700"/>
      <c r="F25" s="701"/>
    </row>
    <row r="26" spans="1:6" ht="15.75" customHeight="1" x14ac:dyDescent="0.25">
      <c r="A26" s="293"/>
      <c r="B26" s="135"/>
      <c r="C26" s="300"/>
      <c r="D26" s="300"/>
      <c r="E26" s="300"/>
      <c r="F26" s="309"/>
    </row>
    <row r="27" spans="1:6" ht="15.75" customHeight="1" x14ac:dyDescent="0.25">
      <c r="B27" s="699" t="s">
        <v>595</v>
      </c>
      <c r="C27" s="700"/>
      <c r="D27" s="700"/>
      <c r="E27" s="700"/>
      <c r="F27" s="701"/>
    </row>
    <row r="28" spans="1:6" ht="15.75" customHeight="1" x14ac:dyDescent="0.25">
      <c r="A28" s="293"/>
      <c r="B28" s="135"/>
      <c r="C28" s="300"/>
      <c r="D28" s="300"/>
      <c r="E28" s="300"/>
      <c r="F28" s="309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80" orientation="portrait" horizontalDpi="1200" verticalDpi="1200"/>
  <headerFooter>
    <oddHeader>&amp;LOFFICE OF HEALTH CARE ACCESS&amp;CTWELVE MONTHS ACTUAL FILING&amp;RTHE HOSPITAL OF CENTRAL CONNECTICUT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SheetLayoutView="80" workbookViewId="0">
      <selection sqref="A1:F1"/>
    </sheetView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596</v>
      </c>
      <c r="B2" s="704"/>
      <c r="C2" s="704"/>
      <c r="D2" s="704"/>
      <c r="E2" s="704"/>
      <c r="F2" s="705"/>
    </row>
    <row r="3" spans="1:21" ht="15.75" customHeight="1" x14ac:dyDescent="0.25">
      <c r="A3" s="703" t="s">
        <v>597</v>
      </c>
      <c r="B3" s="704"/>
      <c r="C3" s="704"/>
      <c r="D3" s="704"/>
      <c r="E3" s="704"/>
      <c r="F3" s="705"/>
    </row>
    <row r="4" spans="1:21" ht="15.75" customHeight="1" x14ac:dyDescent="0.25">
      <c r="A4" s="706" t="s">
        <v>598</v>
      </c>
      <c r="B4" s="707"/>
      <c r="C4" s="707"/>
      <c r="D4" s="707"/>
      <c r="E4" s="707"/>
      <c r="F4" s="708"/>
    </row>
    <row r="5" spans="1:21" ht="15.75" customHeight="1" x14ac:dyDescent="0.25">
      <c r="A5" s="706" t="s">
        <v>599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600</v>
      </c>
      <c r="D7" s="341" t="s">
        <v>600</v>
      </c>
      <c r="E7" s="341" t="s">
        <v>601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602</v>
      </c>
      <c r="D8" s="344" t="s">
        <v>603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604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605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606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607</v>
      </c>
      <c r="C15" s="361">
        <v>229942065</v>
      </c>
      <c r="D15" s="361">
        <v>254787684</v>
      </c>
      <c r="E15" s="361">
        <f t="shared" ref="E15:E24" si="0">D15-C15</f>
        <v>24845619</v>
      </c>
      <c r="F15" s="362">
        <f t="shared" ref="F15:F24" si="1">IF(C15=0,0,E15/C15)</f>
        <v>0.10805164770526002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608</v>
      </c>
      <c r="C16" s="361">
        <v>92780179</v>
      </c>
      <c r="D16" s="361">
        <v>104104559</v>
      </c>
      <c r="E16" s="361">
        <f t="shared" si="0"/>
        <v>11324380</v>
      </c>
      <c r="F16" s="362">
        <f t="shared" si="1"/>
        <v>0.12205602664336312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609</v>
      </c>
      <c r="C17" s="366">
        <f>IF(C15=0,0,C16/C15)</f>
        <v>0.40349371916791299</v>
      </c>
      <c r="D17" s="366">
        <f>IF(LN_IA1=0,0,LN_IA2/LN_IA1)</f>
        <v>0.40859337219769226</v>
      </c>
      <c r="E17" s="367">
        <f t="shared" si="0"/>
        <v>5.0996530297792719E-3</v>
      </c>
      <c r="F17" s="362">
        <f t="shared" si="1"/>
        <v>1.2638742036172967E-2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8738</v>
      </c>
      <c r="D18" s="369">
        <v>9651</v>
      </c>
      <c r="E18" s="369">
        <f t="shared" si="0"/>
        <v>913</v>
      </c>
      <c r="F18" s="362">
        <f t="shared" si="1"/>
        <v>0.10448615243762875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610</v>
      </c>
      <c r="C19" s="372">
        <v>1.3634299999999999</v>
      </c>
      <c r="D19" s="372">
        <v>1.3198799999999999</v>
      </c>
      <c r="E19" s="373">
        <f t="shared" si="0"/>
        <v>-4.3549999999999978E-2</v>
      </c>
      <c r="F19" s="362">
        <f t="shared" si="1"/>
        <v>-3.1941500480406018E-2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611</v>
      </c>
      <c r="C20" s="376">
        <f>C18*C19</f>
        <v>11913.651339999999</v>
      </c>
      <c r="D20" s="376">
        <f>LN_IA4*LN_IA5</f>
        <v>12738.16188</v>
      </c>
      <c r="E20" s="376">
        <f t="shared" si="0"/>
        <v>824.51054000000113</v>
      </c>
      <c r="F20" s="362">
        <f t="shared" si="1"/>
        <v>6.9207207468940518E-2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612</v>
      </c>
      <c r="C21" s="378">
        <f>IF(C20=0,0,C16/C20)</f>
        <v>7787.7198477759057</v>
      </c>
      <c r="D21" s="378">
        <f>IF(LN_IA6=0,0,LN_IA2/LN_IA6)</f>
        <v>8172.6515945328847</v>
      </c>
      <c r="E21" s="378">
        <f t="shared" si="0"/>
        <v>384.93174675697901</v>
      </c>
      <c r="F21" s="362">
        <f t="shared" si="1"/>
        <v>4.9428042389957266E-2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42359</v>
      </c>
      <c r="D22" s="369">
        <v>45378</v>
      </c>
      <c r="E22" s="369">
        <f t="shared" si="0"/>
        <v>3019</v>
      </c>
      <c r="F22" s="362">
        <f t="shared" si="1"/>
        <v>7.1271748624849501E-2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613</v>
      </c>
      <c r="C23" s="378">
        <f>IF(C22=0,0,C16/C22)</f>
        <v>2190.3297764347599</v>
      </c>
      <c r="D23" s="378">
        <f>IF(LN_IA8=0,0,LN_IA2/LN_IA8)</f>
        <v>2294.1636696196397</v>
      </c>
      <c r="E23" s="378">
        <f t="shared" si="0"/>
        <v>103.8338931848798</v>
      </c>
      <c r="F23" s="362">
        <f t="shared" si="1"/>
        <v>4.7405598144171758E-2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614</v>
      </c>
      <c r="C24" s="379">
        <f>IF(C18=0,0,C22/C18)</f>
        <v>4.8476768139162276</v>
      </c>
      <c r="D24" s="379">
        <f>IF(LN_IA4=0,0,LN_IA8/LN_IA4)</f>
        <v>4.7018961765620144</v>
      </c>
      <c r="E24" s="379">
        <f t="shared" si="0"/>
        <v>-0.14578063735421321</v>
      </c>
      <c r="F24" s="362">
        <f t="shared" si="1"/>
        <v>-3.0072268212212636E-2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615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616</v>
      </c>
      <c r="C27" s="361">
        <v>125477668</v>
      </c>
      <c r="D27" s="361">
        <v>130399003</v>
      </c>
      <c r="E27" s="361">
        <f t="shared" ref="E27:E32" si="2">D27-C27</f>
        <v>4921335</v>
      </c>
      <c r="F27" s="362">
        <f t="shared" ref="F27:F32" si="3">IF(C27=0,0,E27/C27)</f>
        <v>3.922080381666003E-2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617</v>
      </c>
      <c r="C28" s="361">
        <v>36115814</v>
      </c>
      <c r="D28" s="361">
        <v>33644970</v>
      </c>
      <c r="E28" s="361">
        <f t="shared" si="2"/>
        <v>-2470844</v>
      </c>
      <c r="F28" s="362">
        <f t="shared" si="3"/>
        <v>-6.8414462429117612E-2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618</v>
      </c>
      <c r="C29" s="366">
        <f>IF(C27=0,0,C28/C27)</f>
        <v>0.28782662744417598</v>
      </c>
      <c r="D29" s="366">
        <f>IF(LN_IA11=0,0,LN_IA12/LN_IA11)</f>
        <v>0.2580155463305191</v>
      </c>
      <c r="E29" s="367">
        <f t="shared" si="2"/>
        <v>-2.9811081113656879E-2</v>
      </c>
      <c r="F29" s="362">
        <f t="shared" si="3"/>
        <v>-0.10357304804760895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619</v>
      </c>
      <c r="C30" s="366">
        <f>IF(C15=0,0,C27/C15)</f>
        <v>0.54569253346489688</v>
      </c>
      <c r="D30" s="366">
        <f>IF(LN_IA1=0,0,LN_IA11/LN_IA1)</f>
        <v>0.51179476555860526</v>
      </c>
      <c r="E30" s="367">
        <f t="shared" si="2"/>
        <v>-3.389776790629162E-2</v>
      </c>
      <c r="F30" s="362">
        <f t="shared" si="3"/>
        <v>-6.2118804688523717E-2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620</v>
      </c>
      <c r="C31" s="376">
        <f>C30*C18</f>
        <v>4768.2613574162688</v>
      </c>
      <c r="D31" s="376">
        <f>LN_IA14*LN_IA4</f>
        <v>4939.3312824060995</v>
      </c>
      <c r="E31" s="376">
        <f t="shared" si="2"/>
        <v>171.06992498983072</v>
      </c>
      <c r="F31" s="362">
        <f t="shared" si="3"/>
        <v>3.5876792853176721E-2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621</v>
      </c>
      <c r="C32" s="378">
        <f>IF(C31=0,0,C28/C31)</f>
        <v>7574.2102399289879</v>
      </c>
      <c r="D32" s="378">
        <f>IF(LN_IA15=0,0,LN_IA12/LN_IA15)</f>
        <v>6811.6447503416912</v>
      </c>
      <c r="E32" s="378">
        <f t="shared" si="2"/>
        <v>-762.56548958729672</v>
      </c>
      <c r="F32" s="362">
        <f t="shared" si="3"/>
        <v>-0.10067920818559774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622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623</v>
      </c>
      <c r="C35" s="361">
        <f>C15+C27</f>
        <v>355419733</v>
      </c>
      <c r="D35" s="361">
        <f>LN_IA1+LN_IA11</f>
        <v>385186687</v>
      </c>
      <c r="E35" s="361">
        <f>D35-C35</f>
        <v>29766954</v>
      </c>
      <c r="F35" s="362">
        <f>IF(C35=0,0,E35/C35)</f>
        <v>8.3751551296112198E-2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624</v>
      </c>
      <c r="C36" s="361">
        <f>C16+C28</f>
        <v>128895993</v>
      </c>
      <c r="D36" s="361">
        <f>LN_IA2+LN_IA12</f>
        <v>137749529</v>
      </c>
      <c r="E36" s="361">
        <f>D36-C36</f>
        <v>8853536</v>
      </c>
      <c r="F36" s="362">
        <f>IF(C36=0,0,E36/C36)</f>
        <v>6.8687441664691623E-2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625</v>
      </c>
      <c r="C37" s="361">
        <f>C35-C36</f>
        <v>226523740</v>
      </c>
      <c r="D37" s="361">
        <f>LN_IA17-LN_IA18</f>
        <v>247437158</v>
      </c>
      <c r="E37" s="361">
        <f>D37-C37</f>
        <v>20913418</v>
      </c>
      <c r="F37" s="362">
        <f>IF(C37=0,0,E37/C37)</f>
        <v>9.2323294679842391E-2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626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627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607</v>
      </c>
      <c r="C42" s="361">
        <v>114447652</v>
      </c>
      <c r="D42" s="361">
        <v>109193764</v>
      </c>
      <c r="E42" s="361">
        <f t="shared" ref="E42:E53" si="4">D42-C42</f>
        <v>-5253888</v>
      </c>
      <c r="F42" s="362">
        <f t="shared" ref="F42:F53" si="5">IF(C42=0,0,E42/C42)</f>
        <v>-4.5906472594125391E-2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608</v>
      </c>
      <c r="C43" s="361">
        <v>59899198</v>
      </c>
      <c r="D43" s="361">
        <v>69099679</v>
      </c>
      <c r="E43" s="361">
        <f t="shared" si="4"/>
        <v>9200481</v>
      </c>
      <c r="F43" s="362">
        <f t="shared" si="5"/>
        <v>0.15359940211553416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609</v>
      </c>
      <c r="C44" s="366">
        <f>IF(C42=0,0,C43/C42)</f>
        <v>0.52337638171904133</v>
      </c>
      <c r="D44" s="366">
        <f>IF(LN_IB1=0,0,LN_IB2/LN_IB1)</f>
        <v>0.63281708101938861</v>
      </c>
      <c r="E44" s="367">
        <f t="shared" si="4"/>
        <v>0.10944069930034728</v>
      </c>
      <c r="F44" s="362">
        <f t="shared" si="5"/>
        <v>0.20910515476622554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6207</v>
      </c>
      <c r="D45" s="369">
        <v>6033</v>
      </c>
      <c r="E45" s="369">
        <f t="shared" si="4"/>
        <v>-174</v>
      </c>
      <c r="F45" s="362">
        <f t="shared" si="5"/>
        <v>-2.803286611889802E-2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610</v>
      </c>
      <c r="C46" s="372">
        <v>1.1018399999999999</v>
      </c>
      <c r="D46" s="372">
        <v>1.09074</v>
      </c>
      <c r="E46" s="373">
        <f t="shared" si="4"/>
        <v>-1.1099999999999888E-2</v>
      </c>
      <c r="F46" s="362">
        <f t="shared" si="5"/>
        <v>-1.0074057939446643E-2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611</v>
      </c>
      <c r="C47" s="376">
        <f>C45*C46</f>
        <v>6839.1208799999995</v>
      </c>
      <c r="D47" s="376">
        <f>LN_IB4*LN_IB5</f>
        <v>6580.4344200000005</v>
      </c>
      <c r="E47" s="376">
        <f t="shared" si="4"/>
        <v>-258.68645999999899</v>
      </c>
      <c r="F47" s="362">
        <f t="shared" si="5"/>
        <v>-3.7824519340854082E-2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612</v>
      </c>
      <c r="C48" s="378">
        <f>IF(C47=0,0,C43/C47)</f>
        <v>8758.3183644503752</v>
      </c>
      <c r="D48" s="378">
        <f>IF(LN_IB6=0,0,LN_IB2/LN_IB6)</f>
        <v>10500.777697895513</v>
      </c>
      <c r="E48" s="378">
        <f t="shared" si="4"/>
        <v>1742.4593334451383</v>
      </c>
      <c r="F48" s="362">
        <f t="shared" si="5"/>
        <v>0.19894907457551478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628</v>
      </c>
      <c r="C49" s="378">
        <f>C21-C48</f>
        <v>-970.59851667446947</v>
      </c>
      <c r="D49" s="378">
        <f>LN_IA7-LN_IB7</f>
        <v>-2328.1261033626288</v>
      </c>
      <c r="E49" s="378">
        <f t="shared" si="4"/>
        <v>-1357.5275866881593</v>
      </c>
      <c r="F49" s="362">
        <f t="shared" si="5"/>
        <v>1.3986499704732833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629</v>
      </c>
      <c r="C50" s="391">
        <f>C49*C47</f>
        <v>-6638040.5814853916</v>
      </c>
      <c r="D50" s="391">
        <f>LN_IB8*LN_IB6</f>
        <v>-15320081.144667922</v>
      </c>
      <c r="E50" s="391">
        <f t="shared" si="4"/>
        <v>-8682040.5631825291</v>
      </c>
      <c r="F50" s="362">
        <f t="shared" si="5"/>
        <v>1.3079221882731775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22249</v>
      </c>
      <c r="D51" s="369">
        <v>19639</v>
      </c>
      <c r="E51" s="369">
        <f t="shared" si="4"/>
        <v>-2610</v>
      </c>
      <c r="F51" s="362">
        <f t="shared" si="5"/>
        <v>-0.11730864308508247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613</v>
      </c>
      <c r="C52" s="378">
        <f>IF(C51=0,0,C43/C51)</f>
        <v>2692.2197851588835</v>
      </c>
      <c r="D52" s="378">
        <f>IF(LN_IB10=0,0,LN_IB2/LN_IB10)</f>
        <v>3518.492744029737</v>
      </c>
      <c r="E52" s="378">
        <f t="shared" si="4"/>
        <v>826.27295887085347</v>
      </c>
      <c r="F52" s="362">
        <f t="shared" si="5"/>
        <v>0.30691140575734621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614</v>
      </c>
      <c r="C53" s="379">
        <f>IF(C45=0,0,C51/C45)</f>
        <v>3.5845013694216208</v>
      </c>
      <c r="D53" s="379">
        <f>IF(LN_IB4=0,0,LN_IB10/LN_IB4)</f>
        <v>3.2552627216973313</v>
      </c>
      <c r="E53" s="379">
        <f t="shared" si="4"/>
        <v>-0.32923864772428946</v>
      </c>
      <c r="F53" s="362">
        <f t="shared" si="5"/>
        <v>-9.1850612900564732E-2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630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616</v>
      </c>
      <c r="C56" s="361">
        <v>176301260</v>
      </c>
      <c r="D56" s="361">
        <v>174035333</v>
      </c>
      <c r="E56" s="361">
        <f t="shared" ref="E56:E63" si="6">D56-C56</f>
        <v>-2265927</v>
      </c>
      <c r="F56" s="362">
        <f t="shared" ref="F56:F63" si="7">IF(C56=0,0,E56/C56)</f>
        <v>-1.28525853984254E-2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617</v>
      </c>
      <c r="C57" s="361">
        <v>105790470</v>
      </c>
      <c r="D57" s="361">
        <v>105707671</v>
      </c>
      <c r="E57" s="361">
        <f t="shared" si="6"/>
        <v>-82799</v>
      </c>
      <c r="F57" s="362">
        <f t="shared" si="7"/>
        <v>-7.8266974331430794E-4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618</v>
      </c>
      <c r="C58" s="366">
        <f>IF(C56=0,0,C57/C56)</f>
        <v>0.6000550988688339</v>
      </c>
      <c r="D58" s="366">
        <f>IF(LN_IB13=0,0,LN_IB14/LN_IB13)</f>
        <v>0.6073920115980127</v>
      </c>
      <c r="E58" s="367">
        <f t="shared" si="6"/>
        <v>7.3369127291788017E-3</v>
      </c>
      <c r="F58" s="362">
        <f t="shared" si="7"/>
        <v>1.2227065052875383E-2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619</v>
      </c>
      <c r="C59" s="366">
        <f>IF(C42=0,0,C56/C42)</f>
        <v>1.5404532720339252</v>
      </c>
      <c r="D59" s="366">
        <f>IF(LN_IB1=0,0,LN_IB13/LN_IB1)</f>
        <v>1.5938211727915159</v>
      </c>
      <c r="E59" s="367">
        <f t="shared" si="6"/>
        <v>5.3367900757590681E-2</v>
      </c>
      <c r="F59" s="362">
        <f t="shared" si="7"/>
        <v>3.4644284073042216E-2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620</v>
      </c>
      <c r="C60" s="376">
        <f>C59*C45</f>
        <v>9561.5934595145736</v>
      </c>
      <c r="D60" s="376">
        <f>LN_IB16*LN_IB4</f>
        <v>9615.5231354512161</v>
      </c>
      <c r="E60" s="376">
        <f t="shared" si="6"/>
        <v>53.929675936642525</v>
      </c>
      <c r="F60" s="362">
        <f t="shared" si="7"/>
        <v>5.6402393769396306E-3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621</v>
      </c>
      <c r="C61" s="378">
        <f>IF(C60=0,0,C57/C60)</f>
        <v>11064.104581305928</v>
      </c>
      <c r="D61" s="378">
        <f>IF(LN_IB17=0,0,LN_IB14/LN_IB17)</f>
        <v>10993.439411556215</v>
      </c>
      <c r="E61" s="378">
        <f t="shared" si="6"/>
        <v>-70.665169749712732</v>
      </c>
      <c r="F61" s="362">
        <f t="shared" si="7"/>
        <v>-6.3868855568402372E-3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631</v>
      </c>
      <c r="C62" s="378">
        <f>C32-C61</f>
        <v>-3489.8943413769402</v>
      </c>
      <c r="D62" s="378">
        <f>LN_IA16-LN_IB18</f>
        <v>-4181.7946612145242</v>
      </c>
      <c r="E62" s="378">
        <f t="shared" si="6"/>
        <v>-691.90031983758399</v>
      </c>
      <c r="F62" s="362">
        <f t="shared" si="7"/>
        <v>0.19825824284542501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632</v>
      </c>
      <c r="C63" s="361">
        <f>C62*C60</f>
        <v>-33368950.908906672</v>
      </c>
      <c r="D63" s="361">
        <f>LN_IB19*LN_IB17</f>
        <v>-40210143.312614635</v>
      </c>
      <c r="E63" s="361">
        <f t="shared" si="6"/>
        <v>-6841192.4037079625</v>
      </c>
      <c r="F63" s="362">
        <f t="shared" si="7"/>
        <v>0.20501670617046416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633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623</v>
      </c>
      <c r="C66" s="361">
        <f>C42+C56</f>
        <v>290748912</v>
      </c>
      <c r="D66" s="361">
        <f>LN_IB1+LN_IB13</f>
        <v>283229097</v>
      </c>
      <c r="E66" s="361">
        <f>D66-C66</f>
        <v>-7519815</v>
      </c>
      <c r="F66" s="362">
        <f>IF(C66=0,0,E66/C66)</f>
        <v>-2.5863604951340283E-2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624</v>
      </c>
      <c r="C67" s="361">
        <f>C43+C57</f>
        <v>165689668</v>
      </c>
      <c r="D67" s="361">
        <f>LN_IB2+LN_IB14</f>
        <v>174807350</v>
      </c>
      <c r="E67" s="361">
        <f>D67-C67</f>
        <v>9117682</v>
      </c>
      <c r="F67" s="362">
        <f>IF(C67=0,0,E67/C67)</f>
        <v>5.5028669621089467E-2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625</v>
      </c>
      <c r="C68" s="361">
        <f>C66-C67</f>
        <v>125059244</v>
      </c>
      <c r="D68" s="361">
        <f>LN_IB21-LN_IB22</f>
        <v>108421747</v>
      </c>
      <c r="E68" s="361">
        <f>D68-C68</f>
        <v>-16637497</v>
      </c>
      <c r="F68" s="362">
        <f>IF(C68=0,0,E68/C68)</f>
        <v>-0.13303692288432512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634</v>
      </c>
      <c r="C70" s="353">
        <f>C50+C63</f>
        <v>-40006991.490392067</v>
      </c>
      <c r="D70" s="353">
        <f>LN_IB9+LN_IB20</f>
        <v>-55530224.457282558</v>
      </c>
      <c r="E70" s="361">
        <f>D70-C70</f>
        <v>-15523232.966890492</v>
      </c>
      <c r="F70" s="362">
        <f>IF(C70=0,0,E70/C70)</f>
        <v>0.38801300444244841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635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636</v>
      </c>
      <c r="C73" s="400">
        <v>284611249</v>
      </c>
      <c r="D73" s="400">
        <v>276564149</v>
      </c>
      <c r="E73" s="400">
        <f>D73-C73</f>
        <v>-8047100</v>
      </c>
      <c r="F73" s="401">
        <f>IF(C73=0,0,E73/C73)</f>
        <v>-2.8274005431176755E-2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637</v>
      </c>
      <c r="C74" s="400">
        <v>159552005</v>
      </c>
      <c r="D74" s="400">
        <v>168142403</v>
      </c>
      <c r="E74" s="400">
        <f>D74-C74</f>
        <v>8590398</v>
      </c>
      <c r="F74" s="401">
        <f>IF(C74=0,0,E74/C74)</f>
        <v>5.3840739889166545E-2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638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639</v>
      </c>
      <c r="C76" s="353">
        <f>C73-C74</f>
        <v>125059244</v>
      </c>
      <c r="D76" s="353">
        <f>LN_IB32-LN_IB33</f>
        <v>108421746</v>
      </c>
      <c r="E76" s="400">
        <f>D76-C76</f>
        <v>-16637498</v>
      </c>
      <c r="F76" s="401">
        <f>IF(C76=0,0,E76/C76)</f>
        <v>-0.13303693088053531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640</v>
      </c>
      <c r="C77" s="366">
        <f>IF(C73=0,0,C76/C73)</f>
        <v>0.43940372855747523</v>
      </c>
      <c r="D77" s="366">
        <f>IF(LN_IB1=0,0,LN_IB34/LN_IB32)</f>
        <v>0.3920310943845437</v>
      </c>
      <c r="E77" s="405">
        <f>D77-C77</f>
        <v>-4.7372634172931527E-2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641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642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607</v>
      </c>
      <c r="C83" s="361">
        <v>5651953</v>
      </c>
      <c r="D83" s="361">
        <v>3318356</v>
      </c>
      <c r="E83" s="361">
        <f t="shared" ref="E83:E95" si="8">D83-C83</f>
        <v>-2333597</v>
      </c>
      <c r="F83" s="362">
        <f t="shared" ref="F83:F95" si="9">IF(C83=0,0,E83/C83)</f>
        <v>-0.4128832989233987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608</v>
      </c>
      <c r="C84" s="361">
        <v>583493</v>
      </c>
      <c r="D84" s="361">
        <v>516899</v>
      </c>
      <c r="E84" s="361">
        <f t="shared" si="8"/>
        <v>-66594</v>
      </c>
      <c r="F84" s="362">
        <f t="shared" si="9"/>
        <v>-0.11412990387202589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609</v>
      </c>
      <c r="C85" s="366">
        <f>IF(C83=0,0,C84/C83)</f>
        <v>0.10323741191761503</v>
      </c>
      <c r="D85" s="366">
        <f>IF(LN_IC1=0,0,LN_IC2/LN_IC1)</f>
        <v>0.15576960398462372</v>
      </c>
      <c r="E85" s="367">
        <f t="shared" si="8"/>
        <v>5.2532192067008696E-2</v>
      </c>
      <c r="F85" s="362">
        <f t="shared" si="9"/>
        <v>0.50884840186549962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334</v>
      </c>
      <c r="D86" s="369">
        <v>187</v>
      </c>
      <c r="E86" s="369">
        <f t="shared" si="8"/>
        <v>-147</v>
      </c>
      <c r="F86" s="362">
        <f t="shared" si="9"/>
        <v>-0.44011976047904194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610</v>
      </c>
      <c r="C87" s="372">
        <v>0.91161000000000003</v>
      </c>
      <c r="D87" s="372">
        <v>1.0122800000000001</v>
      </c>
      <c r="E87" s="373">
        <f t="shared" si="8"/>
        <v>0.10067000000000004</v>
      </c>
      <c r="F87" s="362">
        <f t="shared" si="9"/>
        <v>0.11043099571088517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611</v>
      </c>
      <c r="C88" s="376">
        <f>C86*C87</f>
        <v>304.47773999999998</v>
      </c>
      <c r="D88" s="376">
        <f>LN_IC4*LN_IC5</f>
        <v>189.29636000000002</v>
      </c>
      <c r="E88" s="376">
        <f t="shared" si="8"/>
        <v>-115.18137999999996</v>
      </c>
      <c r="F88" s="362">
        <f t="shared" si="9"/>
        <v>-0.37829162814989353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612</v>
      </c>
      <c r="C89" s="378">
        <f>IF(C88=0,0,C84/C88)</f>
        <v>1916.3732626234023</v>
      </c>
      <c r="D89" s="378">
        <f>IF(LN_IC6=0,0,LN_IC2/LN_IC6)</f>
        <v>2730.6335948562346</v>
      </c>
      <c r="E89" s="378">
        <f t="shared" si="8"/>
        <v>814.2603322328323</v>
      </c>
      <c r="F89" s="362">
        <f t="shared" si="9"/>
        <v>0.4248965210035115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643</v>
      </c>
      <c r="C90" s="378">
        <f>C48-C89</f>
        <v>6841.9451018269729</v>
      </c>
      <c r="D90" s="378">
        <f>LN_IB7-LN_IC7</f>
        <v>7770.1441030392789</v>
      </c>
      <c r="E90" s="378">
        <f t="shared" si="8"/>
        <v>928.19900121230603</v>
      </c>
      <c r="F90" s="362">
        <f t="shared" si="9"/>
        <v>0.13566302964992416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644</v>
      </c>
      <c r="C91" s="378">
        <f>C21-C89</f>
        <v>5871.3465851525034</v>
      </c>
      <c r="D91" s="378">
        <f>LN_IA7-LN_IC7</f>
        <v>5442.0179996766501</v>
      </c>
      <c r="E91" s="378">
        <f t="shared" si="8"/>
        <v>-429.32858547585329</v>
      </c>
      <c r="F91" s="362">
        <f t="shared" si="9"/>
        <v>-7.3122677949474482E-2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629</v>
      </c>
      <c r="C92" s="353">
        <f>C91*C88</f>
        <v>1787694.3390039518</v>
      </c>
      <c r="D92" s="353">
        <f>LN_IC9*LN_IC6</f>
        <v>1030154.1983932712</v>
      </c>
      <c r="E92" s="353">
        <f t="shared" si="8"/>
        <v>-757540.14061068057</v>
      </c>
      <c r="F92" s="362">
        <f t="shared" si="9"/>
        <v>-0.42375260920318103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1083</v>
      </c>
      <c r="D93" s="369">
        <v>548</v>
      </c>
      <c r="E93" s="369">
        <f t="shared" si="8"/>
        <v>-535</v>
      </c>
      <c r="F93" s="362">
        <f t="shared" si="9"/>
        <v>-0.49399815327793167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613</v>
      </c>
      <c r="C94" s="411">
        <f>IF(C93=0,0,C84/C93)</f>
        <v>538.77469990766394</v>
      </c>
      <c r="D94" s="411">
        <f>IF(LN_IC11=0,0,LN_IC2/LN_IC11)</f>
        <v>943.24635036496352</v>
      </c>
      <c r="E94" s="411">
        <f t="shared" si="8"/>
        <v>404.47165045729957</v>
      </c>
      <c r="F94" s="362">
        <f t="shared" si="9"/>
        <v>0.75072502574196331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614</v>
      </c>
      <c r="C95" s="379">
        <f>IF(C86=0,0,C93/C86)</f>
        <v>3.2425149700598803</v>
      </c>
      <c r="D95" s="379">
        <f>IF(LN_IC4=0,0,LN_IC11/LN_IC4)</f>
        <v>2.9304812834224601</v>
      </c>
      <c r="E95" s="379">
        <f t="shared" si="8"/>
        <v>-0.31203368663742026</v>
      </c>
      <c r="F95" s="362">
        <f t="shared" si="9"/>
        <v>-9.6231995694273653E-2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645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616</v>
      </c>
      <c r="C98" s="361">
        <v>14929960</v>
      </c>
      <c r="D98" s="361">
        <v>14252846</v>
      </c>
      <c r="E98" s="361">
        <f t="shared" ref="E98:E106" si="10">D98-C98</f>
        <v>-677114</v>
      </c>
      <c r="F98" s="362">
        <f t="shared" ref="F98:F106" si="11">IF(C98=0,0,E98/C98)</f>
        <v>-4.5352700208172024E-2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617</v>
      </c>
      <c r="C99" s="361">
        <v>5500273</v>
      </c>
      <c r="D99" s="361">
        <v>3015191</v>
      </c>
      <c r="E99" s="361">
        <f t="shared" si="10"/>
        <v>-2485082</v>
      </c>
      <c r="F99" s="362">
        <f t="shared" si="11"/>
        <v>-0.45181066467064451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618</v>
      </c>
      <c r="C100" s="366">
        <f>IF(C98=0,0,C99/C98)</f>
        <v>0.36840507275304152</v>
      </c>
      <c r="D100" s="366">
        <f>IF(LN_IC14=0,0,LN_IC15/LN_IC14)</f>
        <v>0.21155010023962934</v>
      </c>
      <c r="E100" s="367">
        <f t="shared" si="10"/>
        <v>-0.15685497251341218</v>
      </c>
      <c r="F100" s="362">
        <f t="shared" si="11"/>
        <v>-0.42576767833639229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619</v>
      </c>
      <c r="C101" s="366">
        <f>IF(C83=0,0,C98/C83)</f>
        <v>2.6415577058054094</v>
      </c>
      <c r="D101" s="366">
        <f>IF(LN_IC1=0,0,LN_IC14/LN_IC1)</f>
        <v>4.2951527804732219</v>
      </c>
      <c r="E101" s="367">
        <f t="shared" si="10"/>
        <v>1.6535950746678125</v>
      </c>
      <c r="F101" s="362">
        <f t="shared" si="11"/>
        <v>0.62599241009714468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620</v>
      </c>
      <c r="C102" s="376">
        <f>C101*C86</f>
        <v>882.2802737390067</v>
      </c>
      <c r="D102" s="376">
        <f>LN_IC17*LN_IC4</f>
        <v>803.1935699484925</v>
      </c>
      <c r="E102" s="376">
        <f t="shared" si="10"/>
        <v>-79.086703790514207</v>
      </c>
      <c r="F102" s="362">
        <f t="shared" si="11"/>
        <v>-8.9638979975550689E-2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621</v>
      </c>
      <c r="C103" s="378">
        <f>IF(C102=0,0,C99/C102)</f>
        <v>6234.1561561729677</v>
      </c>
      <c r="D103" s="378">
        <f>IF(LN_IC18=0,0,LN_IC15/LN_IC18)</f>
        <v>3754.0029113945216</v>
      </c>
      <c r="E103" s="378">
        <f t="shared" si="10"/>
        <v>-2480.1532447784462</v>
      </c>
      <c r="F103" s="362">
        <f t="shared" si="11"/>
        <v>-0.39783303187274766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646</v>
      </c>
      <c r="C104" s="378">
        <f>C61-C103</f>
        <v>4829.9484251329604</v>
      </c>
      <c r="D104" s="378">
        <f>LN_IB18-LN_IC19</f>
        <v>7239.4365001616934</v>
      </c>
      <c r="E104" s="378">
        <f t="shared" si="10"/>
        <v>2409.488075028733</v>
      </c>
      <c r="F104" s="362">
        <f t="shared" si="11"/>
        <v>0.49886414159016695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647</v>
      </c>
      <c r="C105" s="378">
        <f>C32-C103</f>
        <v>1340.0540837560202</v>
      </c>
      <c r="D105" s="378">
        <f>LN_IA16-LN_IC19</f>
        <v>3057.6418389471696</v>
      </c>
      <c r="E105" s="378">
        <f t="shared" si="10"/>
        <v>1717.5877551911494</v>
      </c>
      <c r="F105" s="362">
        <f t="shared" si="11"/>
        <v>1.2817301749321528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632</v>
      </c>
      <c r="C106" s="361">
        <f>C105*C102</f>
        <v>1182303.2838413352</v>
      </c>
      <c r="D106" s="361">
        <f>LN_IC21*LN_IC18</f>
        <v>2455878.2642478505</v>
      </c>
      <c r="E106" s="361">
        <f t="shared" si="10"/>
        <v>1273574.9804065153</v>
      </c>
      <c r="F106" s="362">
        <f t="shared" si="11"/>
        <v>1.0771982094717998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648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623</v>
      </c>
      <c r="C109" s="361">
        <f>C83+C98</f>
        <v>20581913</v>
      </c>
      <c r="D109" s="361">
        <f>LN_IC1+LN_IC14</f>
        <v>17571202</v>
      </c>
      <c r="E109" s="361">
        <f>D109-C109</f>
        <v>-3010711</v>
      </c>
      <c r="F109" s="362">
        <f>IF(C109=0,0,E109/C109)</f>
        <v>-0.14627945419845084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624</v>
      </c>
      <c r="C110" s="361">
        <f>C84+C99</f>
        <v>6083766</v>
      </c>
      <c r="D110" s="361">
        <f>LN_IC2+LN_IC15</f>
        <v>3532090</v>
      </c>
      <c r="E110" s="361">
        <f>D110-C110</f>
        <v>-2551676</v>
      </c>
      <c r="F110" s="362">
        <f>IF(C110=0,0,E110/C110)</f>
        <v>-0.41942375824448214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625</v>
      </c>
      <c r="C111" s="361">
        <f>C109-C110</f>
        <v>14498147</v>
      </c>
      <c r="D111" s="361">
        <f>LN_IC23-LN_IC24</f>
        <v>14039112</v>
      </c>
      <c r="E111" s="361">
        <f>D111-C111</f>
        <v>-459035</v>
      </c>
      <c r="F111" s="362">
        <f>IF(C111=0,0,E111/C111)</f>
        <v>-3.1661632345154178E-2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634</v>
      </c>
      <c r="C113" s="361">
        <f>C92+C106</f>
        <v>2969997.622845287</v>
      </c>
      <c r="D113" s="361">
        <f>LN_IC10+LN_IC22</f>
        <v>3486032.4626411218</v>
      </c>
      <c r="E113" s="361">
        <f>D113-C113</f>
        <v>516034.83979583485</v>
      </c>
      <c r="F113" s="362">
        <f>IF(C113=0,0,E113/C113)</f>
        <v>0.17374924337530898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321</v>
      </c>
      <c r="B115" s="356" t="s">
        <v>649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650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607</v>
      </c>
      <c r="C118" s="361">
        <v>58585464</v>
      </c>
      <c r="D118" s="361">
        <v>78785125</v>
      </c>
      <c r="E118" s="361">
        <f t="shared" ref="E118:E130" si="12">D118-C118</f>
        <v>20199661</v>
      </c>
      <c r="F118" s="362">
        <f t="shared" ref="F118:F130" si="13">IF(C118=0,0,E118/C118)</f>
        <v>0.34478963928663259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608</v>
      </c>
      <c r="C119" s="361">
        <v>20418163</v>
      </c>
      <c r="D119" s="361">
        <v>26215246</v>
      </c>
      <c r="E119" s="361">
        <f t="shared" si="12"/>
        <v>5797083</v>
      </c>
      <c r="F119" s="362">
        <f t="shared" si="13"/>
        <v>0.28391795089499483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609</v>
      </c>
      <c r="C120" s="366">
        <f>IF(C118=0,0,C119/C118)</f>
        <v>0.34851926750977003</v>
      </c>
      <c r="D120" s="366">
        <f>IF(LN_ID1=0,0,LN_1D2/LN_ID1)</f>
        <v>0.33274359849019725</v>
      </c>
      <c r="E120" s="367">
        <f t="shared" si="12"/>
        <v>-1.577566901957278E-2</v>
      </c>
      <c r="F120" s="362">
        <f t="shared" si="13"/>
        <v>-4.5264840398330466E-2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4042</v>
      </c>
      <c r="D121" s="369">
        <v>4816</v>
      </c>
      <c r="E121" s="369">
        <f t="shared" si="12"/>
        <v>774</v>
      </c>
      <c r="F121" s="362">
        <f t="shared" si="13"/>
        <v>0.19148936170212766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610</v>
      </c>
      <c r="C122" s="372">
        <v>0.92566999999999999</v>
      </c>
      <c r="D122" s="372">
        <v>0.97274000000000005</v>
      </c>
      <c r="E122" s="373">
        <f t="shared" si="12"/>
        <v>4.7070000000000056E-2</v>
      </c>
      <c r="F122" s="362">
        <f t="shared" si="13"/>
        <v>5.0849654844599107E-2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611</v>
      </c>
      <c r="C123" s="376">
        <f>C121*C122</f>
        <v>3741.5581400000001</v>
      </c>
      <c r="D123" s="376">
        <f>LN_ID4*LN_ID5</f>
        <v>4684.7158399999998</v>
      </c>
      <c r="E123" s="376">
        <f t="shared" si="12"/>
        <v>943.15769999999975</v>
      </c>
      <c r="F123" s="362">
        <f t="shared" si="13"/>
        <v>0.25207618449569241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612</v>
      </c>
      <c r="C124" s="378">
        <f>IF(C123=0,0,C119/C123)</f>
        <v>5457.1283502760161</v>
      </c>
      <c r="D124" s="378">
        <f>IF(LN_ID6=0,0,LN_1D2/LN_ID6)</f>
        <v>5595.9095269266109</v>
      </c>
      <c r="E124" s="378">
        <f t="shared" si="12"/>
        <v>138.78117665059472</v>
      </c>
      <c r="F124" s="362">
        <f t="shared" si="13"/>
        <v>2.5431173273316048E-2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651</v>
      </c>
      <c r="C125" s="378">
        <f>C48-C124</f>
        <v>3301.190014174359</v>
      </c>
      <c r="D125" s="378">
        <f>LN_IB7-LN_ID7</f>
        <v>4904.8681709689026</v>
      </c>
      <c r="E125" s="378">
        <f t="shared" si="12"/>
        <v>1603.6781567945436</v>
      </c>
      <c r="F125" s="362">
        <f t="shared" si="13"/>
        <v>0.48578789766987407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652</v>
      </c>
      <c r="C126" s="378">
        <f>C21-C124</f>
        <v>2330.5914974998896</v>
      </c>
      <c r="D126" s="378">
        <f>LN_IA7-LN_ID7</f>
        <v>2576.7420676062738</v>
      </c>
      <c r="E126" s="378">
        <f t="shared" si="12"/>
        <v>246.15057010638429</v>
      </c>
      <c r="F126" s="362">
        <f t="shared" si="13"/>
        <v>0.10561720935240645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629</v>
      </c>
      <c r="C127" s="391">
        <f>C126*C123</f>
        <v>8720043.5884855017</v>
      </c>
      <c r="D127" s="391">
        <f>LN_ID9*LN_ID6</f>
        <v>12071304.379709462</v>
      </c>
      <c r="E127" s="391">
        <f t="shared" si="12"/>
        <v>3351260.79122396</v>
      </c>
      <c r="F127" s="362">
        <f t="shared" si="13"/>
        <v>0.38431697699873624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14479</v>
      </c>
      <c r="D128" s="369">
        <v>17991</v>
      </c>
      <c r="E128" s="369">
        <f t="shared" si="12"/>
        <v>3512</v>
      </c>
      <c r="F128" s="362">
        <f t="shared" si="13"/>
        <v>0.24255818772014642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613</v>
      </c>
      <c r="C129" s="378">
        <f>IF(C128=0,0,C119/C128)</f>
        <v>1410.191518751295</v>
      </c>
      <c r="D129" s="378">
        <f>IF(LN_ID11=0,0,LN_1D2/LN_ID11)</f>
        <v>1457.1311211161137</v>
      </c>
      <c r="E129" s="378">
        <f t="shared" si="12"/>
        <v>46.939602364818711</v>
      </c>
      <c r="F129" s="362">
        <f t="shared" si="13"/>
        <v>3.3285976933390631E-2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614</v>
      </c>
      <c r="C130" s="379">
        <f>IF(C121=0,0,C128/C121)</f>
        <v>3.5821375556655122</v>
      </c>
      <c r="D130" s="379">
        <f>IF(LN_ID4=0,0,LN_ID11/LN_ID4)</f>
        <v>3.7356727574750832</v>
      </c>
      <c r="E130" s="379">
        <f t="shared" si="12"/>
        <v>0.15353520180957103</v>
      </c>
      <c r="F130" s="362">
        <f t="shared" si="13"/>
        <v>4.2861336122265774E-2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653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616</v>
      </c>
      <c r="C133" s="361">
        <v>70754649</v>
      </c>
      <c r="D133" s="361">
        <v>93414111</v>
      </c>
      <c r="E133" s="361">
        <f t="shared" ref="E133:E141" si="14">D133-C133</f>
        <v>22659462</v>
      </c>
      <c r="F133" s="362">
        <f t="shared" ref="F133:F141" si="15">IF(C133=0,0,E133/C133)</f>
        <v>0.32025403730007906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617</v>
      </c>
      <c r="C134" s="361">
        <v>28874807</v>
      </c>
      <c r="D134" s="361">
        <v>33165597</v>
      </c>
      <c r="E134" s="361">
        <f t="shared" si="14"/>
        <v>4290790</v>
      </c>
      <c r="F134" s="362">
        <f t="shared" si="15"/>
        <v>0.14859978111715172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618</v>
      </c>
      <c r="C135" s="366">
        <f>IF(C133=0,0,C134/C133)</f>
        <v>0.40809766436690259</v>
      </c>
      <c r="D135" s="366">
        <f>IF(LN_ID14=0,0,LN_ID15/LN_ID14)</f>
        <v>0.35503840527904829</v>
      </c>
      <c r="E135" s="367">
        <f t="shared" si="14"/>
        <v>-5.3059259087854305E-2</v>
      </c>
      <c r="F135" s="362">
        <f t="shared" si="15"/>
        <v>-0.13001608124899991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619</v>
      </c>
      <c r="C136" s="366">
        <f>IF(C118=0,0,C133/C118)</f>
        <v>1.2077167981463799</v>
      </c>
      <c r="D136" s="366">
        <f>IF(LN_ID1=0,0,LN_ID14/LN_ID1)</f>
        <v>1.1856820814842903</v>
      </c>
      <c r="E136" s="367">
        <f t="shared" si="14"/>
        <v>-2.203471666208956E-2</v>
      </c>
      <c r="F136" s="362">
        <f t="shared" si="15"/>
        <v>-1.824493680630156E-2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620</v>
      </c>
      <c r="C137" s="376">
        <f>C136*C121</f>
        <v>4881.5912981076672</v>
      </c>
      <c r="D137" s="376">
        <f>LN_ID17*LN_ID4</f>
        <v>5710.2449044283421</v>
      </c>
      <c r="E137" s="376">
        <f t="shared" si="14"/>
        <v>828.65360632067495</v>
      </c>
      <c r="F137" s="362">
        <f t="shared" si="15"/>
        <v>0.16975071359249183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621</v>
      </c>
      <c r="C138" s="378">
        <f>IF(C137=0,0,C134/C137)</f>
        <v>5915.0398377662677</v>
      </c>
      <c r="D138" s="378">
        <f>IF(LN_ID18=0,0,LN_ID15/LN_ID18)</f>
        <v>5808.0866153883881</v>
      </c>
      <c r="E138" s="378">
        <f t="shared" si="14"/>
        <v>-106.95322237787968</v>
      </c>
      <c r="F138" s="362">
        <f t="shared" si="15"/>
        <v>-1.8081572620188655E-2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654</v>
      </c>
      <c r="C139" s="378">
        <f>C61-C138</f>
        <v>5149.0647435396604</v>
      </c>
      <c r="D139" s="378">
        <f>LN_IB18-LN_ID19</f>
        <v>5185.3527961678274</v>
      </c>
      <c r="E139" s="378">
        <f t="shared" si="14"/>
        <v>36.288052628166952</v>
      </c>
      <c r="F139" s="362">
        <f t="shared" si="15"/>
        <v>7.0475036604844051E-3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655</v>
      </c>
      <c r="C140" s="378">
        <f>C32-C138</f>
        <v>1659.1704021627202</v>
      </c>
      <c r="D140" s="378">
        <f>LN_IA16-LN_ID19</f>
        <v>1003.5581349533031</v>
      </c>
      <c r="E140" s="378">
        <f t="shared" si="14"/>
        <v>-655.61226720941704</v>
      </c>
      <c r="F140" s="362">
        <f t="shared" si="15"/>
        <v>-0.39514462550370344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632</v>
      </c>
      <c r="C141" s="353">
        <f>C140*C137</f>
        <v>8099391.7972753337</v>
      </c>
      <c r="D141" s="353">
        <f>LN_ID21*LN_ID18</f>
        <v>5730562.7264147094</v>
      </c>
      <c r="E141" s="353">
        <f t="shared" si="14"/>
        <v>-2368829.0708606243</v>
      </c>
      <c r="F141" s="362">
        <f t="shared" si="15"/>
        <v>-0.29246999406270324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656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623</v>
      </c>
      <c r="C144" s="361">
        <f>C118+C133</f>
        <v>129340113</v>
      </c>
      <c r="D144" s="361">
        <f>LN_ID1+LN_ID14</f>
        <v>172199236</v>
      </c>
      <c r="E144" s="361">
        <f>D144-C144</f>
        <v>42859123</v>
      </c>
      <c r="F144" s="362">
        <f>IF(C144=0,0,E144/C144)</f>
        <v>0.33136760132566145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624</v>
      </c>
      <c r="C145" s="361">
        <f>C119+C134</f>
        <v>49292970</v>
      </c>
      <c r="D145" s="361">
        <f>LN_1D2+LN_ID15</f>
        <v>59380843</v>
      </c>
      <c r="E145" s="361">
        <f>D145-C145</f>
        <v>10087873</v>
      </c>
      <c r="F145" s="362">
        <f>IF(C145=0,0,E145/C145)</f>
        <v>0.20465135292111633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625</v>
      </c>
      <c r="C146" s="361">
        <f>C144-C145</f>
        <v>80047143</v>
      </c>
      <c r="D146" s="361">
        <f>LN_ID23-LN_ID24</f>
        <v>112818393</v>
      </c>
      <c r="E146" s="361">
        <f>D146-C146</f>
        <v>32771250</v>
      </c>
      <c r="F146" s="362">
        <f>IF(C146=0,0,E146/C146)</f>
        <v>0.40939937106812169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634</v>
      </c>
      <c r="C148" s="361">
        <f>C127+C141</f>
        <v>16819435.385760836</v>
      </c>
      <c r="D148" s="361">
        <f>LN_ID10+LN_ID22</f>
        <v>17801867.10612417</v>
      </c>
      <c r="E148" s="361">
        <f>D148-C148</f>
        <v>982431.72036333382</v>
      </c>
      <c r="F148" s="415">
        <f>IF(C148=0,0,E148/C148)</f>
        <v>5.8410505336882509E-2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342</v>
      </c>
      <c r="B150" s="356" t="s">
        <v>657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658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607</v>
      </c>
      <c r="C153" s="361">
        <v>13232447</v>
      </c>
      <c r="D153" s="361">
        <v>0</v>
      </c>
      <c r="E153" s="361">
        <f t="shared" ref="E153:E165" si="16">D153-C153</f>
        <v>-13232447</v>
      </c>
      <c r="F153" s="362">
        <f t="shared" ref="F153:F165" si="17">IF(C153=0,0,E153/C153)</f>
        <v>-1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608</v>
      </c>
      <c r="C154" s="361">
        <v>2694797</v>
      </c>
      <c r="D154" s="361">
        <v>0</v>
      </c>
      <c r="E154" s="361">
        <f t="shared" si="16"/>
        <v>-2694797</v>
      </c>
      <c r="F154" s="362">
        <f t="shared" si="17"/>
        <v>-1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609</v>
      </c>
      <c r="C155" s="366">
        <f>IF(C153=0,0,C154/C153)</f>
        <v>0.20365069287638182</v>
      </c>
      <c r="D155" s="366">
        <f>IF(LN_IE1=0,0,LN_IE2/LN_IE1)</f>
        <v>0</v>
      </c>
      <c r="E155" s="367">
        <f t="shared" si="16"/>
        <v>-0.20365069287638182</v>
      </c>
      <c r="F155" s="362">
        <f t="shared" si="17"/>
        <v>-1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493</v>
      </c>
      <c r="D156" s="419">
        <v>0</v>
      </c>
      <c r="E156" s="419">
        <f t="shared" si="16"/>
        <v>-493</v>
      </c>
      <c r="F156" s="362">
        <f t="shared" si="17"/>
        <v>-1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610</v>
      </c>
      <c r="C157" s="372">
        <v>1.26766</v>
      </c>
      <c r="D157" s="372">
        <v>0</v>
      </c>
      <c r="E157" s="373">
        <f t="shared" si="16"/>
        <v>-1.26766</v>
      </c>
      <c r="F157" s="362">
        <f t="shared" si="17"/>
        <v>-1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611</v>
      </c>
      <c r="C158" s="376">
        <f>C156*C157</f>
        <v>624.95637999999997</v>
      </c>
      <c r="D158" s="376">
        <f>LN_IE4*LN_IE5</f>
        <v>0</v>
      </c>
      <c r="E158" s="376">
        <f t="shared" si="16"/>
        <v>-624.95637999999997</v>
      </c>
      <c r="F158" s="362">
        <f t="shared" si="17"/>
        <v>-1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612</v>
      </c>
      <c r="C159" s="378">
        <f>IF(C158=0,0,C154/C158)</f>
        <v>4311.9761414388631</v>
      </c>
      <c r="D159" s="378">
        <f>IF(LN_IE6=0,0,LN_IE2/LN_IE6)</f>
        <v>0</v>
      </c>
      <c r="E159" s="378">
        <f t="shared" si="16"/>
        <v>-4311.9761414388631</v>
      </c>
      <c r="F159" s="362">
        <f t="shared" si="17"/>
        <v>-1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659</v>
      </c>
      <c r="C160" s="378">
        <f>C48-C159</f>
        <v>4446.342223011512</v>
      </c>
      <c r="D160" s="378">
        <f>LN_IB7-LN_IE7</f>
        <v>10500.777697895513</v>
      </c>
      <c r="E160" s="378">
        <f t="shared" si="16"/>
        <v>6054.4354748840015</v>
      </c>
      <c r="F160" s="362">
        <f t="shared" si="17"/>
        <v>1.3616665499902358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660</v>
      </c>
      <c r="C161" s="378">
        <f>C21-C159</f>
        <v>3475.7437063370426</v>
      </c>
      <c r="D161" s="378">
        <f>LN_IA7-LN_IE7</f>
        <v>8172.6515945328847</v>
      </c>
      <c r="E161" s="378">
        <f t="shared" si="16"/>
        <v>4696.9078881958421</v>
      </c>
      <c r="F161" s="362">
        <f t="shared" si="17"/>
        <v>1.3513389608193347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629</v>
      </c>
      <c r="C162" s="391">
        <f>C161*C158</f>
        <v>2172188.2045201813</v>
      </c>
      <c r="D162" s="391">
        <f>LN_IE9*LN_IE6</f>
        <v>0</v>
      </c>
      <c r="E162" s="391">
        <f t="shared" si="16"/>
        <v>-2172188.2045201813</v>
      </c>
      <c r="F162" s="362">
        <f t="shared" si="17"/>
        <v>-1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2600</v>
      </c>
      <c r="D163" s="369">
        <v>0</v>
      </c>
      <c r="E163" s="419">
        <f t="shared" si="16"/>
        <v>-2600</v>
      </c>
      <c r="F163" s="362">
        <f t="shared" si="17"/>
        <v>-1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613</v>
      </c>
      <c r="C164" s="378">
        <f>IF(C163=0,0,C154/C163)</f>
        <v>1036.4603846153846</v>
      </c>
      <c r="D164" s="378">
        <f>IF(LN_IE11=0,0,LN_IE2/LN_IE11)</f>
        <v>0</v>
      </c>
      <c r="E164" s="378">
        <f t="shared" si="16"/>
        <v>-1036.4603846153846</v>
      </c>
      <c r="F164" s="362">
        <f t="shared" si="17"/>
        <v>-1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614</v>
      </c>
      <c r="C165" s="379">
        <f>IF(C156=0,0,C163/C156)</f>
        <v>5.2738336713995944</v>
      </c>
      <c r="D165" s="379">
        <f>IF(LN_IE4=0,0,LN_IE11/LN_IE4)</f>
        <v>0</v>
      </c>
      <c r="E165" s="379">
        <f t="shared" si="16"/>
        <v>-5.2738336713995944</v>
      </c>
      <c r="F165" s="362">
        <f t="shared" si="17"/>
        <v>-1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661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616</v>
      </c>
      <c r="C168" s="424">
        <v>10574526</v>
      </c>
      <c r="D168" s="424">
        <v>0</v>
      </c>
      <c r="E168" s="424">
        <f t="shared" ref="E168:E176" si="18">D168-C168</f>
        <v>-10574526</v>
      </c>
      <c r="F168" s="362">
        <f t="shared" ref="F168:F176" si="19">IF(C168=0,0,E168/C168)</f>
        <v>-1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617</v>
      </c>
      <c r="C169" s="424">
        <v>1756436</v>
      </c>
      <c r="D169" s="424">
        <v>0</v>
      </c>
      <c r="E169" s="424">
        <f t="shared" si="18"/>
        <v>-1756436</v>
      </c>
      <c r="F169" s="362">
        <f t="shared" si="19"/>
        <v>-1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618</v>
      </c>
      <c r="C170" s="366">
        <f>IF(C168=0,0,C169/C168)</f>
        <v>0.16610068385098301</v>
      </c>
      <c r="D170" s="366">
        <f>IF(LN_IE14=0,0,LN_IE15/LN_IE14)</f>
        <v>0</v>
      </c>
      <c r="E170" s="367">
        <f t="shared" si="18"/>
        <v>-0.16610068385098301</v>
      </c>
      <c r="F170" s="362">
        <f t="shared" si="19"/>
        <v>-1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619</v>
      </c>
      <c r="C171" s="366">
        <f>IF(C153=0,0,C168/C153)</f>
        <v>0.79913609327133528</v>
      </c>
      <c r="D171" s="366">
        <f>IF(LN_IE1=0,0,LN_IE14/LN_IE1)</f>
        <v>0</v>
      </c>
      <c r="E171" s="367">
        <f t="shared" si="18"/>
        <v>-0.79913609327133528</v>
      </c>
      <c r="F171" s="362">
        <f t="shared" si="19"/>
        <v>-1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620</v>
      </c>
      <c r="C172" s="376">
        <f>C171*C156</f>
        <v>393.9740939827683</v>
      </c>
      <c r="D172" s="376">
        <f>LN_IE17*LN_IE4</f>
        <v>0</v>
      </c>
      <c r="E172" s="376">
        <f t="shared" si="18"/>
        <v>-393.9740939827683</v>
      </c>
      <c r="F172" s="362">
        <f t="shared" si="19"/>
        <v>-1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621</v>
      </c>
      <c r="C173" s="378">
        <f>IF(C172=0,0,C169/C172)</f>
        <v>4458.2525268192467</v>
      </c>
      <c r="D173" s="378">
        <f>IF(LN_IE18=0,0,LN_IE15/LN_IE18)</f>
        <v>0</v>
      </c>
      <c r="E173" s="378">
        <f t="shared" si="18"/>
        <v>-4458.2525268192467</v>
      </c>
      <c r="F173" s="362">
        <f t="shared" si="19"/>
        <v>-1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662</v>
      </c>
      <c r="C174" s="378">
        <f>C61-C173</f>
        <v>6605.8520544866815</v>
      </c>
      <c r="D174" s="378">
        <f>LN_IB18-LN_IE19</f>
        <v>10993.439411556215</v>
      </c>
      <c r="E174" s="378">
        <f t="shared" si="18"/>
        <v>4387.5873570695339</v>
      </c>
      <c r="F174" s="362">
        <f t="shared" si="19"/>
        <v>0.66419703633681793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663</v>
      </c>
      <c r="C175" s="378">
        <f>C32-C173</f>
        <v>3115.9577131097412</v>
      </c>
      <c r="D175" s="378">
        <f>LN_IA16-LN_IE19</f>
        <v>6811.6447503416912</v>
      </c>
      <c r="E175" s="378">
        <f t="shared" si="18"/>
        <v>3695.6870372319499</v>
      </c>
      <c r="F175" s="362">
        <f t="shared" si="19"/>
        <v>1.1860517303181357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632</v>
      </c>
      <c r="C176" s="353">
        <f>C175*C172</f>
        <v>1227606.616911029</v>
      </c>
      <c r="D176" s="353">
        <f>LN_IE21*LN_IE18</f>
        <v>0</v>
      </c>
      <c r="E176" s="353">
        <f t="shared" si="18"/>
        <v>-1227606.616911029</v>
      </c>
      <c r="F176" s="362">
        <f t="shared" si="19"/>
        <v>-1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664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623</v>
      </c>
      <c r="C179" s="361">
        <f>C153+C168</f>
        <v>23806973</v>
      </c>
      <c r="D179" s="361">
        <f>LN_IE1+LN_IE14</f>
        <v>0</v>
      </c>
      <c r="E179" s="361">
        <f>D179-C179</f>
        <v>-23806973</v>
      </c>
      <c r="F179" s="362">
        <f>IF(C179=0,0,E179/C179)</f>
        <v>-1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624</v>
      </c>
      <c r="C180" s="361">
        <f>C154+C169</f>
        <v>4451233</v>
      </c>
      <c r="D180" s="361">
        <f>LN_IE15+LN_IE2</f>
        <v>0</v>
      </c>
      <c r="E180" s="361">
        <f>D180-C180</f>
        <v>-4451233</v>
      </c>
      <c r="F180" s="362">
        <f>IF(C180=0,0,E180/C180)</f>
        <v>-1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625</v>
      </c>
      <c r="C181" s="361">
        <f>C179-C180</f>
        <v>19355740</v>
      </c>
      <c r="D181" s="361">
        <f>LN_IE23-LN_IE24</f>
        <v>0</v>
      </c>
      <c r="E181" s="361">
        <f>D181-C181</f>
        <v>-19355740</v>
      </c>
      <c r="F181" s="362">
        <f>IF(C181=0,0,E181/C181)</f>
        <v>-1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665</v>
      </c>
      <c r="C183" s="361">
        <f>C162+C176</f>
        <v>3399794.8214312103</v>
      </c>
      <c r="D183" s="361">
        <f>LN_IE10+LN_IE22</f>
        <v>0</v>
      </c>
      <c r="E183" s="353">
        <f>D183-C183</f>
        <v>-3399794.8214312103</v>
      </c>
      <c r="F183" s="362">
        <f>IF(C183=0,0,E183/C183)</f>
        <v>-1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354</v>
      </c>
      <c r="B185" s="356" t="s">
        <v>666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667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607</v>
      </c>
      <c r="C188" s="361">
        <f>C118+C153</f>
        <v>71817911</v>
      </c>
      <c r="D188" s="361">
        <f>LN_ID1+LN_IE1</f>
        <v>78785125</v>
      </c>
      <c r="E188" s="361">
        <f t="shared" ref="E188:E200" si="20">D188-C188</f>
        <v>6967214</v>
      </c>
      <c r="F188" s="362">
        <f t="shared" ref="F188:F200" si="21">IF(C188=0,0,E188/C188)</f>
        <v>9.7012206328307149E-2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608</v>
      </c>
      <c r="C189" s="361">
        <f>C119+C154</f>
        <v>23112960</v>
      </c>
      <c r="D189" s="361">
        <f>LN_1D2+LN_IE2</f>
        <v>26215246</v>
      </c>
      <c r="E189" s="361">
        <f t="shared" si="20"/>
        <v>3102286</v>
      </c>
      <c r="F189" s="362">
        <f t="shared" si="21"/>
        <v>0.13422279102287202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609</v>
      </c>
      <c r="C190" s="366">
        <f>IF(C188=0,0,C189/C188)</f>
        <v>0.32182723889030967</v>
      </c>
      <c r="D190" s="366">
        <f>IF(LN_IF1=0,0,LN_IF2/LN_IF1)</f>
        <v>0.33274359849019725</v>
      </c>
      <c r="E190" s="367">
        <f t="shared" si="20"/>
        <v>1.0916359599887571E-2</v>
      </c>
      <c r="F190" s="362">
        <f t="shared" si="21"/>
        <v>3.3919936788222763E-2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4535</v>
      </c>
      <c r="D191" s="369">
        <f>LN_ID4+LN_IE4</f>
        <v>4816</v>
      </c>
      <c r="E191" s="369">
        <f t="shared" si="20"/>
        <v>281</v>
      </c>
      <c r="F191" s="362">
        <f t="shared" si="21"/>
        <v>6.1962513781697905E-2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610</v>
      </c>
      <c r="C192" s="372">
        <f>IF((C121+C156)=0,0,(C123+C158)/(C121+C156))</f>
        <v>0.96284774421168684</v>
      </c>
      <c r="D192" s="372">
        <f>IF((LN_ID4+LN_IE4)=0,0,(LN_ID6+LN_IE6)/(LN_ID4+LN_IE4))</f>
        <v>0.97273999999999994</v>
      </c>
      <c r="E192" s="373">
        <f t="shared" si="20"/>
        <v>9.8922557883130979E-3</v>
      </c>
      <c r="F192" s="362">
        <f t="shared" si="21"/>
        <v>1.0273956446158777E-2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611</v>
      </c>
      <c r="C193" s="376">
        <f>C123+C158</f>
        <v>4366.5145199999997</v>
      </c>
      <c r="D193" s="376">
        <f>LN_IF4*LN_IF5</f>
        <v>4684.7158399999998</v>
      </c>
      <c r="E193" s="376">
        <f t="shared" si="20"/>
        <v>318.20132000000012</v>
      </c>
      <c r="F193" s="362">
        <f t="shared" si="21"/>
        <v>7.2873070395744421E-2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612</v>
      </c>
      <c r="C194" s="378">
        <f>IF(C193=0,0,C189/C193)</f>
        <v>5293.2287054435355</v>
      </c>
      <c r="D194" s="378">
        <f>IF(LN_IF6=0,0,LN_IF2/LN_IF6)</f>
        <v>5595.9095269266109</v>
      </c>
      <c r="E194" s="378">
        <f t="shared" si="20"/>
        <v>302.68082148307531</v>
      </c>
      <c r="F194" s="362">
        <f t="shared" si="21"/>
        <v>5.7182645664223715E-2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668</v>
      </c>
      <c r="C195" s="378">
        <f>C48-C194</f>
        <v>3465.0896590068396</v>
      </c>
      <c r="D195" s="378">
        <f>LN_IB7-LN_IF7</f>
        <v>4904.8681709689026</v>
      </c>
      <c r="E195" s="378">
        <f t="shared" si="20"/>
        <v>1439.778511962063</v>
      </c>
      <c r="F195" s="362">
        <f t="shared" si="21"/>
        <v>0.41550974250251604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669</v>
      </c>
      <c r="C196" s="378">
        <f>C21-C194</f>
        <v>2494.4911423323701</v>
      </c>
      <c r="D196" s="378">
        <f>LN_IA7-LN_IF7</f>
        <v>2576.7420676062738</v>
      </c>
      <c r="E196" s="378">
        <f t="shared" si="20"/>
        <v>82.250925273903704</v>
      </c>
      <c r="F196" s="362">
        <f t="shared" si="21"/>
        <v>3.2973027595920183E-2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629</v>
      </c>
      <c r="C197" s="391">
        <f>C127+C162</f>
        <v>10892231.793005683</v>
      </c>
      <c r="D197" s="391">
        <f>LN_IF9*LN_IF6</f>
        <v>12071304.379709462</v>
      </c>
      <c r="E197" s="391">
        <f t="shared" si="20"/>
        <v>1179072.5867037792</v>
      </c>
      <c r="F197" s="362">
        <f t="shared" si="21"/>
        <v>0.10824894375282269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17079</v>
      </c>
      <c r="D198" s="369">
        <f>LN_ID11+LN_IE11</f>
        <v>17991</v>
      </c>
      <c r="E198" s="369">
        <f t="shared" si="20"/>
        <v>912</v>
      </c>
      <c r="F198" s="362">
        <f t="shared" si="21"/>
        <v>5.3398910943263656E-2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613</v>
      </c>
      <c r="C199" s="432">
        <f>IF(C198=0,0,C189/C198)</f>
        <v>1353.2970314421218</v>
      </c>
      <c r="D199" s="432">
        <f>IF(LN_IF11=0,0,LN_IF2/LN_IF11)</f>
        <v>1457.1311211161137</v>
      </c>
      <c r="E199" s="432">
        <f t="shared" si="20"/>
        <v>103.83408967399191</v>
      </c>
      <c r="F199" s="362">
        <f t="shared" si="21"/>
        <v>7.6726754926331714E-2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614</v>
      </c>
      <c r="C200" s="379">
        <f>IF(C191=0,0,C198/C191)</f>
        <v>3.7660418963616316</v>
      </c>
      <c r="D200" s="379">
        <f>IF(LN_IF4=0,0,LN_IF11/LN_IF4)</f>
        <v>3.7356727574750832</v>
      </c>
      <c r="E200" s="379">
        <f t="shared" si="20"/>
        <v>-3.0369138886548352E-2</v>
      </c>
      <c r="F200" s="362">
        <f t="shared" si="21"/>
        <v>-8.0639407957431228E-3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670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616</v>
      </c>
      <c r="C203" s="361">
        <f>C133+C168</f>
        <v>81329175</v>
      </c>
      <c r="D203" s="361">
        <f>LN_ID14+LN_IE14</f>
        <v>93414111</v>
      </c>
      <c r="E203" s="361">
        <f t="shared" ref="E203:E211" si="22">D203-C203</f>
        <v>12084936</v>
      </c>
      <c r="F203" s="362">
        <f t="shared" ref="F203:F211" si="23">IF(C203=0,0,E203/C203)</f>
        <v>0.14859287580379366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617</v>
      </c>
      <c r="C204" s="361">
        <f>C134+C169</f>
        <v>30631243</v>
      </c>
      <c r="D204" s="361">
        <f>LN_ID15+LN_IE15</f>
        <v>33165597</v>
      </c>
      <c r="E204" s="361">
        <f t="shared" si="22"/>
        <v>2534354</v>
      </c>
      <c r="F204" s="362">
        <f t="shared" si="23"/>
        <v>8.2737550023680065E-2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618</v>
      </c>
      <c r="C205" s="366">
        <f>IF(C203=0,0,C204/C203)</f>
        <v>0.37663289957140228</v>
      </c>
      <c r="D205" s="366">
        <f>IF(LN_IF14=0,0,LN_IF15/LN_IF14)</f>
        <v>0.35503840527904829</v>
      </c>
      <c r="E205" s="367">
        <f t="shared" si="22"/>
        <v>-2.1594494292353994E-2</v>
      </c>
      <c r="F205" s="362">
        <f t="shared" si="23"/>
        <v>-5.7335655798863898E-2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619</v>
      </c>
      <c r="C206" s="366">
        <f>IF(C188=0,0,C203/C188)</f>
        <v>1.1324358209193803</v>
      </c>
      <c r="D206" s="366">
        <f>IF(LN_IF1=0,0,LN_IF14/LN_IF1)</f>
        <v>1.1856820814842903</v>
      </c>
      <c r="E206" s="367">
        <f t="shared" si="22"/>
        <v>5.3246260564909997E-2</v>
      </c>
      <c r="F206" s="362">
        <f t="shared" si="23"/>
        <v>4.7019230212694475E-2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620</v>
      </c>
      <c r="C207" s="376">
        <f>C137+C172</f>
        <v>5275.5653920904351</v>
      </c>
      <c r="D207" s="376">
        <f>LN_ID18+LN_IE18</f>
        <v>5710.2449044283421</v>
      </c>
      <c r="E207" s="376">
        <f t="shared" si="22"/>
        <v>434.679512337907</v>
      </c>
      <c r="F207" s="362">
        <f t="shared" si="23"/>
        <v>8.2394867664727381E-2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621</v>
      </c>
      <c r="C208" s="378">
        <f>IF(C207=0,0,C204/C207)</f>
        <v>5806.2483778373589</v>
      </c>
      <c r="D208" s="378">
        <f>IF(LN_IF18=0,0,LN_IF15/LN_IF18)</f>
        <v>5808.0866153883881</v>
      </c>
      <c r="E208" s="378">
        <f t="shared" si="22"/>
        <v>1.838237551029124</v>
      </c>
      <c r="F208" s="362">
        <f t="shared" si="23"/>
        <v>3.165964373907491E-4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671</v>
      </c>
      <c r="C209" s="378">
        <f>C61-C208</f>
        <v>5257.8562034685692</v>
      </c>
      <c r="D209" s="378">
        <f>LN_IB18-LN_IF19</f>
        <v>5185.3527961678274</v>
      </c>
      <c r="E209" s="378">
        <f t="shared" si="22"/>
        <v>-72.503407300741856</v>
      </c>
      <c r="F209" s="362">
        <f t="shared" si="23"/>
        <v>-1.378953788293257E-2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672</v>
      </c>
      <c r="C210" s="378">
        <f>C32-C208</f>
        <v>1767.961862091629</v>
      </c>
      <c r="D210" s="378">
        <f>LN_IA16-LN_IF19</f>
        <v>1003.5581349533031</v>
      </c>
      <c r="E210" s="378">
        <f t="shared" si="22"/>
        <v>-764.40372713832585</v>
      </c>
      <c r="F210" s="362">
        <f t="shared" si="23"/>
        <v>-0.4323643759113559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632</v>
      </c>
      <c r="C211" s="391">
        <f>C141+C176</f>
        <v>9326998.4141863622</v>
      </c>
      <c r="D211" s="353">
        <f>LN_IF21*LN_IF18</f>
        <v>5730562.7264147094</v>
      </c>
      <c r="E211" s="353">
        <f t="shared" si="22"/>
        <v>-3596435.6877716528</v>
      </c>
      <c r="F211" s="362">
        <f t="shared" si="23"/>
        <v>-0.3855941137827873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673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623</v>
      </c>
      <c r="C214" s="361">
        <f>C188+C203</f>
        <v>153147086</v>
      </c>
      <c r="D214" s="361">
        <f>LN_IF1+LN_IF14</f>
        <v>172199236</v>
      </c>
      <c r="E214" s="361">
        <f>D214-C214</f>
        <v>19052150</v>
      </c>
      <c r="F214" s="362">
        <f>IF(C214=0,0,E214/C214)</f>
        <v>0.12440426062040776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624</v>
      </c>
      <c r="C215" s="361">
        <f>C189+C204</f>
        <v>53744203</v>
      </c>
      <c r="D215" s="361">
        <f>LN_IF2+LN_IF15</f>
        <v>59380843</v>
      </c>
      <c r="E215" s="361">
        <f>D215-C215</f>
        <v>5636640</v>
      </c>
      <c r="F215" s="362">
        <f>IF(C215=0,0,E215/C215)</f>
        <v>0.10487903225581371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625</v>
      </c>
      <c r="C216" s="361">
        <f>C214-C215</f>
        <v>99402883</v>
      </c>
      <c r="D216" s="361">
        <f>LN_IF23-LN_IF24</f>
        <v>112818393</v>
      </c>
      <c r="E216" s="361">
        <f>D216-C216</f>
        <v>13415510</v>
      </c>
      <c r="F216" s="362">
        <f>IF(C216=0,0,E216/C216)</f>
        <v>0.13496097492464076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366</v>
      </c>
      <c r="B218" s="356" t="s">
        <v>674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675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607</v>
      </c>
      <c r="C221" s="361">
        <v>754937</v>
      </c>
      <c r="D221" s="361">
        <v>513067</v>
      </c>
      <c r="E221" s="361">
        <f t="shared" ref="E221:E230" si="24">D221-C221</f>
        <v>-241870</v>
      </c>
      <c r="F221" s="362">
        <f t="shared" ref="F221:F230" si="25">IF(C221=0,0,E221/C221)</f>
        <v>-0.32038434995238013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608</v>
      </c>
      <c r="C222" s="361">
        <v>182086</v>
      </c>
      <c r="D222" s="361">
        <v>267040</v>
      </c>
      <c r="E222" s="361">
        <f t="shared" si="24"/>
        <v>84954</v>
      </c>
      <c r="F222" s="362">
        <f t="shared" si="25"/>
        <v>0.46655975747723605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609</v>
      </c>
      <c r="C223" s="366">
        <f>IF(C221=0,0,C222/C221)</f>
        <v>0.24119363602525773</v>
      </c>
      <c r="D223" s="366">
        <f>IF(LN_IG1=0,0,LN_IG2/LN_IG1)</f>
        <v>0.52047783232989064</v>
      </c>
      <c r="E223" s="367">
        <f t="shared" si="24"/>
        <v>0.27928419630463291</v>
      </c>
      <c r="F223" s="362">
        <f t="shared" si="25"/>
        <v>1.157925229318183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37</v>
      </c>
      <c r="D224" s="369">
        <v>46</v>
      </c>
      <c r="E224" s="369">
        <f t="shared" si="24"/>
        <v>9</v>
      </c>
      <c r="F224" s="362">
        <f t="shared" si="25"/>
        <v>0.24324324324324326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610</v>
      </c>
      <c r="C225" s="372">
        <v>0.96677999999999997</v>
      </c>
      <c r="D225" s="372">
        <v>0.76080999999999999</v>
      </c>
      <c r="E225" s="373">
        <f t="shared" si="24"/>
        <v>-0.20596999999999999</v>
      </c>
      <c r="F225" s="362">
        <f t="shared" si="25"/>
        <v>-0.21304743581786961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611</v>
      </c>
      <c r="C226" s="376">
        <f>C224*C225</f>
        <v>35.770859999999999</v>
      </c>
      <c r="D226" s="376">
        <f>LN_IG3*LN_IG4</f>
        <v>34.997259999999997</v>
      </c>
      <c r="E226" s="376">
        <f t="shared" si="24"/>
        <v>-0.77360000000000184</v>
      </c>
      <c r="F226" s="362">
        <f t="shared" si="25"/>
        <v>-2.1626541827621752E-2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612</v>
      </c>
      <c r="C227" s="378">
        <f>IF(C226=0,0,C222/C226)</f>
        <v>5090.3444871048669</v>
      </c>
      <c r="D227" s="378">
        <f>IF(LN_IG5=0,0,LN_IG2/LN_IG5)</f>
        <v>7630.3116301104719</v>
      </c>
      <c r="E227" s="378">
        <f t="shared" si="24"/>
        <v>2539.9671430056051</v>
      </c>
      <c r="F227" s="362">
        <f t="shared" si="25"/>
        <v>0.49897745613091332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185</v>
      </c>
      <c r="D228" s="369">
        <v>129</v>
      </c>
      <c r="E228" s="369">
        <f t="shared" si="24"/>
        <v>-56</v>
      </c>
      <c r="F228" s="362">
        <f t="shared" si="25"/>
        <v>-0.30270270270270272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613</v>
      </c>
      <c r="C229" s="378">
        <f>IF(C228=0,0,C222/C228)</f>
        <v>984.24864864864867</v>
      </c>
      <c r="D229" s="378">
        <f>IF(LN_IG6=0,0,LN_IG2/LN_IG6)</f>
        <v>2070.0775193798449</v>
      </c>
      <c r="E229" s="378">
        <f t="shared" si="24"/>
        <v>1085.8288707311963</v>
      </c>
      <c r="F229" s="362">
        <f t="shared" si="25"/>
        <v>1.1032058537464238</v>
      </c>
      <c r="Q229" s="330"/>
      <c r="U229" s="375"/>
    </row>
    <row r="230" spans="1:21" ht="11.25" customHeight="1" x14ac:dyDescent="0.2">
      <c r="A230" s="364">
        <v>10</v>
      </c>
      <c r="B230" s="360" t="s">
        <v>614</v>
      </c>
      <c r="C230" s="379">
        <f>IF(C224=0,0,C228/C224)</f>
        <v>5</v>
      </c>
      <c r="D230" s="379">
        <f>IF(LN_IG3=0,0,LN_IG6/LN_IG3)</f>
        <v>2.8043478260869565</v>
      </c>
      <c r="E230" s="379">
        <f t="shared" si="24"/>
        <v>-2.1956521739130435</v>
      </c>
      <c r="F230" s="362">
        <f t="shared" si="25"/>
        <v>-0.43913043478260871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676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616</v>
      </c>
      <c r="C233" s="361">
        <v>669381</v>
      </c>
      <c r="D233" s="361">
        <v>719632</v>
      </c>
      <c r="E233" s="361">
        <f>D233-C233</f>
        <v>50251</v>
      </c>
      <c r="F233" s="362">
        <f>IF(C233=0,0,E233/C233)</f>
        <v>7.5070849038141207E-2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617</v>
      </c>
      <c r="C234" s="361">
        <v>201216</v>
      </c>
      <c r="D234" s="361">
        <v>196963</v>
      </c>
      <c r="E234" s="361">
        <f>D234-C234</f>
        <v>-4253</v>
      </c>
      <c r="F234" s="362">
        <f>IF(C234=0,0,E234/C234)</f>
        <v>-2.1136490139949109E-2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677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623</v>
      </c>
      <c r="C237" s="361">
        <f>C221+C233</f>
        <v>1424318</v>
      </c>
      <c r="D237" s="361">
        <f>LN_IG1+LN_IG9</f>
        <v>1232699</v>
      </c>
      <c r="E237" s="361">
        <f>D237-C237</f>
        <v>-191619</v>
      </c>
      <c r="F237" s="362">
        <f>IF(C237=0,0,E237/C237)</f>
        <v>-0.13453386111809301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624</v>
      </c>
      <c r="C238" s="361">
        <f>C222+C234</f>
        <v>383302</v>
      </c>
      <c r="D238" s="361">
        <f>LN_IG2+LN_IG10</f>
        <v>464003</v>
      </c>
      <c r="E238" s="361">
        <f>D238-C238</f>
        <v>80701</v>
      </c>
      <c r="F238" s="362">
        <f>IF(C238=0,0,E238/C238)</f>
        <v>0.21054155730990184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625</v>
      </c>
      <c r="C239" s="361">
        <f>C237-C238</f>
        <v>1041016</v>
      </c>
      <c r="D239" s="361">
        <f>LN_IG13-LN_IG14</f>
        <v>768696</v>
      </c>
      <c r="E239" s="361">
        <f>D239-C239</f>
        <v>-272320</v>
      </c>
      <c r="F239" s="362">
        <f>IF(C239=0,0,E239/C239)</f>
        <v>-0.26159059995235423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370</v>
      </c>
      <c r="B241" s="356" t="s">
        <v>678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679</v>
      </c>
      <c r="C243" s="361">
        <v>23393788</v>
      </c>
      <c r="D243" s="361">
        <v>21278672</v>
      </c>
      <c r="E243" s="353">
        <f>D243-C243</f>
        <v>-2115116</v>
      </c>
      <c r="F243" s="415">
        <f>IF(C243=0,0,E243/C243)</f>
        <v>-9.0413574748988923E-2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680</v>
      </c>
      <c r="C244" s="361">
        <v>381476536</v>
      </c>
      <c r="D244" s="361">
        <v>368573386</v>
      </c>
      <c r="E244" s="353">
        <f>D244-C244</f>
        <v>-12903150</v>
      </c>
      <c r="F244" s="415">
        <f>IF(C244=0,0,E244/C244)</f>
        <v>-3.3824229755509784E-2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681</v>
      </c>
      <c r="C245" s="400">
        <v>1763987</v>
      </c>
      <c r="D245" s="400">
        <v>0</v>
      </c>
      <c r="E245" s="400">
        <f>D245-C245</f>
        <v>-1763987</v>
      </c>
      <c r="F245" s="401">
        <f>IF(C245=0,0,E245/C245)</f>
        <v>-1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682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683</v>
      </c>
      <c r="C248" s="353">
        <v>8420571</v>
      </c>
      <c r="D248" s="353">
        <v>17262086</v>
      </c>
      <c r="E248" s="353">
        <f>D248-C248</f>
        <v>8841515</v>
      </c>
      <c r="F248" s="362">
        <f>IF(C248=0,0,E248/C248)</f>
        <v>1.049989959113224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684</v>
      </c>
      <c r="C249" s="353">
        <v>9548336</v>
      </c>
      <c r="D249" s="353">
        <v>1140529</v>
      </c>
      <c r="E249" s="353">
        <f>D249-C249</f>
        <v>-8407807</v>
      </c>
      <c r="F249" s="362">
        <f>IF(C249=0,0,E249/C249)</f>
        <v>-0.88055206687322274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685</v>
      </c>
      <c r="C250" s="353">
        <f>C248+C249</f>
        <v>17968907</v>
      </c>
      <c r="D250" s="353">
        <f>LN_IH4+LN_IH5</f>
        <v>18402615</v>
      </c>
      <c r="E250" s="353">
        <f>D250-C250</f>
        <v>433708</v>
      </c>
      <c r="F250" s="362">
        <f>IF(C250=0,0,E250/C250)</f>
        <v>2.4136582152715243E-2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686</v>
      </c>
      <c r="C251" s="353">
        <f>C250*C313</f>
        <v>7461609.7403504821</v>
      </c>
      <c r="D251" s="353">
        <f>LN_IH6*LN_III10</f>
        <v>7738346.500259704</v>
      </c>
      <c r="E251" s="353">
        <f>D251-C251</f>
        <v>276736.7599092219</v>
      </c>
      <c r="F251" s="362">
        <f>IF(C251=0,0,E251/C251)</f>
        <v>3.708807744429464E-2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687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623</v>
      </c>
      <c r="C254" s="353">
        <f>C188+C203</f>
        <v>153147086</v>
      </c>
      <c r="D254" s="353">
        <f>LN_IF23</f>
        <v>172199236</v>
      </c>
      <c r="E254" s="353">
        <f>D254-C254</f>
        <v>19052150</v>
      </c>
      <c r="F254" s="362">
        <f>IF(C254=0,0,E254/C254)</f>
        <v>0.12440426062040776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624</v>
      </c>
      <c r="C255" s="353">
        <f>C189+C204</f>
        <v>53744203</v>
      </c>
      <c r="D255" s="353">
        <f>LN_IF24</f>
        <v>59380843</v>
      </c>
      <c r="E255" s="353">
        <f>D255-C255</f>
        <v>5636640</v>
      </c>
      <c r="F255" s="362">
        <f>IF(C255=0,0,E255/C255)</f>
        <v>0.10487903225581371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688</v>
      </c>
      <c r="C256" s="353">
        <f>C254*C313</f>
        <v>63594507.367860101</v>
      </c>
      <c r="D256" s="353">
        <f>LN_IH8*LN_III10</f>
        <v>72410217.528758541</v>
      </c>
      <c r="E256" s="353">
        <f>D256-C256</f>
        <v>8815710.1608984396</v>
      </c>
      <c r="F256" s="362">
        <f>IF(C256=0,0,E256/C256)</f>
        <v>0.13862376682791624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689</v>
      </c>
      <c r="C257" s="353">
        <f>C256-C255</f>
        <v>9850304.3678601012</v>
      </c>
      <c r="D257" s="353">
        <f>LN_IH10-LN_IH9</f>
        <v>13029374.528758541</v>
      </c>
      <c r="E257" s="353">
        <f>D257-C257</f>
        <v>3179070.1608984396</v>
      </c>
      <c r="F257" s="362">
        <f>IF(C257=0,0,E257/C257)</f>
        <v>0.32273826697895902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690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691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692</v>
      </c>
      <c r="C261" s="361">
        <f>C15+C42+C188+C221</f>
        <v>416962565</v>
      </c>
      <c r="D261" s="361">
        <f>LN_IA1+LN_IB1+LN_IF1+LN_IG1</f>
        <v>443279640</v>
      </c>
      <c r="E261" s="361">
        <f t="shared" ref="E261:E274" si="26">D261-C261</f>
        <v>26317075</v>
      </c>
      <c r="F261" s="415">
        <f t="shared" ref="F261:F274" si="27">IF(C261=0,0,E261/C261)</f>
        <v>6.3116157681925231E-2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693</v>
      </c>
      <c r="C262" s="361">
        <f>C16+C43+C189+C222</f>
        <v>175974423</v>
      </c>
      <c r="D262" s="361">
        <f>+LN_IA2+LN_IB2+LN_IF2+LN_IG2</f>
        <v>199686524</v>
      </c>
      <c r="E262" s="361">
        <f t="shared" si="26"/>
        <v>23712101</v>
      </c>
      <c r="F262" s="415">
        <f t="shared" si="27"/>
        <v>0.13474742860784944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694</v>
      </c>
      <c r="C263" s="366">
        <f>IF(C261=0,0,C262/C261)</f>
        <v>0.42203890174169473</v>
      </c>
      <c r="D263" s="366">
        <f>IF(LN_IIA1=0,0,LN_IIA2/LN_IIA1)</f>
        <v>0.45047528914253765</v>
      </c>
      <c r="E263" s="367">
        <f t="shared" si="26"/>
        <v>2.8436387400842922E-2</v>
      </c>
      <c r="F263" s="371">
        <f t="shared" si="27"/>
        <v>6.7378593024221181E-2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695</v>
      </c>
      <c r="C264" s="369">
        <f>C18+C45+C191+C224</f>
        <v>19517</v>
      </c>
      <c r="D264" s="369">
        <f>LN_IA4+LN_IB4+LN_IF4+LN_IG3</f>
        <v>20546</v>
      </c>
      <c r="E264" s="369">
        <f t="shared" si="26"/>
        <v>1029</v>
      </c>
      <c r="F264" s="415">
        <f t="shared" si="27"/>
        <v>5.2723266895526977E-2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696</v>
      </c>
      <c r="C265" s="439">
        <f>IF(C264=0,0,C266/C264)</f>
        <v>1.1864045498795921</v>
      </c>
      <c r="D265" s="439">
        <f>IF(LN_IIA4=0,0,LN_IIA6/LN_IIA4)</f>
        <v>1.1699751484473864</v>
      </c>
      <c r="E265" s="439">
        <f t="shared" si="26"/>
        <v>-1.6429401432205726E-2</v>
      </c>
      <c r="F265" s="415">
        <f t="shared" si="27"/>
        <v>-1.384806003472689E-2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697</v>
      </c>
      <c r="C266" s="376">
        <f>C20+C47+C193+C226</f>
        <v>23155.0576</v>
      </c>
      <c r="D266" s="376">
        <f>LN_IA6+LN_IB6+LN_IF6+LN_IG5</f>
        <v>24038.309400000002</v>
      </c>
      <c r="E266" s="376">
        <f t="shared" si="26"/>
        <v>883.25180000000182</v>
      </c>
      <c r="F266" s="415">
        <f t="shared" si="27"/>
        <v>3.8145091895603916E-2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698</v>
      </c>
      <c r="C267" s="361">
        <f>C27+C56+C203+C233</f>
        <v>383777484</v>
      </c>
      <c r="D267" s="361">
        <f>LN_IA11+LN_IB13+LN_IF14+LN_IG9</f>
        <v>398568079</v>
      </c>
      <c r="E267" s="361">
        <f t="shared" si="26"/>
        <v>14790595</v>
      </c>
      <c r="F267" s="415">
        <f t="shared" si="27"/>
        <v>3.8539506919066671E-2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619</v>
      </c>
      <c r="C268" s="366">
        <f>IF(C261=0,0,C267/C261)</f>
        <v>0.92041232526473926</v>
      </c>
      <c r="D268" s="366">
        <f>IF(LN_IIA1=0,0,LN_IIA7/LN_IIA1)</f>
        <v>0.8991346388027206</v>
      </c>
      <c r="E268" s="367">
        <f t="shared" si="26"/>
        <v>-2.1277686462018663E-2</v>
      </c>
      <c r="F268" s="371">
        <f t="shared" si="27"/>
        <v>-2.3117559248132122E-2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699</v>
      </c>
      <c r="C269" s="361">
        <f>C28+C57+C204+C234</f>
        <v>172738743</v>
      </c>
      <c r="D269" s="361">
        <f>LN_IA12+LN_IB14+LN_IF15+LN_IG10</f>
        <v>172715201</v>
      </c>
      <c r="E269" s="361">
        <f t="shared" si="26"/>
        <v>-23542</v>
      </c>
      <c r="F269" s="415">
        <f t="shared" si="27"/>
        <v>-1.3628673910171964E-4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618</v>
      </c>
      <c r="C270" s="366">
        <f>IF(C267=0,0,C269/C267)</f>
        <v>0.45010129619798123</v>
      </c>
      <c r="D270" s="366">
        <f>IF(LN_IIA7=0,0,LN_IIA9/LN_IIA7)</f>
        <v>0.43333927150749069</v>
      </c>
      <c r="E270" s="367">
        <f t="shared" si="26"/>
        <v>-1.676202469049054E-2</v>
      </c>
      <c r="F270" s="371">
        <f t="shared" si="27"/>
        <v>-3.7240560807266836E-2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700</v>
      </c>
      <c r="C271" s="353">
        <f>C261+C267</f>
        <v>800740049</v>
      </c>
      <c r="D271" s="353">
        <f>LN_IIA1+LN_IIA7</f>
        <v>841847719</v>
      </c>
      <c r="E271" s="353">
        <f t="shared" si="26"/>
        <v>41107670</v>
      </c>
      <c r="F271" s="415">
        <f t="shared" si="27"/>
        <v>5.1337097540377928E-2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701</v>
      </c>
      <c r="C272" s="353">
        <f>C262+C269</f>
        <v>348713166</v>
      </c>
      <c r="D272" s="353">
        <f>LN_IIA2+LN_IIA9</f>
        <v>372401725</v>
      </c>
      <c r="E272" s="353">
        <f t="shared" si="26"/>
        <v>23688559</v>
      </c>
      <c r="F272" s="415">
        <f t="shared" si="27"/>
        <v>6.7931358232685715E-2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702</v>
      </c>
      <c r="C273" s="366">
        <f>IF(C271=0,0,C272/C271)</f>
        <v>0.43548860386774535</v>
      </c>
      <c r="D273" s="366">
        <f>IF(LN_IIA11=0,0,LN_IIA12/LN_IIA11)</f>
        <v>0.44236233774246292</v>
      </c>
      <c r="E273" s="367">
        <f t="shared" si="26"/>
        <v>6.8737338747175691E-3</v>
      </c>
      <c r="F273" s="371">
        <f t="shared" si="27"/>
        <v>1.5783958095962187E-2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81872</v>
      </c>
      <c r="D274" s="421">
        <f>LN_IA8+LN_IB10+LN_IF11+LN_IG6</f>
        <v>83137</v>
      </c>
      <c r="E274" s="442">
        <f t="shared" si="26"/>
        <v>1265</v>
      </c>
      <c r="F274" s="371">
        <f t="shared" si="27"/>
        <v>1.545094782098886E-2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703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704</v>
      </c>
      <c r="C277" s="361">
        <f>C15+C188+C221</f>
        <v>302514913</v>
      </c>
      <c r="D277" s="361">
        <f>LN_IA1+LN_IF1+LN_IG1</f>
        <v>334085876</v>
      </c>
      <c r="E277" s="361">
        <f t="shared" ref="E277:E291" si="28">D277-C277</f>
        <v>31570963</v>
      </c>
      <c r="F277" s="415">
        <f t="shared" ref="F277:F291" si="29">IF(C277=0,0,E277/C277)</f>
        <v>0.10436167489038796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705</v>
      </c>
      <c r="C278" s="361">
        <f>C16+C189+C222</f>
        <v>116075225</v>
      </c>
      <c r="D278" s="361">
        <f>LN_IA2+LN_IF2+LN_IG2</f>
        <v>130586845</v>
      </c>
      <c r="E278" s="361">
        <f t="shared" si="28"/>
        <v>14511620</v>
      </c>
      <c r="F278" s="415">
        <f t="shared" si="29"/>
        <v>0.12501909860609789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706</v>
      </c>
      <c r="C279" s="366">
        <f>IF(C277=0,0,C278/C277)</f>
        <v>0.38370083593201237</v>
      </c>
      <c r="D279" s="366">
        <f>IF(D277=0,0,LN_IIB2/D277)</f>
        <v>0.39087807770718208</v>
      </c>
      <c r="E279" s="367">
        <f t="shared" si="28"/>
        <v>7.1772417751697071E-3</v>
      </c>
      <c r="F279" s="371">
        <f t="shared" si="29"/>
        <v>1.8705306590578907E-2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707</v>
      </c>
      <c r="C280" s="369">
        <f>C18+C191+C224</f>
        <v>13310</v>
      </c>
      <c r="D280" s="369">
        <f>LN_IA4+LN_IF4+LN_IG3</f>
        <v>14513</v>
      </c>
      <c r="E280" s="369">
        <f t="shared" si="28"/>
        <v>1203</v>
      </c>
      <c r="F280" s="415">
        <f t="shared" si="29"/>
        <v>9.0383170548459804E-2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708</v>
      </c>
      <c r="C281" s="439">
        <f>IF(C280=0,0,C282/C280)</f>
        <v>1.2258404748309539</v>
      </c>
      <c r="D281" s="439">
        <f>IF(LN_IIB4=0,0,LN_IIB6/LN_IIB4)</f>
        <v>1.2029129042927031</v>
      </c>
      <c r="E281" s="439">
        <f t="shared" si="28"/>
        <v>-2.2927570538250786E-2</v>
      </c>
      <c r="F281" s="415">
        <f t="shared" si="29"/>
        <v>-1.8703551570535756E-2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709</v>
      </c>
      <c r="C282" s="376">
        <f>C20+C193+C226</f>
        <v>16315.936719999998</v>
      </c>
      <c r="D282" s="376">
        <f>LN_IA6+LN_IF6+LN_IG5</f>
        <v>17457.874980000001</v>
      </c>
      <c r="E282" s="376">
        <f t="shared" si="28"/>
        <v>1141.9382600000026</v>
      </c>
      <c r="F282" s="415">
        <f t="shared" si="29"/>
        <v>6.9989132686462313E-2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710</v>
      </c>
      <c r="C283" s="361">
        <f>C27+C203+C233</f>
        <v>207476224</v>
      </c>
      <c r="D283" s="361">
        <f>LN_IA11+LN_IF14+LN_IG9</f>
        <v>224532746</v>
      </c>
      <c r="E283" s="361">
        <f t="shared" si="28"/>
        <v>17056522</v>
      </c>
      <c r="F283" s="415">
        <f t="shared" si="29"/>
        <v>8.2209525849091997E-2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711</v>
      </c>
      <c r="C284" s="366">
        <f>IF(C277=0,0,C283/C277)</f>
        <v>0.68583800362926239</v>
      </c>
      <c r="D284" s="366">
        <f>IF(D277=0,0,LN_IIB7/D277)</f>
        <v>0.67208092927580099</v>
      </c>
      <c r="E284" s="367">
        <f t="shared" si="28"/>
        <v>-1.3757074353461407E-2</v>
      </c>
      <c r="F284" s="371">
        <f t="shared" si="29"/>
        <v>-2.0058781054218093E-2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712</v>
      </c>
      <c r="C285" s="361">
        <f>C28+C204+C234</f>
        <v>66948273</v>
      </c>
      <c r="D285" s="361">
        <f>LN_IA12+LN_IF15+LN_IG10</f>
        <v>67007530</v>
      </c>
      <c r="E285" s="361">
        <f t="shared" si="28"/>
        <v>59257</v>
      </c>
      <c r="F285" s="415">
        <f t="shared" si="29"/>
        <v>8.8511618514789769E-4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713</v>
      </c>
      <c r="C286" s="366">
        <f>IF(C283=0,0,C285/C283)</f>
        <v>0.32267925311769702</v>
      </c>
      <c r="D286" s="366">
        <f>IF(LN_IIB7=0,0,LN_IIB9/LN_IIB7)</f>
        <v>0.29843099144211244</v>
      </c>
      <c r="E286" s="367">
        <f t="shared" si="28"/>
        <v>-2.4248261675584581E-2</v>
      </c>
      <c r="F286" s="371">
        <f t="shared" si="29"/>
        <v>-7.5146640018842636E-2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714</v>
      </c>
      <c r="C287" s="353">
        <f>C277+C283</f>
        <v>509991137</v>
      </c>
      <c r="D287" s="353">
        <f>D277+LN_IIB7</f>
        <v>558618622</v>
      </c>
      <c r="E287" s="353">
        <f t="shared" si="28"/>
        <v>48627485</v>
      </c>
      <c r="F287" s="415">
        <f t="shared" si="29"/>
        <v>9.5349666831562999E-2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715</v>
      </c>
      <c r="C288" s="353">
        <f>C278+C285</f>
        <v>183023498</v>
      </c>
      <c r="D288" s="353">
        <f>LN_IIB2+LN_IIB9</f>
        <v>197594375</v>
      </c>
      <c r="E288" s="353">
        <f t="shared" si="28"/>
        <v>14570877</v>
      </c>
      <c r="F288" s="415">
        <f t="shared" si="29"/>
        <v>7.9612056152483762E-2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716</v>
      </c>
      <c r="C289" s="366">
        <f>IF(C287=0,0,C288/C287)</f>
        <v>0.35887584062073613</v>
      </c>
      <c r="D289" s="366">
        <f>IF(LN_IIB11=0,0,LN_IIB12/LN_IIB11)</f>
        <v>0.35371963486029295</v>
      </c>
      <c r="E289" s="367">
        <f t="shared" si="28"/>
        <v>-5.1562057604431777E-3</v>
      </c>
      <c r="F289" s="371">
        <f t="shared" si="29"/>
        <v>-1.4367659164586427E-2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59623</v>
      </c>
      <c r="D290" s="421">
        <f>LN_IA8+LN_IF11+LN_IG6</f>
        <v>63498</v>
      </c>
      <c r="E290" s="442">
        <f t="shared" si="28"/>
        <v>3875</v>
      </c>
      <c r="F290" s="371">
        <f t="shared" si="29"/>
        <v>6.4991697834728204E-2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717</v>
      </c>
      <c r="C291" s="361">
        <f>C287-C288</f>
        <v>326967639</v>
      </c>
      <c r="D291" s="429">
        <f>LN_IIB11-LN_IIB12</f>
        <v>361024247</v>
      </c>
      <c r="E291" s="353">
        <f t="shared" si="28"/>
        <v>34056608</v>
      </c>
      <c r="F291" s="415">
        <f t="shared" si="29"/>
        <v>0.10415895623236281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614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605</v>
      </c>
      <c r="C294" s="379">
        <f>IF(C18=0,0,C22/C18)</f>
        <v>4.8476768139162276</v>
      </c>
      <c r="D294" s="379">
        <f>IF(LN_IA4=0,0,LN_IA8/LN_IA4)</f>
        <v>4.7018961765620144</v>
      </c>
      <c r="E294" s="379">
        <f t="shared" ref="E294:E300" si="30">D294-C294</f>
        <v>-0.14578063735421321</v>
      </c>
      <c r="F294" s="415">
        <f t="shared" ref="F294:F300" si="31">IF(C294=0,0,E294/C294)</f>
        <v>-3.0072268212212636E-2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626</v>
      </c>
      <c r="C295" s="379">
        <f>IF(C45=0,0,C51/C45)</f>
        <v>3.5845013694216208</v>
      </c>
      <c r="D295" s="379">
        <f>IF(LN_IB4=0,0,(LN_IB10)/(LN_IB4))</f>
        <v>3.2552627216973313</v>
      </c>
      <c r="E295" s="379">
        <f t="shared" si="30"/>
        <v>-0.32923864772428946</v>
      </c>
      <c r="F295" s="415">
        <f t="shared" si="31"/>
        <v>-9.1850612900564732E-2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641</v>
      </c>
      <c r="C296" s="379">
        <f>IF(C86=0,0,C93/C86)</f>
        <v>3.2425149700598803</v>
      </c>
      <c r="D296" s="379">
        <f>IF(LN_IC4=0,0,LN_IC11/LN_IC4)</f>
        <v>2.9304812834224601</v>
      </c>
      <c r="E296" s="379">
        <f t="shared" si="30"/>
        <v>-0.31203368663742026</v>
      </c>
      <c r="F296" s="415">
        <f t="shared" si="31"/>
        <v>-9.6231995694273653E-2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3.5821375556655122</v>
      </c>
      <c r="D297" s="379">
        <f>IF(LN_ID4=0,0,LN_ID11/LN_ID4)</f>
        <v>3.7356727574750832</v>
      </c>
      <c r="E297" s="379">
        <f t="shared" si="30"/>
        <v>0.15353520180957103</v>
      </c>
      <c r="F297" s="415">
        <f t="shared" si="31"/>
        <v>4.2861336122265774E-2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718</v>
      </c>
      <c r="C298" s="379">
        <f>IF(C156=0,0,C163/C156)</f>
        <v>5.2738336713995944</v>
      </c>
      <c r="D298" s="379">
        <f>IF(LN_IE4=0,0,LN_IE11/LN_IE4)</f>
        <v>0</v>
      </c>
      <c r="E298" s="379">
        <f t="shared" si="30"/>
        <v>-5.2738336713995944</v>
      </c>
      <c r="F298" s="415">
        <f t="shared" si="31"/>
        <v>-1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418</v>
      </c>
      <c r="C299" s="379">
        <f>IF(C224=0,0,C228/C224)</f>
        <v>5</v>
      </c>
      <c r="D299" s="379">
        <f>IF(LN_IG3=0,0,LN_IG6/LN_IG3)</f>
        <v>2.8043478260869565</v>
      </c>
      <c r="E299" s="379">
        <f t="shared" si="30"/>
        <v>-2.1956521739130435</v>
      </c>
      <c r="F299" s="415">
        <f t="shared" si="31"/>
        <v>-0.43913043478260871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719</v>
      </c>
      <c r="C300" s="379">
        <f>IF(C264=0,0,C274/C264)</f>
        <v>4.1949070041502283</v>
      </c>
      <c r="D300" s="379">
        <f>IF(LN_IIA4=0,0,LN_IIA14/LN_IIA4)</f>
        <v>4.0463837243259029</v>
      </c>
      <c r="E300" s="379">
        <f t="shared" si="30"/>
        <v>-0.14852327982432545</v>
      </c>
      <c r="F300" s="415">
        <f t="shared" si="31"/>
        <v>-3.5405619165665425E-2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720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714</v>
      </c>
      <c r="C304" s="353">
        <f>C35+C66+C214+C221+C233</f>
        <v>800740049</v>
      </c>
      <c r="D304" s="353">
        <f>LN_IIA11</f>
        <v>841847719</v>
      </c>
      <c r="E304" s="353">
        <f t="shared" ref="E304:E316" si="32">D304-C304</f>
        <v>41107670</v>
      </c>
      <c r="F304" s="362">
        <f>IF(C304=0,0,E304/C304)</f>
        <v>5.1337097540377928E-2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717</v>
      </c>
      <c r="C305" s="353">
        <f>C291</f>
        <v>326967639</v>
      </c>
      <c r="D305" s="353">
        <f>LN_IIB14</f>
        <v>361024247</v>
      </c>
      <c r="E305" s="353">
        <f t="shared" si="32"/>
        <v>34056608</v>
      </c>
      <c r="F305" s="362">
        <f>IF(C305=0,0,E305/C305)</f>
        <v>0.10415895623236281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721</v>
      </c>
      <c r="C306" s="353">
        <f>C250</f>
        <v>17968907</v>
      </c>
      <c r="D306" s="353">
        <f>LN_IH6</f>
        <v>18402615</v>
      </c>
      <c r="E306" s="353">
        <f t="shared" si="32"/>
        <v>433708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722</v>
      </c>
      <c r="C307" s="353">
        <f>C73-C74</f>
        <v>125059244</v>
      </c>
      <c r="D307" s="353">
        <f>LN_IB32-LN_IB33</f>
        <v>108421746</v>
      </c>
      <c r="E307" s="353">
        <f t="shared" si="32"/>
        <v>-16637498</v>
      </c>
      <c r="F307" s="362">
        <f t="shared" ref="F307:F316" si="33">IF(C307=0,0,E307/C307)</f>
        <v>-0.13303693088053531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723</v>
      </c>
      <c r="C308" s="353">
        <v>0</v>
      </c>
      <c r="D308" s="353">
        <v>0</v>
      </c>
      <c r="E308" s="353">
        <f t="shared" si="32"/>
        <v>0</v>
      </c>
      <c r="F308" s="362">
        <f t="shared" si="33"/>
        <v>0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724</v>
      </c>
      <c r="C309" s="353">
        <f>C305+C307+C308+C306</f>
        <v>469995790</v>
      </c>
      <c r="D309" s="353">
        <f>LN_III2+LN_III3+LN_III4+LN_III5</f>
        <v>487848608</v>
      </c>
      <c r="E309" s="353">
        <f t="shared" si="32"/>
        <v>17852818</v>
      </c>
      <c r="F309" s="362">
        <f t="shared" si="33"/>
        <v>3.7985059398085247E-2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725</v>
      </c>
      <c r="C310" s="353">
        <f>C304-C309</f>
        <v>330744259</v>
      </c>
      <c r="D310" s="353">
        <f>LN_III1-LN_III6</f>
        <v>353999111</v>
      </c>
      <c r="E310" s="353">
        <f t="shared" si="32"/>
        <v>23254852</v>
      </c>
      <c r="F310" s="362">
        <f t="shared" si="33"/>
        <v>7.0310674689594538E-2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726</v>
      </c>
      <c r="C311" s="353">
        <f>C245</f>
        <v>1763987</v>
      </c>
      <c r="D311" s="353">
        <f>LN_IH3</f>
        <v>0</v>
      </c>
      <c r="E311" s="353">
        <f t="shared" si="32"/>
        <v>-1763987</v>
      </c>
      <c r="F311" s="362">
        <f t="shared" si="33"/>
        <v>-1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727</v>
      </c>
      <c r="C312" s="353">
        <f>C310+C311</f>
        <v>332508246</v>
      </c>
      <c r="D312" s="353">
        <f>LN_III7+LN_III8</f>
        <v>353999111</v>
      </c>
      <c r="E312" s="353">
        <f t="shared" si="32"/>
        <v>21490865</v>
      </c>
      <c r="F312" s="362">
        <f t="shared" si="33"/>
        <v>6.4632577563204258E-2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728</v>
      </c>
      <c r="C313" s="448">
        <f>IF(C304=0,0,C312/C304)</f>
        <v>0.415251174729241</v>
      </c>
      <c r="D313" s="448">
        <f>IF(LN_III1=0,0,LN_III9/LN_III1)</f>
        <v>0.42050254815740612</v>
      </c>
      <c r="E313" s="448">
        <f t="shared" si="32"/>
        <v>5.2513734281651181E-3</v>
      </c>
      <c r="F313" s="362">
        <f t="shared" si="33"/>
        <v>1.2646257850057152E-2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686</v>
      </c>
      <c r="C314" s="353">
        <f>C306*C313</f>
        <v>7461609.7403504821</v>
      </c>
      <c r="D314" s="353">
        <f>D313*LN_III5</f>
        <v>7738346.500259704</v>
      </c>
      <c r="E314" s="353">
        <f t="shared" si="32"/>
        <v>276736.7599092219</v>
      </c>
      <c r="F314" s="362">
        <f t="shared" si="33"/>
        <v>3.708807744429464E-2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689</v>
      </c>
      <c r="C315" s="353">
        <f>(C214*C313)-C215</f>
        <v>9850304.3678601012</v>
      </c>
      <c r="D315" s="353">
        <f>D313*LN_IH8-LN_IH9</f>
        <v>13029374.528758541</v>
      </c>
      <c r="E315" s="353">
        <f t="shared" si="32"/>
        <v>3179070.1608984396</v>
      </c>
      <c r="F315" s="362">
        <f t="shared" si="33"/>
        <v>0.32273826697895902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729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730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731</v>
      </c>
      <c r="C318" s="353">
        <f>C314+C315+C316</f>
        <v>17311914.108210582</v>
      </c>
      <c r="D318" s="353">
        <f>D314+D315+D316</f>
        <v>20767721.029018246</v>
      </c>
      <c r="E318" s="353">
        <f>D318-C318</f>
        <v>3455806.9208076634</v>
      </c>
      <c r="F318" s="362">
        <f>IF(C318=0,0,E318/C318)</f>
        <v>0.19962015171786612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732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8099391.7972753337</v>
      </c>
      <c r="D322" s="353">
        <f>LN_ID22</f>
        <v>5730562.7264147094</v>
      </c>
      <c r="E322" s="353">
        <f>LN_IV2-C322</f>
        <v>-2368829.0708606243</v>
      </c>
      <c r="F322" s="362">
        <f>IF(C322=0,0,E322/C322)</f>
        <v>-0.29246999406270324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718</v>
      </c>
      <c r="C323" s="353">
        <f>C162+C176</f>
        <v>3399794.8214312103</v>
      </c>
      <c r="D323" s="353">
        <f>LN_IE10+LN_IE22</f>
        <v>0</v>
      </c>
      <c r="E323" s="353">
        <f>LN_IV3-C323</f>
        <v>-3399794.8214312103</v>
      </c>
      <c r="F323" s="362">
        <f>IF(C323=0,0,E323/C323)</f>
        <v>-1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733</v>
      </c>
      <c r="C324" s="353">
        <f>C92+C106</f>
        <v>2969997.622845287</v>
      </c>
      <c r="D324" s="353">
        <f>LN_IC10+LN_IC22</f>
        <v>3486032.4626411218</v>
      </c>
      <c r="E324" s="353">
        <f>LN_IV1-C324</f>
        <v>516034.83979583485</v>
      </c>
      <c r="F324" s="362">
        <f>IF(C324=0,0,E324/C324)</f>
        <v>0.17374924337530898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734</v>
      </c>
      <c r="C325" s="429">
        <f>C324+C322+C323</f>
        <v>14469184.241551831</v>
      </c>
      <c r="D325" s="429">
        <f>LN_IV1+LN_IV2+LN_IV3</f>
        <v>9216595.1890558302</v>
      </c>
      <c r="E325" s="353">
        <f>LN_IV4-C325</f>
        <v>-5252589.0524960011</v>
      </c>
      <c r="F325" s="362">
        <f>IF(C325=0,0,E325/C325)</f>
        <v>-0.36301901785256807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735</v>
      </c>
      <c r="B327" s="446" t="s">
        <v>736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737</v>
      </c>
      <c r="C329" s="431">
        <v>0</v>
      </c>
      <c r="D329" s="431">
        <v>0</v>
      </c>
      <c r="E329" s="431">
        <f t="shared" ref="E329:E335" si="34">D329-C329</f>
        <v>0</v>
      </c>
      <c r="F329" s="462">
        <f t="shared" ref="F329:F335" si="35">IF(C329=0,0,E329/C329)</f>
        <v>0</v>
      </c>
    </row>
    <row r="330" spans="1:22" s="333" customFormat="1" ht="11.25" customHeight="1" x14ac:dyDescent="0.2">
      <c r="A330" s="364">
        <v>2</v>
      </c>
      <c r="B330" s="360" t="s">
        <v>738</v>
      </c>
      <c r="C330" s="429">
        <v>18469683</v>
      </c>
      <c r="D330" s="429">
        <v>10914736</v>
      </c>
      <c r="E330" s="431">
        <f t="shared" si="34"/>
        <v>-7554947</v>
      </c>
      <c r="F330" s="463">
        <f t="shared" si="35"/>
        <v>-0.40904584014787909</v>
      </c>
    </row>
    <row r="331" spans="1:22" s="333" customFormat="1" ht="11.25" customHeight="1" x14ac:dyDescent="0.2">
      <c r="A331" s="339">
        <v>3</v>
      </c>
      <c r="B331" s="360" t="s">
        <v>739</v>
      </c>
      <c r="C331" s="429">
        <v>368946837</v>
      </c>
      <c r="D331" s="429">
        <v>383316464</v>
      </c>
      <c r="E331" s="431">
        <f t="shared" si="34"/>
        <v>14369627</v>
      </c>
      <c r="F331" s="462">
        <f t="shared" si="35"/>
        <v>3.8947689907963622E-2</v>
      </c>
    </row>
    <row r="332" spans="1:22" s="333" customFormat="1" ht="11.25" customHeight="1" x14ac:dyDescent="0.2">
      <c r="A332" s="364">
        <v>4</v>
      </c>
      <c r="B332" s="360" t="s">
        <v>740</v>
      </c>
      <c r="C332" s="429">
        <v>8584797</v>
      </c>
      <c r="D332" s="429">
        <v>8748112</v>
      </c>
      <c r="E332" s="431">
        <f t="shared" si="34"/>
        <v>163315</v>
      </c>
      <c r="F332" s="463">
        <f t="shared" si="35"/>
        <v>1.9023746280779848E-2</v>
      </c>
    </row>
    <row r="333" spans="1:22" s="333" customFormat="1" ht="11.25" customHeight="1" x14ac:dyDescent="0.2">
      <c r="A333" s="364">
        <v>5</v>
      </c>
      <c r="B333" s="360" t="s">
        <v>741</v>
      </c>
      <c r="C333" s="429">
        <v>809324847</v>
      </c>
      <c r="D333" s="429">
        <v>850595831</v>
      </c>
      <c r="E333" s="431">
        <f t="shared" si="34"/>
        <v>41270984</v>
      </c>
      <c r="F333" s="462">
        <f t="shared" si="35"/>
        <v>5.0994337011872316E-2</v>
      </c>
    </row>
    <row r="334" spans="1:22" s="333" customFormat="1" ht="11.25" customHeight="1" x14ac:dyDescent="0.2">
      <c r="A334" s="339">
        <v>6</v>
      </c>
      <c r="B334" s="360" t="s">
        <v>742</v>
      </c>
      <c r="C334" s="429">
        <v>1403970</v>
      </c>
      <c r="D334" s="429">
        <v>1248893</v>
      </c>
      <c r="E334" s="429">
        <f t="shared" si="34"/>
        <v>-155077</v>
      </c>
      <c r="F334" s="463">
        <f t="shared" si="35"/>
        <v>-0.11045606387600874</v>
      </c>
    </row>
    <row r="335" spans="1:22" s="333" customFormat="1" ht="11.25" customHeight="1" x14ac:dyDescent="0.2">
      <c r="A335" s="364">
        <v>7</v>
      </c>
      <c r="B335" s="360" t="s">
        <v>743</v>
      </c>
      <c r="C335" s="429">
        <v>19372878</v>
      </c>
      <c r="D335" s="429">
        <v>19651508</v>
      </c>
      <c r="E335" s="429">
        <f t="shared" si="34"/>
        <v>278630</v>
      </c>
      <c r="F335" s="462">
        <f t="shared" si="35"/>
        <v>1.4382478431960393E-2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horizontalDpi="1200" verticalDpi="1200"/>
  <headerFooter>
    <oddHeader>&amp;LOFFICE OF HEALTH CARE ACCESS&amp;CTWELVE MONTHS ACTUAL FILING&amp;RTHE HOSPITAL OF CENTRAL CONNECTICUT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SheetLayoutView="68" workbookViewId="0"/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140625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596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744</v>
      </c>
      <c r="B5" s="710"/>
      <c r="C5" s="710"/>
      <c r="D5" s="710"/>
      <c r="E5" s="710"/>
    </row>
    <row r="6" spans="1:5" s="338" customFormat="1" ht="15.75" customHeight="1" x14ac:dyDescent="0.25">
      <c r="A6" s="710" t="s">
        <v>745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746</v>
      </c>
      <c r="D9" s="494" t="s">
        <v>747</v>
      </c>
      <c r="E9" s="495" t="s">
        <v>748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749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750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626</v>
      </c>
      <c r="C14" s="513">
        <v>114447652</v>
      </c>
      <c r="D14" s="513">
        <v>109193764</v>
      </c>
      <c r="E14" s="514">
        <f t="shared" ref="E14:E22" si="0">D14-C14</f>
        <v>-5253888</v>
      </c>
    </row>
    <row r="15" spans="1:5" s="506" customFormat="1" x14ac:dyDescent="0.2">
      <c r="A15" s="512">
        <v>2</v>
      </c>
      <c r="B15" s="511" t="s">
        <v>605</v>
      </c>
      <c r="C15" s="513">
        <v>229942065</v>
      </c>
      <c r="D15" s="515">
        <v>254787684</v>
      </c>
      <c r="E15" s="514">
        <f t="shared" si="0"/>
        <v>24845619</v>
      </c>
    </row>
    <row r="16" spans="1:5" s="506" customFormat="1" x14ac:dyDescent="0.2">
      <c r="A16" s="512">
        <v>3</v>
      </c>
      <c r="B16" s="511" t="s">
        <v>751</v>
      </c>
      <c r="C16" s="513">
        <v>71817911</v>
      </c>
      <c r="D16" s="515">
        <v>78785125</v>
      </c>
      <c r="E16" s="514">
        <f t="shared" si="0"/>
        <v>6967214</v>
      </c>
    </row>
    <row r="17" spans="1:5" s="506" customFormat="1" x14ac:dyDescent="0.2">
      <c r="A17" s="512">
        <v>4</v>
      </c>
      <c r="B17" s="511" t="s">
        <v>114</v>
      </c>
      <c r="C17" s="513">
        <v>58585464</v>
      </c>
      <c r="D17" s="515">
        <v>78785125</v>
      </c>
      <c r="E17" s="514">
        <f t="shared" si="0"/>
        <v>20199661</v>
      </c>
    </row>
    <row r="18" spans="1:5" s="506" customFormat="1" x14ac:dyDescent="0.2">
      <c r="A18" s="512">
        <v>5</v>
      </c>
      <c r="B18" s="511" t="s">
        <v>718</v>
      </c>
      <c r="C18" s="513">
        <v>13232447</v>
      </c>
      <c r="D18" s="515">
        <v>0</v>
      </c>
      <c r="E18" s="514">
        <f t="shared" si="0"/>
        <v>-13232447</v>
      </c>
    </row>
    <row r="19" spans="1:5" s="506" customFormat="1" x14ac:dyDescent="0.2">
      <c r="A19" s="512">
        <v>6</v>
      </c>
      <c r="B19" s="511" t="s">
        <v>418</v>
      </c>
      <c r="C19" s="513">
        <v>754937</v>
      </c>
      <c r="D19" s="515">
        <v>513067</v>
      </c>
      <c r="E19" s="514">
        <f t="shared" si="0"/>
        <v>-241870</v>
      </c>
    </row>
    <row r="20" spans="1:5" s="506" customFormat="1" x14ac:dyDescent="0.2">
      <c r="A20" s="512">
        <v>7</v>
      </c>
      <c r="B20" s="511" t="s">
        <v>733</v>
      </c>
      <c r="C20" s="513">
        <v>5651953</v>
      </c>
      <c r="D20" s="515">
        <v>3318356</v>
      </c>
      <c r="E20" s="514">
        <f t="shared" si="0"/>
        <v>-2333597</v>
      </c>
    </row>
    <row r="21" spans="1:5" s="506" customFormat="1" x14ac:dyDescent="0.2">
      <c r="A21" s="512"/>
      <c r="B21" s="516" t="s">
        <v>752</v>
      </c>
      <c r="C21" s="517">
        <f>SUM(C15+C16+C19)</f>
        <v>302514913</v>
      </c>
      <c r="D21" s="517">
        <f>SUM(D15+D16+D19)</f>
        <v>334085876</v>
      </c>
      <c r="E21" s="517">
        <f t="shared" si="0"/>
        <v>31570963</v>
      </c>
    </row>
    <row r="22" spans="1:5" s="506" customFormat="1" x14ac:dyDescent="0.2">
      <c r="A22" s="512"/>
      <c r="B22" s="516" t="s">
        <v>692</v>
      </c>
      <c r="C22" s="517">
        <f>SUM(C14+C21)</f>
        <v>416962565</v>
      </c>
      <c r="D22" s="517">
        <f>SUM(D14+D21)</f>
        <v>443279640</v>
      </c>
      <c r="E22" s="517">
        <f t="shared" si="0"/>
        <v>26317075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753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626</v>
      </c>
      <c r="C25" s="513">
        <v>176301260</v>
      </c>
      <c r="D25" s="513">
        <v>174035333</v>
      </c>
      <c r="E25" s="514">
        <f t="shared" ref="E25:E33" si="1">D25-C25</f>
        <v>-2265927</v>
      </c>
    </row>
    <row r="26" spans="1:5" s="506" customFormat="1" x14ac:dyDescent="0.2">
      <c r="A26" s="512">
        <v>2</v>
      </c>
      <c r="B26" s="511" t="s">
        <v>605</v>
      </c>
      <c r="C26" s="513">
        <v>125477668</v>
      </c>
      <c r="D26" s="515">
        <v>130399003</v>
      </c>
      <c r="E26" s="514">
        <f t="shared" si="1"/>
        <v>4921335</v>
      </c>
    </row>
    <row r="27" spans="1:5" s="506" customFormat="1" x14ac:dyDescent="0.2">
      <c r="A27" s="512">
        <v>3</v>
      </c>
      <c r="B27" s="511" t="s">
        <v>751</v>
      </c>
      <c r="C27" s="513">
        <v>81329175</v>
      </c>
      <c r="D27" s="515">
        <v>93414111</v>
      </c>
      <c r="E27" s="514">
        <f t="shared" si="1"/>
        <v>12084936</v>
      </c>
    </row>
    <row r="28" spans="1:5" s="506" customFormat="1" x14ac:dyDescent="0.2">
      <c r="A28" s="512">
        <v>4</v>
      </c>
      <c r="B28" s="511" t="s">
        <v>114</v>
      </c>
      <c r="C28" s="513">
        <v>70754649</v>
      </c>
      <c r="D28" s="515">
        <v>93414111</v>
      </c>
      <c r="E28" s="514">
        <f t="shared" si="1"/>
        <v>22659462</v>
      </c>
    </row>
    <row r="29" spans="1:5" s="506" customFormat="1" x14ac:dyDescent="0.2">
      <c r="A29" s="512">
        <v>5</v>
      </c>
      <c r="B29" s="511" t="s">
        <v>718</v>
      </c>
      <c r="C29" s="513">
        <v>10574526</v>
      </c>
      <c r="D29" s="515">
        <v>0</v>
      </c>
      <c r="E29" s="514">
        <f t="shared" si="1"/>
        <v>-10574526</v>
      </c>
    </row>
    <row r="30" spans="1:5" s="506" customFormat="1" x14ac:dyDescent="0.2">
      <c r="A30" s="512">
        <v>6</v>
      </c>
      <c r="B30" s="511" t="s">
        <v>418</v>
      </c>
      <c r="C30" s="513">
        <v>669381</v>
      </c>
      <c r="D30" s="515">
        <v>719632</v>
      </c>
      <c r="E30" s="514">
        <f t="shared" si="1"/>
        <v>50251</v>
      </c>
    </row>
    <row r="31" spans="1:5" s="506" customFormat="1" x14ac:dyDescent="0.2">
      <c r="A31" s="512">
        <v>7</v>
      </c>
      <c r="B31" s="511" t="s">
        <v>733</v>
      </c>
      <c r="C31" s="514">
        <v>14929960</v>
      </c>
      <c r="D31" s="518">
        <v>14252846</v>
      </c>
      <c r="E31" s="514">
        <f t="shared" si="1"/>
        <v>-677114</v>
      </c>
    </row>
    <row r="32" spans="1:5" s="506" customFormat="1" x14ac:dyDescent="0.2">
      <c r="A32" s="512"/>
      <c r="B32" s="516" t="s">
        <v>754</v>
      </c>
      <c r="C32" s="517">
        <f>SUM(C26+C27+C30)</f>
        <v>207476224</v>
      </c>
      <c r="D32" s="517">
        <f>SUM(D26+D27+D30)</f>
        <v>224532746</v>
      </c>
      <c r="E32" s="517">
        <f t="shared" si="1"/>
        <v>17056522</v>
      </c>
    </row>
    <row r="33" spans="1:5" s="506" customFormat="1" x14ac:dyDescent="0.2">
      <c r="A33" s="512"/>
      <c r="B33" s="516" t="s">
        <v>698</v>
      </c>
      <c r="C33" s="517">
        <f>SUM(C25+C32)</f>
        <v>383777484</v>
      </c>
      <c r="D33" s="517">
        <f>SUM(D25+D32)</f>
        <v>398568079</v>
      </c>
      <c r="E33" s="517">
        <f t="shared" si="1"/>
        <v>14790595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623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755</v>
      </c>
      <c r="C36" s="514">
        <f t="shared" ref="C36:D42" si="2">C14+C25</f>
        <v>290748912</v>
      </c>
      <c r="D36" s="514">
        <f t="shared" si="2"/>
        <v>283229097</v>
      </c>
      <c r="E36" s="514">
        <f t="shared" ref="E36:E44" si="3">D36-C36</f>
        <v>-7519815</v>
      </c>
    </row>
    <row r="37" spans="1:5" s="506" customFormat="1" x14ac:dyDescent="0.2">
      <c r="A37" s="512">
        <v>2</v>
      </c>
      <c r="B37" s="511" t="s">
        <v>756</v>
      </c>
      <c r="C37" s="514">
        <f t="shared" si="2"/>
        <v>355419733</v>
      </c>
      <c r="D37" s="514">
        <f t="shared" si="2"/>
        <v>385186687</v>
      </c>
      <c r="E37" s="514">
        <f t="shared" si="3"/>
        <v>29766954</v>
      </c>
    </row>
    <row r="38" spans="1:5" s="506" customFormat="1" x14ac:dyDescent="0.2">
      <c r="A38" s="512">
        <v>3</v>
      </c>
      <c r="B38" s="511" t="s">
        <v>757</v>
      </c>
      <c r="C38" s="514">
        <f t="shared" si="2"/>
        <v>153147086</v>
      </c>
      <c r="D38" s="514">
        <f t="shared" si="2"/>
        <v>172199236</v>
      </c>
      <c r="E38" s="514">
        <f t="shared" si="3"/>
        <v>19052150</v>
      </c>
    </row>
    <row r="39" spans="1:5" s="506" customFormat="1" x14ac:dyDescent="0.2">
      <c r="A39" s="512">
        <v>4</v>
      </c>
      <c r="B39" s="511" t="s">
        <v>758</v>
      </c>
      <c r="C39" s="514">
        <f t="shared" si="2"/>
        <v>129340113</v>
      </c>
      <c r="D39" s="514">
        <f t="shared" si="2"/>
        <v>172199236</v>
      </c>
      <c r="E39" s="514">
        <f t="shared" si="3"/>
        <v>42859123</v>
      </c>
    </row>
    <row r="40" spans="1:5" s="506" customFormat="1" x14ac:dyDescent="0.2">
      <c r="A40" s="512">
        <v>5</v>
      </c>
      <c r="B40" s="511" t="s">
        <v>759</v>
      </c>
      <c r="C40" s="514">
        <f t="shared" si="2"/>
        <v>23806973</v>
      </c>
      <c r="D40" s="514">
        <f t="shared" si="2"/>
        <v>0</v>
      </c>
      <c r="E40" s="514">
        <f t="shared" si="3"/>
        <v>-23806973</v>
      </c>
    </row>
    <row r="41" spans="1:5" s="506" customFormat="1" x14ac:dyDescent="0.2">
      <c r="A41" s="512">
        <v>6</v>
      </c>
      <c r="B41" s="511" t="s">
        <v>760</v>
      </c>
      <c r="C41" s="514">
        <f t="shared" si="2"/>
        <v>1424318</v>
      </c>
      <c r="D41" s="514">
        <f t="shared" si="2"/>
        <v>1232699</v>
      </c>
      <c r="E41" s="514">
        <f t="shared" si="3"/>
        <v>-191619</v>
      </c>
    </row>
    <row r="42" spans="1:5" s="506" customFormat="1" x14ac:dyDescent="0.2">
      <c r="A42" s="512">
        <v>7</v>
      </c>
      <c r="B42" s="511" t="s">
        <v>761</v>
      </c>
      <c r="C42" s="514">
        <f t="shared" si="2"/>
        <v>20581913</v>
      </c>
      <c r="D42" s="514">
        <f t="shared" si="2"/>
        <v>17571202</v>
      </c>
      <c r="E42" s="514">
        <f t="shared" si="3"/>
        <v>-3010711</v>
      </c>
    </row>
    <row r="43" spans="1:5" s="506" customFormat="1" x14ac:dyDescent="0.2">
      <c r="A43" s="512"/>
      <c r="B43" s="516" t="s">
        <v>762</v>
      </c>
      <c r="C43" s="517">
        <f>SUM(C37+C38+C41)</f>
        <v>509991137</v>
      </c>
      <c r="D43" s="517">
        <f>SUM(D37+D38+D41)</f>
        <v>558618622</v>
      </c>
      <c r="E43" s="517">
        <f t="shared" si="3"/>
        <v>48627485</v>
      </c>
    </row>
    <row r="44" spans="1:5" s="506" customFormat="1" x14ac:dyDescent="0.2">
      <c r="A44" s="512"/>
      <c r="B44" s="516" t="s">
        <v>700</v>
      </c>
      <c r="C44" s="517">
        <f>SUM(C36+C43)</f>
        <v>800740049</v>
      </c>
      <c r="D44" s="517">
        <f>SUM(D36+D43)</f>
        <v>841847719</v>
      </c>
      <c r="E44" s="517">
        <f t="shared" si="3"/>
        <v>41107670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321</v>
      </c>
      <c r="B46" s="509" t="s">
        <v>763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626</v>
      </c>
      <c r="C47" s="513">
        <v>59899198</v>
      </c>
      <c r="D47" s="513">
        <v>69099679</v>
      </c>
      <c r="E47" s="514">
        <f t="shared" ref="E47:E55" si="4">D47-C47</f>
        <v>9200481</v>
      </c>
    </row>
    <row r="48" spans="1:5" s="506" customFormat="1" x14ac:dyDescent="0.2">
      <c r="A48" s="512">
        <v>2</v>
      </c>
      <c r="B48" s="511" t="s">
        <v>605</v>
      </c>
      <c r="C48" s="513">
        <v>92780179</v>
      </c>
      <c r="D48" s="515">
        <v>104104559</v>
      </c>
      <c r="E48" s="514">
        <f t="shared" si="4"/>
        <v>11324380</v>
      </c>
    </row>
    <row r="49" spans="1:5" s="506" customFormat="1" x14ac:dyDescent="0.2">
      <c r="A49" s="512">
        <v>3</v>
      </c>
      <c r="B49" s="511" t="s">
        <v>751</v>
      </c>
      <c r="C49" s="513">
        <v>23112960</v>
      </c>
      <c r="D49" s="515">
        <v>26215246</v>
      </c>
      <c r="E49" s="514">
        <f t="shared" si="4"/>
        <v>3102286</v>
      </c>
    </row>
    <row r="50" spans="1:5" s="506" customFormat="1" x14ac:dyDescent="0.2">
      <c r="A50" s="512">
        <v>4</v>
      </c>
      <c r="B50" s="511" t="s">
        <v>114</v>
      </c>
      <c r="C50" s="513">
        <v>20418163</v>
      </c>
      <c r="D50" s="515">
        <v>26215246</v>
      </c>
      <c r="E50" s="514">
        <f t="shared" si="4"/>
        <v>5797083</v>
      </c>
    </row>
    <row r="51" spans="1:5" s="506" customFormat="1" x14ac:dyDescent="0.2">
      <c r="A51" s="512">
        <v>5</v>
      </c>
      <c r="B51" s="511" t="s">
        <v>718</v>
      </c>
      <c r="C51" s="513">
        <v>2694797</v>
      </c>
      <c r="D51" s="515">
        <v>0</v>
      </c>
      <c r="E51" s="514">
        <f t="shared" si="4"/>
        <v>-2694797</v>
      </c>
    </row>
    <row r="52" spans="1:5" s="506" customFormat="1" x14ac:dyDescent="0.2">
      <c r="A52" s="512">
        <v>6</v>
      </c>
      <c r="B52" s="511" t="s">
        <v>418</v>
      </c>
      <c r="C52" s="513">
        <v>182086</v>
      </c>
      <c r="D52" s="515">
        <v>267040</v>
      </c>
      <c r="E52" s="514">
        <f t="shared" si="4"/>
        <v>84954</v>
      </c>
    </row>
    <row r="53" spans="1:5" s="506" customFormat="1" x14ac:dyDescent="0.2">
      <c r="A53" s="512">
        <v>7</v>
      </c>
      <c r="B53" s="511" t="s">
        <v>733</v>
      </c>
      <c r="C53" s="513">
        <v>583493</v>
      </c>
      <c r="D53" s="515">
        <v>516899</v>
      </c>
      <c r="E53" s="514">
        <f t="shared" si="4"/>
        <v>-66594</v>
      </c>
    </row>
    <row r="54" spans="1:5" s="506" customFormat="1" x14ac:dyDescent="0.2">
      <c r="A54" s="512"/>
      <c r="B54" s="516" t="s">
        <v>764</v>
      </c>
      <c r="C54" s="517">
        <f>SUM(C48+C49+C52)</f>
        <v>116075225</v>
      </c>
      <c r="D54" s="517">
        <f>SUM(D48+D49+D52)</f>
        <v>130586845</v>
      </c>
      <c r="E54" s="517">
        <f t="shared" si="4"/>
        <v>14511620</v>
      </c>
    </row>
    <row r="55" spans="1:5" s="506" customFormat="1" x14ac:dyDescent="0.2">
      <c r="A55" s="512"/>
      <c r="B55" s="516" t="s">
        <v>693</v>
      </c>
      <c r="C55" s="517">
        <f>SUM(C47+C54)</f>
        <v>175974423</v>
      </c>
      <c r="D55" s="517">
        <f>SUM(D47+D54)</f>
        <v>199686524</v>
      </c>
      <c r="E55" s="517">
        <f t="shared" si="4"/>
        <v>23712101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342</v>
      </c>
      <c r="B57" s="509" t="s">
        <v>765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626</v>
      </c>
      <c r="C58" s="513">
        <v>105790470</v>
      </c>
      <c r="D58" s="513">
        <v>105707671</v>
      </c>
      <c r="E58" s="514">
        <f t="shared" ref="E58:E66" si="5">D58-C58</f>
        <v>-82799</v>
      </c>
    </row>
    <row r="59" spans="1:5" s="506" customFormat="1" x14ac:dyDescent="0.2">
      <c r="A59" s="512">
        <v>2</v>
      </c>
      <c r="B59" s="511" t="s">
        <v>605</v>
      </c>
      <c r="C59" s="513">
        <v>36115814</v>
      </c>
      <c r="D59" s="515">
        <v>33644970</v>
      </c>
      <c r="E59" s="514">
        <f t="shared" si="5"/>
        <v>-2470844</v>
      </c>
    </row>
    <row r="60" spans="1:5" s="506" customFormat="1" x14ac:dyDescent="0.2">
      <c r="A60" s="512">
        <v>3</v>
      </c>
      <c r="B60" s="511" t="s">
        <v>751</v>
      </c>
      <c r="C60" s="513">
        <f>C61+C62</f>
        <v>30631243</v>
      </c>
      <c r="D60" s="515">
        <f>D61+D62</f>
        <v>33165597</v>
      </c>
      <c r="E60" s="514">
        <f t="shared" si="5"/>
        <v>2534354</v>
      </c>
    </row>
    <row r="61" spans="1:5" s="506" customFormat="1" x14ac:dyDescent="0.2">
      <c r="A61" s="512">
        <v>4</v>
      </c>
      <c r="B61" s="511" t="s">
        <v>114</v>
      </c>
      <c r="C61" s="513">
        <v>28874807</v>
      </c>
      <c r="D61" s="515">
        <v>33165597</v>
      </c>
      <c r="E61" s="514">
        <f t="shared" si="5"/>
        <v>4290790</v>
      </c>
    </row>
    <row r="62" spans="1:5" s="506" customFormat="1" x14ac:dyDescent="0.2">
      <c r="A62" s="512">
        <v>5</v>
      </c>
      <c r="B62" s="511" t="s">
        <v>718</v>
      </c>
      <c r="C62" s="513">
        <v>1756436</v>
      </c>
      <c r="D62" s="515">
        <v>0</v>
      </c>
      <c r="E62" s="514">
        <f t="shared" si="5"/>
        <v>-1756436</v>
      </c>
    </row>
    <row r="63" spans="1:5" s="506" customFormat="1" x14ac:dyDescent="0.2">
      <c r="A63" s="512">
        <v>6</v>
      </c>
      <c r="B63" s="511" t="s">
        <v>418</v>
      </c>
      <c r="C63" s="513">
        <v>201216</v>
      </c>
      <c r="D63" s="515">
        <v>196963</v>
      </c>
      <c r="E63" s="514">
        <f t="shared" si="5"/>
        <v>-4253</v>
      </c>
    </row>
    <row r="64" spans="1:5" s="506" customFormat="1" x14ac:dyDescent="0.2">
      <c r="A64" s="512">
        <v>7</v>
      </c>
      <c r="B64" s="511" t="s">
        <v>733</v>
      </c>
      <c r="C64" s="513">
        <v>5500273</v>
      </c>
      <c r="D64" s="515">
        <v>3015191</v>
      </c>
      <c r="E64" s="514">
        <f t="shared" si="5"/>
        <v>-2485082</v>
      </c>
    </row>
    <row r="65" spans="1:5" s="506" customFormat="1" x14ac:dyDescent="0.2">
      <c r="A65" s="512"/>
      <c r="B65" s="516" t="s">
        <v>766</v>
      </c>
      <c r="C65" s="517">
        <f>SUM(C59+C60+C63)</f>
        <v>66948273</v>
      </c>
      <c r="D65" s="517">
        <f>SUM(D59+D60+D63)</f>
        <v>67007530</v>
      </c>
      <c r="E65" s="517">
        <f t="shared" si="5"/>
        <v>59257</v>
      </c>
    </row>
    <row r="66" spans="1:5" s="506" customFormat="1" x14ac:dyDescent="0.2">
      <c r="A66" s="512"/>
      <c r="B66" s="516" t="s">
        <v>699</v>
      </c>
      <c r="C66" s="517">
        <f>SUM(C58+C65)</f>
        <v>172738743</v>
      </c>
      <c r="D66" s="517">
        <f>SUM(D58+D65)</f>
        <v>172715201</v>
      </c>
      <c r="E66" s="517">
        <f t="shared" si="5"/>
        <v>-23542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354</v>
      </c>
      <c r="B68" s="521" t="s">
        <v>624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755</v>
      </c>
      <c r="C69" s="514">
        <f t="shared" ref="C69:D75" si="6">C47+C58</f>
        <v>165689668</v>
      </c>
      <c r="D69" s="514">
        <f t="shared" si="6"/>
        <v>174807350</v>
      </c>
      <c r="E69" s="514">
        <f t="shared" ref="E69:E77" si="7">D69-C69</f>
        <v>9117682</v>
      </c>
    </row>
    <row r="70" spans="1:5" s="506" customFormat="1" x14ac:dyDescent="0.2">
      <c r="A70" s="512">
        <v>2</v>
      </c>
      <c r="B70" s="511" t="s">
        <v>756</v>
      </c>
      <c r="C70" s="514">
        <f t="shared" si="6"/>
        <v>128895993</v>
      </c>
      <c r="D70" s="514">
        <f t="shared" si="6"/>
        <v>137749529</v>
      </c>
      <c r="E70" s="514">
        <f t="shared" si="7"/>
        <v>8853536</v>
      </c>
    </row>
    <row r="71" spans="1:5" s="506" customFormat="1" x14ac:dyDescent="0.2">
      <c r="A71" s="512">
        <v>3</v>
      </c>
      <c r="B71" s="511" t="s">
        <v>757</v>
      </c>
      <c r="C71" s="514">
        <f t="shared" si="6"/>
        <v>53744203</v>
      </c>
      <c r="D71" s="514">
        <f t="shared" si="6"/>
        <v>59380843</v>
      </c>
      <c r="E71" s="514">
        <f t="shared" si="7"/>
        <v>5636640</v>
      </c>
    </row>
    <row r="72" spans="1:5" s="506" customFormat="1" x14ac:dyDescent="0.2">
      <c r="A72" s="512">
        <v>4</v>
      </c>
      <c r="B72" s="511" t="s">
        <v>758</v>
      </c>
      <c r="C72" s="514">
        <f t="shared" si="6"/>
        <v>49292970</v>
      </c>
      <c r="D72" s="514">
        <f t="shared" si="6"/>
        <v>59380843</v>
      </c>
      <c r="E72" s="514">
        <f t="shared" si="7"/>
        <v>10087873</v>
      </c>
    </row>
    <row r="73" spans="1:5" s="506" customFormat="1" x14ac:dyDescent="0.2">
      <c r="A73" s="512">
        <v>5</v>
      </c>
      <c r="B73" s="511" t="s">
        <v>759</v>
      </c>
      <c r="C73" s="514">
        <f t="shared" si="6"/>
        <v>4451233</v>
      </c>
      <c r="D73" s="514">
        <f t="shared" si="6"/>
        <v>0</v>
      </c>
      <c r="E73" s="514">
        <f t="shared" si="7"/>
        <v>-4451233</v>
      </c>
    </row>
    <row r="74" spans="1:5" s="506" customFormat="1" x14ac:dyDescent="0.2">
      <c r="A74" s="512">
        <v>6</v>
      </c>
      <c r="B74" s="511" t="s">
        <v>760</v>
      </c>
      <c r="C74" s="514">
        <f t="shared" si="6"/>
        <v>383302</v>
      </c>
      <c r="D74" s="514">
        <f t="shared" si="6"/>
        <v>464003</v>
      </c>
      <c r="E74" s="514">
        <f t="shared" si="7"/>
        <v>80701</v>
      </c>
    </row>
    <row r="75" spans="1:5" s="506" customFormat="1" x14ac:dyDescent="0.2">
      <c r="A75" s="512">
        <v>7</v>
      </c>
      <c r="B75" s="511" t="s">
        <v>761</v>
      </c>
      <c r="C75" s="514">
        <f t="shared" si="6"/>
        <v>6083766</v>
      </c>
      <c r="D75" s="514">
        <f t="shared" si="6"/>
        <v>3532090</v>
      </c>
      <c r="E75" s="514">
        <f t="shared" si="7"/>
        <v>-2551676</v>
      </c>
    </row>
    <row r="76" spans="1:5" s="506" customFormat="1" x14ac:dyDescent="0.2">
      <c r="A76" s="512"/>
      <c r="B76" s="516" t="s">
        <v>767</v>
      </c>
      <c r="C76" s="517">
        <f>SUM(C70+C71+C74)</f>
        <v>183023498</v>
      </c>
      <c r="D76" s="517">
        <f>SUM(D70+D71+D74)</f>
        <v>197594375</v>
      </c>
      <c r="E76" s="517">
        <f t="shared" si="7"/>
        <v>14570877</v>
      </c>
    </row>
    <row r="77" spans="1:5" s="506" customFormat="1" x14ac:dyDescent="0.2">
      <c r="A77" s="512"/>
      <c r="B77" s="516" t="s">
        <v>701</v>
      </c>
      <c r="C77" s="517">
        <f>SUM(C69+C76)</f>
        <v>348713166</v>
      </c>
      <c r="D77" s="517">
        <f>SUM(D69+D76)</f>
        <v>372401725</v>
      </c>
      <c r="E77" s="517">
        <f t="shared" si="7"/>
        <v>23688559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768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769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626</v>
      </c>
      <c r="C83" s="523">
        <f t="shared" ref="C83:D89" si="8">IF(C$44=0,0,C14/C$44)</f>
        <v>0.14292734844838514</v>
      </c>
      <c r="D83" s="523">
        <f t="shared" si="8"/>
        <v>0.12970726360072254</v>
      </c>
      <c r="E83" s="523">
        <f t="shared" ref="E83:E91" si="9">D83-C83</f>
        <v>-1.32200848476626E-2</v>
      </c>
    </row>
    <row r="84" spans="1:5" s="506" customFormat="1" x14ac:dyDescent="0.2">
      <c r="A84" s="512">
        <v>2</v>
      </c>
      <c r="B84" s="511" t="s">
        <v>605</v>
      </c>
      <c r="C84" s="523">
        <f t="shared" si="8"/>
        <v>0.28716193886787844</v>
      </c>
      <c r="D84" s="523">
        <f t="shared" si="8"/>
        <v>0.30265293621351486</v>
      </c>
      <c r="E84" s="523">
        <f t="shared" si="9"/>
        <v>1.5490997345636415E-2</v>
      </c>
    </row>
    <row r="85" spans="1:5" s="506" customFormat="1" x14ac:dyDescent="0.2">
      <c r="A85" s="512">
        <v>3</v>
      </c>
      <c r="B85" s="511" t="s">
        <v>751</v>
      </c>
      <c r="C85" s="523">
        <f t="shared" si="8"/>
        <v>8.9689420542521159E-2</v>
      </c>
      <c r="D85" s="523">
        <f t="shared" si="8"/>
        <v>9.3585957676034282E-2</v>
      </c>
      <c r="E85" s="523">
        <f t="shared" si="9"/>
        <v>3.8965371335131227E-3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7.3164148681165816E-2</v>
      </c>
      <c r="D86" s="523">
        <f t="shared" si="8"/>
        <v>9.3585957676034282E-2</v>
      </c>
      <c r="E86" s="523">
        <f t="shared" si="9"/>
        <v>2.0421808994868465E-2</v>
      </c>
    </row>
    <row r="87" spans="1:5" s="506" customFormat="1" x14ac:dyDescent="0.2">
      <c r="A87" s="512">
        <v>5</v>
      </c>
      <c r="B87" s="511" t="s">
        <v>718</v>
      </c>
      <c r="C87" s="523">
        <f t="shared" si="8"/>
        <v>1.6525271861355346E-2</v>
      </c>
      <c r="D87" s="523">
        <f t="shared" si="8"/>
        <v>0</v>
      </c>
      <c r="E87" s="523">
        <f t="shared" si="9"/>
        <v>-1.6525271861355346E-2</v>
      </c>
    </row>
    <row r="88" spans="1:5" s="506" customFormat="1" x14ac:dyDescent="0.2">
      <c r="A88" s="512">
        <v>6</v>
      </c>
      <c r="B88" s="511" t="s">
        <v>418</v>
      </c>
      <c r="C88" s="523">
        <f t="shared" si="8"/>
        <v>9.4279910308320302E-4</v>
      </c>
      <c r="D88" s="523">
        <f t="shared" si="8"/>
        <v>6.0945345389716501E-4</v>
      </c>
      <c r="E88" s="523">
        <f t="shared" si="9"/>
        <v>-3.3334564918603802E-4</v>
      </c>
    </row>
    <row r="89" spans="1:5" s="506" customFormat="1" x14ac:dyDescent="0.2">
      <c r="A89" s="512">
        <v>7</v>
      </c>
      <c r="B89" s="511" t="s">
        <v>733</v>
      </c>
      <c r="C89" s="523">
        <f t="shared" si="8"/>
        <v>7.0584117867695164E-3</v>
      </c>
      <c r="D89" s="523">
        <f t="shared" si="8"/>
        <v>3.9417532709380664E-3</v>
      </c>
      <c r="E89" s="523">
        <f t="shared" si="9"/>
        <v>-3.1166585158314501E-3</v>
      </c>
    </row>
    <row r="90" spans="1:5" s="506" customFormat="1" x14ac:dyDescent="0.2">
      <c r="A90" s="512"/>
      <c r="B90" s="516" t="s">
        <v>770</v>
      </c>
      <c r="C90" s="524">
        <f>SUM(C84+C85+C88)</f>
        <v>0.3777941585134828</v>
      </c>
      <c r="D90" s="524">
        <f>SUM(D84+D85+D88)</f>
        <v>0.39684834734344632</v>
      </c>
      <c r="E90" s="525">
        <f t="shared" si="9"/>
        <v>1.9054188829963514E-2</v>
      </c>
    </row>
    <row r="91" spans="1:5" s="506" customFormat="1" x14ac:dyDescent="0.2">
      <c r="A91" s="512"/>
      <c r="B91" s="516" t="s">
        <v>771</v>
      </c>
      <c r="C91" s="524">
        <f>SUM(C83+C90)</f>
        <v>0.52072150696186792</v>
      </c>
      <c r="D91" s="524">
        <f>SUM(D83+D90)</f>
        <v>0.52655561094416892</v>
      </c>
      <c r="E91" s="525">
        <f t="shared" si="9"/>
        <v>5.8341039823009977E-3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772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626</v>
      </c>
      <c r="C95" s="523">
        <f t="shared" ref="C95:D101" si="10">IF(C$44=0,0,C25/C$44)</f>
        <v>0.22017290158044786</v>
      </c>
      <c r="D95" s="523">
        <f t="shared" si="10"/>
        <v>0.20673018299168189</v>
      </c>
      <c r="E95" s="523">
        <f t="shared" ref="E95:E103" si="11">D95-C95</f>
        <v>-1.3442718588765973E-2</v>
      </c>
    </row>
    <row r="96" spans="1:5" s="506" customFormat="1" x14ac:dyDescent="0.2">
      <c r="A96" s="512">
        <v>2</v>
      </c>
      <c r="B96" s="511" t="s">
        <v>605</v>
      </c>
      <c r="C96" s="523">
        <f t="shared" si="10"/>
        <v>0.15670212593550445</v>
      </c>
      <c r="D96" s="523">
        <f t="shared" si="10"/>
        <v>0.15489618853501935</v>
      </c>
      <c r="E96" s="523">
        <f t="shared" si="11"/>
        <v>-1.805937400485097E-3</v>
      </c>
    </row>
    <row r="97" spans="1:5" s="506" customFormat="1" x14ac:dyDescent="0.2">
      <c r="A97" s="512">
        <v>3</v>
      </c>
      <c r="B97" s="511" t="s">
        <v>751</v>
      </c>
      <c r="C97" s="523">
        <f t="shared" si="10"/>
        <v>0.10156751257985348</v>
      </c>
      <c r="D97" s="523">
        <f t="shared" si="10"/>
        <v>0.11096319309502102</v>
      </c>
      <c r="E97" s="523">
        <f t="shared" si="11"/>
        <v>9.3956805151675371E-3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8.8361571384323254E-2</v>
      </c>
      <c r="D98" s="523">
        <f t="shared" si="10"/>
        <v>0.11096319309502102</v>
      </c>
      <c r="E98" s="523">
        <f t="shared" si="11"/>
        <v>2.2601621710697767E-2</v>
      </c>
    </row>
    <row r="99" spans="1:5" s="506" customFormat="1" x14ac:dyDescent="0.2">
      <c r="A99" s="512">
        <v>5</v>
      </c>
      <c r="B99" s="511" t="s">
        <v>718</v>
      </c>
      <c r="C99" s="523">
        <f t="shared" si="10"/>
        <v>1.3205941195530237E-2</v>
      </c>
      <c r="D99" s="523">
        <f t="shared" si="10"/>
        <v>0</v>
      </c>
      <c r="E99" s="523">
        <f t="shared" si="11"/>
        <v>-1.3205941195530237E-2</v>
      </c>
    </row>
    <row r="100" spans="1:5" s="506" customFormat="1" x14ac:dyDescent="0.2">
      <c r="A100" s="512">
        <v>6</v>
      </c>
      <c r="B100" s="511" t="s">
        <v>418</v>
      </c>
      <c r="C100" s="523">
        <f t="shared" si="10"/>
        <v>8.3595294232623055E-4</v>
      </c>
      <c r="D100" s="523">
        <f t="shared" si="10"/>
        <v>8.548244341088486E-4</v>
      </c>
      <c r="E100" s="523">
        <f t="shared" si="11"/>
        <v>1.8871491782618049E-5</v>
      </c>
    </row>
    <row r="101" spans="1:5" s="506" customFormat="1" x14ac:dyDescent="0.2">
      <c r="A101" s="512">
        <v>7</v>
      </c>
      <c r="B101" s="511" t="s">
        <v>733</v>
      </c>
      <c r="C101" s="523">
        <f t="shared" si="10"/>
        <v>1.8645202046088744E-2</v>
      </c>
      <c r="D101" s="523">
        <f t="shared" si="10"/>
        <v>1.6930432521609053E-2</v>
      </c>
      <c r="E101" s="523">
        <f t="shared" si="11"/>
        <v>-1.7147695244796902E-3</v>
      </c>
    </row>
    <row r="102" spans="1:5" s="506" customFormat="1" x14ac:dyDescent="0.2">
      <c r="A102" s="512"/>
      <c r="B102" s="516" t="s">
        <v>773</v>
      </c>
      <c r="C102" s="524">
        <f>SUM(C96+C97+C100)</f>
        <v>0.25910559145768419</v>
      </c>
      <c r="D102" s="524">
        <f>SUM(D96+D97+D100)</f>
        <v>0.2667142060641492</v>
      </c>
      <c r="E102" s="525">
        <f t="shared" si="11"/>
        <v>7.6086146064650029E-3</v>
      </c>
    </row>
    <row r="103" spans="1:5" s="506" customFormat="1" x14ac:dyDescent="0.2">
      <c r="A103" s="512"/>
      <c r="B103" s="516" t="s">
        <v>774</v>
      </c>
      <c r="C103" s="524">
        <f>SUM(C95+C102)</f>
        <v>0.47927849303813208</v>
      </c>
      <c r="D103" s="524">
        <f>SUM(D95+D102)</f>
        <v>0.47344438905583108</v>
      </c>
      <c r="E103" s="525">
        <f t="shared" si="11"/>
        <v>-5.8341039823009977E-3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775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776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626</v>
      </c>
      <c r="C109" s="523">
        <f t="shared" ref="C109:D115" si="12">IF(C$77=0,0,C47/C$77)</f>
        <v>0.171772114850404</v>
      </c>
      <c r="D109" s="523">
        <f t="shared" si="12"/>
        <v>0.18555144716367789</v>
      </c>
      <c r="E109" s="523">
        <f t="shared" ref="E109:E117" si="13">D109-C109</f>
        <v>1.3779332313273884E-2</v>
      </c>
    </row>
    <row r="110" spans="1:5" s="506" customFormat="1" x14ac:dyDescent="0.2">
      <c r="A110" s="512">
        <v>2</v>
      </c>
      <c r="B110" s="511" t="s">
        <v>605</v>
      </c>
      <c r="C110" s="523">
        <f t="shared" si="12"/>
        <v>0.26606445653961913</v>
      </c>
      <c r="D110" s="523">
        <f t="shared" si="12"/>
        <v>0.27954907835080517</v>
      </c>
      <c r="E110" s="523">
        <f t="shared" si="13"/>
        <v>1.3484621811186037E-2</v>
      </c>
    </row>
    <row r="111" spans="1:5" s="506" customFormat="1" x14ac:dyDescent="0.2">
      <c r="A111" s="512">
        <v>3</v>
      </c>
      <c r="B111" s="511" t="s">
        <v>751</v>
      </c>
      <c r="C111" s="523">
        <f t="shared" si="12"/>
        <v>6.6280720814539021E-2</v>
      </c>
      <c r="D111" s="523">
        <f t="shared" si="12"/>
        <v>7.0395071343990145E-2</v>
      </c>
      <c r="E111" s="523">
        <f t="shared" si="13"/>
        <v>4.1143505294511246E-3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5.8552888135000904E-2</v>
      </c>
      <c r="D112" s="523">
        <f t="shared" si="12"/>
        <v>7.0395071343990145E-2</v>
      </c>
      <c r="E112" s="523">
        <f t="shared" si="13"/>
        <v>1.1842183208989242E-2</v>
      </c>
    </row>
    <row r="113" spans="1:5" s="506" customFormat="1" x14ac:dyDescent="0.2">
      <c r="A113" s="512">
        <v>5</v>
      </c>
      <c r="B113" s="511" t="s">
        <v>718</v>
      </c>
      <c r="C113" s="523">
        <f t="shared" si="12"/>
        <v>7.7278326795381163E-3</v>
      </c>
      <c r="D113" s="523">
        <f t="shared" si="12"/>
        <v>0</v>
      </c>
      <c r="E113" s="523">
        <f t="shared" si="13"/>
        <v>-7.7278326795381163E-3</v>
      </c>
    </row>
    <row r="114" spans="1:5" s="506" customFormat="1" x14ac:dyDescent="0.2">
      <c r="A114" s="512">
        <v>6</v>
      </c>
      <c r="B114" s="511" t="s">
        <v>418</v>
      </c>
      <c r="C114" s="523">
        <f t="shared" si="12"/>
        <v>5.2216554393016523E-4</v>
      </c>
      <c r="D114" s="523">
        <f t="shared" si="12"/>
        <v>7.1707508873649825E-4</v>
      </c>
      <c r="E114" s="523">
        <f t="shared" si="13"/>
        <v>1.9490954480633302E-4</v>
      </c>
    </row>
    <row r="115" spans="1:5" s="506" customFormat="1" x14ac:dyDescent="0.2">
      <c r="A115" s="512">
        <v>7</v>
      </c>
      <c r="B115" s="511" t="s">
        <v>733</v>
      </c>
      <c r="C115" s="523">
        <f t="shared" si="12"/>
        <v>1.6732749345059143E-3</v>
      </c>
      <c r="D115" s="523">
        <f t="shared" si="12"/>
        <v>1.3880145157759405E-3</v>
      </c>
      <c r="E115" s="523">
        <f t="shared" si="13"/>
        <v>-2.8526041872997373E-4</v>
      </c>
    </row>
    <row r="116" spans="1:5" s="506" customFormat="1" x14ac:dyDescent="0.2">
      <c r="A116" s="512"/>
      <c r="B116" s="516" t="s">
        <v>770</v>
      </c>
      <c r="C116" s="524">
        <f>SUM(C110+C111+C114)</f>
        <v>0.33286734289808828</v>
      </c>
      <c r="D116" s="524">
        <f>SUM(D110+D111+D114)</f>
        <v>0.35066122478353179</v>
      </c>
      <c r="E116" s="525">
        <f t="shared" si="13"/>
        <v>1.7793881885443508E-2</v>
      </c>
    </row>
    <row r="117" spans="1:5" s="506" customFormat="1" x14ac:dyDescent="0.2">
      <c r="A117" s="512"/>
      <c r="B117" s="516" t="s">
        <v>771</v>
      </c>
      <c r="C117" s="524">
        <f>SUM(C109+C116)</f>
        <v>0.50463945774849228</v>
      </c>
      <c r="D117" s="524">
        <f>SUM(D109+D116)</f>
        <v>0.53621267194720967</v>
      </c>
      <c r="E117" s="525">
        <f t="shared" si="13"/>
        <v>3.1573214198717392E-2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321</v>
      </c>
      <c r="B119" s="522" t="s">
        <v>777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626</v>
      </c>
      <c r="C121" s="523">
        <f t="shared" ref="C121:D127" si="14">IF(C$77=0,0,C58/C$77)</f>
        <v>0.30337389096458722</v>
      </c>
      <c r="D121" s="523">
        <f t="shared" si="14"/>
        <v>0.28385387044058402</v>
      </c>
      <c r="E121" s="523">
        <f t="shared" ref="E121:E129" si="15">D121-C121</f>
        <v>-1.9520020524003201E-2</v>
      </c>
    </row>
    <row r="122" spans="1:5" s="506" customFormat="1" x14ac:dyDescent="0.2">
      <c r="A122" s="512">
        <v>2</v>
      </c>
      <c r="B122" s="511" t="s">
        <v>605</v>
      </c>
      <c r="C122" s="523">
        <f t="shared" si="14"/>
        <v>0.10356882825582789</v>
      </c>
      <c r="D122" s="523">
        <f t="shared" si="14"/>
        <v>9.0345902667341299E-2</v>
      </c>
      <c r="E122" s="523">
        <f t="shared" si="15"/>
        <v>-1.3222925588486589E-2</v>
      </c>
    </row>
    <row r="123" spans="1:5" s="506" customFormat="1" x14ac:dyDescent="0.2">
      <c r="A123" s="512">
        <v>3</v>
      </c>
      <c r="B123" s="511" t="s">
        <v>751</v>
      </c>
      <c r="C123" s="523">
        <f t="shared" si="14"/>
        <v>8.7840798646530022E-2</v>
      </c>
      <c r="D123" s="523">
        <f t="shared" si="14"/>
        <v>8.9058655676205578E-2</v>
      </c>
      <c r="E123" s="523">
        <f t="shared" si="15"/>
        <v>1.2178570296755564E-3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8.2803891035189647E-2</v>
      </c>
      <c r="D124" s="523">
        <f t="shared" si="14"/>
        <v>8.9058655676205578E-2</v>
      </c>
      <c r="E124" s="523">
        <f t="shared" si="15"/>
        <v>6.2547646410159308E-3</v>
      </c>
    </row>
    <row r="125" spans="1:5" s="506" customFormat="1" x14ac:dyDescent="0.2">
      <c r="A125" s="512">
        <v>5</v>
      </c>
      <c r="B125" s="511" t="s">
        <v>718</v>
      </c>
      <c r="C125" s="523">
        <f t="shared" si="14"/>
        <v>5.0369076113403761E-3</v>
      </c>
      <c r="D125" s="523">
        <f t="shared" si="14"/>
        <v>0</v>
      </c>
      <c r="E125" s="523">
        <f t="shared" si="15"/>
        <v>-5.0369076113403761E-3</v>
      </c>
    </row>
    <row r="126" spans="1:5" s="506" customFormat="1" x14ac:dyDescent="0.2">
      <c r="A126" s="512">
        <v>6</v>
      </c>
      <c r="B126" s="511" t="s">
        <v>418</v>
      </c>
      <c r="C126" s="523">
        <f t="shared" si="14"/>
        <v>5.7702438456252612E-4</v>
      </c>
      <c r="D126" s="523">
        <f t="shared" si="14"/>
        <v>5.2889926865940266E-4</v>
      </c>
      <c r="E126" s="523">
        <f t="shared" si="15"/>
        <v>-4.8125115903123461E-5</v>
      </c>
    </row>
    <row r="127" spans="1:5" s="506" customFormat="1" x14ac:dyDescent="0.2">
      <c r="A127" s="512">
        <v>7</v>
      </c>
      <c r="B127" s="511" t="s">
        <v>733</v>
      </c>
      <c r="C127" s="523">
        <f t="shared" si="14"/>
        <v>1.5773058020986795E-2</v>
      </c>
      <c r="D127" s="523">
        <f t="shared" si="14"/>
        <v>8.0966085750542646E-3</v>
      </c>
      <c r="E127" s="523">
        <f t="shared" si="15"/>
        <v>-7.6764494459325306E-3</v>
      </c>
    </row>
    <row r="128" spans="1:5" s="506" customFormat="1" x14ac:dyDescent="0.2">
      <c r="A128" s="512"/>
      <c r="B128" s="516" t="s">
        <v>773</v>
      </c>
      <c r="C128" s="524">
        <f>SUM(C122+C123+C126)</f>
        <v>0.19198665128692044</v>
      </c>
      <c r="D128" s="524">
        <f>SUM(D122+D123+D126)</f>
        <v>0.17993345761220628</v>
      </c>
      <c r="E128" s="525">
        <f t="shared" si="15"/>
        <v>-1.2053193674714163E-2</v>
      </c>
    </row>
    <row r="129" spans="1:5" s="506" customFormat="1" x14ac:dyDescent="0.2">
      <c r="A129" s="512"/>
      <c r="B129" s="516" t="s">
        <v>774</v>
      </c>
      <c r="C129" s="524">
        <f>SUM(C121+C128)</f>
        <v>0.49536054225150766</v>
      </c>
      <c r="D129" s="524">
        <f>SUM(D121+D128)</f>
        <v>0.46378732805279033</v>
      </c>
      <c r="E129" s="525">
        <f t="shared" si="15"/>
        <v>-3.1573214198717336E-2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778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779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780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626</v>
      </c>
      <c r="C137" s="530">
        <v>6207</v>
      </c>
      <c r="D137" s="530">
        <v>6033</v>
      </c>
      <c r="E137" s="531">
        <f t="shared" ref="E137:E145" si="16">D137-C137</f>
        <v>-174</v>
      </c>
    </row>
    <row r="138" spans="1:5" s="506" customFormat="1" x14ac:dyDescent="0.2">
      <c r="A138" s="512">
        <v>2</v>
      </c>
      <c r="B138" s="511" t="s">
        <v>605</v>
      </c>
      <c r="C138" s="530">
        <v>8738</v>
      </c>
      <c r="D138" s="530">
        <v>9651</v>
      </c>
      <c r="E138" s="531">
        <f t="shared" si="16"/>
        <v>913</v>
      </c>
    </row>
    <row r="139" spans="1:5" s="506" customFormat="1" x14ac:dyDescent="0.2">
      <c r="A139" s="512">
        <v>3</v>
      </c>
      <c r="B139" s="511" t="s">
        <v>751</v>
      </c>
      <c r="C139" s="530">
        <f>C140+C141</f>
        <v>4535</v>
      </c>
      <c r="D139" s="530">
        <f>D140+D141</f>
        <v>4816</v>
      </c>
      <c r="E139" s="531">
        <f t="shared" si="16"/>
        <v>281</v>
      </c>
    </row>
    <row r="140" spans="1:5" s="506" customFormat="1" x14ac:dyDescent="0.2">
      <c r="A140" s="512">
        <v>4</v>
      </c>
      <c r="B140" s="511" t="s">
        <v>114</v>
      </c>
      <c r="C140" s="530">
        <v>4042</v>
      </c>
      <c r="D140" s="530">
        <v>4816</v>
      </c>
      <c r="E140" s="531">
        <f t="shared" si="16"/>
        <v>774</v>
      </c>
    </row>
    <row r="141" spans="1:5" s="506" customFormat="1" x14ac:dyDescent="0.2">
      <c r="A141" s="512">
        <v>5</v>
      </c>
      <c r="B141" s="511" t="s">
        <v>718</v>
      </c>
      <c r="C141" s="530">
        <v>493</v>
      </c>
      <c r="D141" s="530">
        <v>0</v>
      </c>
      <c r="E141" s="531">
        <f t="shared" si="16"/>
        <v>-493</v>
      </c>
    </row>
    <row r="142" spans="1:5" s="506" customFormat="1" x14ac:dyDescent="0.2">
      <c r="A142" s="512">
        <v>6</v>
      </c>
      <c r="B142" s="511" t="s">
        <v>418</v>
      </c>
      <c r="C142" s="530">
        <v>37</v>
      </c>
      <c r="D142" s="530">
        <v>46</v>
      </c>
      <c r="E142" s="531">
        <f t="shared" si="16"/>
        <v>9</v>
      </c>
    </row>
    <row r="143" spans="1:5" s="506" customFormat="1" x14ac:dyDescent="0.2">
      <c r="A143" s="512">
        <v>7</v>
      </c>
      <c r="B143" s="511" t="s">
        <v>733</v>
      </c>
      <c r="C143" s="530">
        <v>334</v>
      </c>
      <c r="D143" s="530">
        <v>187</v>
      </c>
      <c r="E143" s="531">
        <f t="shared" si="16"/>
        <v>-147</v>
      </c>
    </row>
    <row r="144" spans="1:5" s="506" customFormat="1" x14ac:dyDescent="0.2">
      <c r="A144" s="512"/>
      <c r="B144" s="516" t="s">
        <v>781</v>
      </c>
      <c r="C144" s="532">
        <f>SUM(C138+C139+C142)</f>
        <v>13310</v>
      </c>
      <c r="D144" s="532">
        <f>SUM(D138+D139+D142)</f>
        <v>14513</v>
      </c>
      <c r="E144" s="533">
        <f t="shared" si="16"/>
        <v>1203</v>
      </c>
    </row>
    <row r="145" spans="1:5" s="506" customFormat="1" x14ac:dyDescent="0.2">
      <c r="A145" s="512"/>
      <c r="B145" s="516" t="s">
        <v>695</v>
      </c>
      <c r="C145" s="532">
        <f>SUM(C137+C144)</f>
        <v>19517</v>
      </c>
      <c r="D145" s="532">
        <f>SUM(D137+D144)</f>
        <v>20546</v>
      </c>
      <c r="E145" s="533">
        <f t="shared" si="16"/>
        <v>1029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626</v>
      </c>
      <c r="C149" s="534">
        <v>22249</v>
      </c>
      <c r="D149" s="534">
        <v>19639</v>
      </c>
      <c r="E149" s="531">
        <f t="shared" ref="E149:E157" si="17">D149-C149</f>
        <v>-2610</v>
      </c>
    </row>
    <row r="150" spans="1:5" s="506" customFormat="1" x14ac:dyDescent="0.2">
      <c r="A150" s="512">
        <v>2</v>
      </c>
      <c r="B150" s="511" t="s">
        <v>605</v>
      </c>
      <c r="C150" s="534">
        <v>42359</v>
      </c>
      <c r="D150" s="534">
        <v>45378</v>
      </c>
      <c r="E150" s="531">
        <f t="shared" si="17"/>
        <v>3019</v>
      </c>
    </row>
    <row r="151" spans="1:5" s="506" customFormat="1" x14ac:dyDescent="0.2">
      <c r="A151" s="512">
        <v>3</v>
      </c>
      <c r="B151" s="511" t="s">
        <v>751</v>
      </c>
      <c r="C151" s="534">
        <f>C152+C153</f>
        <v>17079</v>
      </c>
      <c r="D151" s="534">
        <f>D152+D153</f>
        <v>17991</v>
      </c>
      <c r="E151" s="531">
        <f t="shared" si="17"/>
        <v>912</v>
      </c>
    </row>
    <row r="152" spans="1:5" s="506" customFormat="1" x14ac:dyDescent="0.2">
      <c r="A152" s="512">
        <v>4</v>
      </c>
      <c r="B152" s="511" t="s">
        <v>114</v>
      </c>
      <c r="C152" s="534">
        <v>14479</v>
      </c>
      <c r="D152" s="534">
        <v>17991</v>
      </c>
      <c r="E152" s="531">
        <f t="shared" si="17"/>
        <v>3512</v>
      </c>
    </row>
    <row r="153" spans="1:5" s="506" customFormat="1" x14ac:dyDescent="0.2">
      <c r="A153" s="512">
        <v>5</v>
      </c>
      <c r="B153" s="511" t="s">
        <v>718</v>
      </c>
      <c r="C153" s="535">
        <v>2600</v>
      </c>
      <c r="D153" s="534">
        <v>0</v>
      </c>
      <c r="E153" s="531">
        <f t="shared" si="17"/>
        <v>-2600</v>
      </c>
    </row>
    <row r="154" spans="1:5" s="506" customFormat="1" x14ac:dyDescent="0.2">
      <c r="A154" s="512">
        <v>6</v>
      </c>
      <c r="B154" s="511" t="s">
        <v>418</v>
      </c>
      <c r="C154" s="534">
        <v>185</v>
      </c>
      <c r="D154" s="534">
        <v>129</v>
      </c>
      <c r="E154" s="531">
        <f t="shared" si="17"/>
        <v>-56</v>
      </c>
    </row>
    <row r="155" spans="1:5" s="506" customFormat="1" x14ac:dyDescent="0.2">
      <c r="A155" s="512">
        <v>7</v>
      </c>
      <c r="B155" s="511" t="s">
        <v>733</v>
      </c>
      <c r="C155" s="534">
        <v>1083</v>
      </c>
      <c r="D155" s="534">
        <v>548</v>
      </c>
      <c r="E155" s="531">
        <f t="shared" si="17"/>
        <v>-535</v>
      </c>
    </row>
    <row r="156" spans="1:5" s="506" customFormat="1" x14ac:dyDescent="0.2">
      <c r="A156" s="512"/>
      <c r="B156" s="516" t="s">
        <v>782</v>
      </c>
      <c r="C156" s="532">
        <f>SUM(C150+C151+C154)</f>
        <v>59623</v>
      </c>
      <c r="D156" s="532">
        <f>SUM(D150+D151+D154)</f>
        <v>63498</v>
      </c>
      <c r="E156" s="533">
        <f t="shared" si="17"/>
        <v>3875</v>
      </c>
    </row>
    <row r="157" spans="1:5" s="506" customFormat="1" x14ac:dyDescent="0.2">
      <c r="A157" s="512"/>
      <c r="B157" s="516" t="s">
        <v>783</v>
      </c>
      <c r="C157" s="532">
        <f>SUM(C149+C156)</f>
        <v>81872</v>
      </c>
      <c r="D157" s="532">
        <f>SUM(D149+D156)</f>
        <v>83137</v>
      </c>
      <c r="E157" s="533">
        <f t="shared" si="17"/>
        <v>1265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784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626</v>
      </c>
      <c r="C161" s="536">
        <f t="shared" ref="C161:D169" si="18">IF(C137=0,0,C149/C137)</f>
        <v>3.5845013694216208</v>
      </c>
      <c r="D161" s="536">
        <f t="shared" si="18"/>
        <v>3.2552627216973313</v>
      </c>
      <c r="E161" s="537">
        <f t="shared" ref="E161:E169" si="19">D161-C161</f>
        <v>-0.32923864772428946</v>
      </c>
    </row>
    <row r="162" spans="1:5" s="506" customFormat="1" x14ac:dyDescent="0.2">
      <c r="A162" s="512">
        <v>2</v>
      </c>
      <c r="B162" s="511" t="s">
        <v>605</v>
      </c>
      <c r="C162" s="536">
        <f t="shared" si="18"/>
        <v>4.8476768139162276</v>
      </c>
      <c r="D162" s="536">
        <f t="shared" si="18"/>
        <v>4.7018961765620144</v>
      </c>
      <c r="E162" s="537">
        <f t="shared" si="19"/>
        <v>-0.14578063735421321</v>
      </c>
    </row>
    <row r="163" spans="1:5" s="506" customFormat="1" x14ac:dyDescent="0.2">
      <c r="A163" s="512">
        <v>3</v>
      </c>
      <c r="B163" s="511" t="s">
        <v>751</v>
      </c>
      <c r="C163" s="536">
        <f t="shared" si="18"/>
        <v>3.7660418963616316</v>
      </c>
      <c r="D163" s="536">
        <f t="shared" si="18"/>
        <v>3.7356727574750832</v>
      </c>
      <c r="E163" s="537">
        <f t="shared" si="19"/>
        <v>-3.0369138886548352E-2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3.5821375556655122</v>
      </c>
      <c r="D164" s="536">
        <f t="shared" si="18"/>
        <v>3.7356727574750832</v>
      </c>
      <c r="E164" s="537">
        <f t="shared" si="19"/>
        <v>0.15353520180957103</v>
      </c>
    </row>
    <row r="165" spans="1:5" s="506" customFormat="1" x14ac:dyDescent="0.2">
      <c r="A165" s="512">
        <v>5</v>
      </c>
      <c r="B165" s="511" t="s">
        <v>718</v>
      </c>
      <c r="C165" s="536">
        <f t="shared" si="18"/>
        <v>5.2738336713995944</v>
      </c>
      <c r="D165" s="536">
        <f t="shared" si="18"/>
        <v>0</v>
      </c>
      <c r="E165" s="537">
        <f t="shared" si="19"/>
        <v>-5.2738336713995944</v>
      </c>
    </row>
    <row r="166" spans="1:5" s="506" customFormat="1" x14ac:dyDescent="0.2">
      <c r="A166" s="512">
        <v>6</v>
      </c>
      <c r="B166" s="511" t="s">
        <v>418</v>
      </c>
      <c r="C166" s="536">
        <f t="shared" si="18"/>
        <v>5</v>
      </c>
      <c r="D166" s="536">
        <f t="shared" si="18"/>
        <v>2.8043478260869565</v>
      </c>
      <c r="E166" s="537">
        <f t="shared" si="19"/>
        <v>-2.1956521739130435</v>
      </c>
    </row>
    <row r="167" spans="1:5" s="506" customFormat="1" x14ac:dyDescent="0.2">
      <c r="A167" s="512">
        <v>7</v>
      </c>
      <c r="B167" s="511" t="s">
        <v>733</v>
      </c>
      <c r="C167" s="536">
        <f t="shared" si="18"/>
        <v>3.2425149700598803</v>
      </c>
      <c r="D167" s="536">
        <f t="shared" si="18"/>
        <v>2.9304812834224601</v>
      </c>
      <c r="E167" s="537">
        <f t="shared" si="19"/>
        <v>-0.31203368663742026</v>
      </c>
    </row>
    <row r="168" spans="1:5" s="506" customFormat="1" x14ac:dyDescent="0.2">
      <c r="A168" s="512"/>
      <c r="B168" s="516" t="s">
        <v>785</v>
      </c>
      <c r="C168" s="538">
        <f t="shared" si="18"/>
        <v>4.4795642374154774</v>
      </c>
      <c r="D168" s="538">
        <f t="shared" si="18"/>
        <v>4.3752497760628399</v>
      </c>
      <c r="E168" s="539">
        <f t="shared" si="19"/>
        <v>-0.10431446135263744</v>
      </c>
    </row>
    <row r="169" spans="1:5" s="506" customFormat="1" x14ac:dyDescent="0.2">
      <c r="A169" s="512"/>
      <c r="B169" s="516" t="s">
        <v>719</v>
      </c>
      <c r="C169" s="538">
        <f t="shared" si="18"/>
        <v>4.1949070041502283</v>
      </c>
      <c r="D169" s="538">
        <f t="shared" si="18"/>
        <v>4.0463837243259029</v>
      </c>
      <c r="E169" s="539">
        <f t="shared" si="19"/>
        <v>-0.14852327982432545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321</v>
      </c>
      <c r="B171" s="509" t="s">
        <v>786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626</v>
      </c>
      <c r="C173" s="541">
        <f t="shared" ref="C173:D181" si="20">IF(C137=0,0,C203/C137)</f>
        <v>1.1018399999999999</v>
      </c>
      <c r="D173" s="541">
        <f t="shared" si="20"/>
        <v>1.09074</v>
      </c>
      <c r="E173" s="542">
        <f t="shared" ref="E173:E181" si="21">D173-C173</f>
        <v>-1.1099999999999888E-2</v>
      </c>
    </row>
    <row r="174" spans="1:5" s="506" customFormat="1" x14ac:dyDescent="0.2">
      <c r="A174" s="512">
        <v>2</v>
      </c>
      <c r="B174" s="511" t="s">
        <v>605</v>
      </c>
      <c r="C174" s="541">
        <f t="shared" si="20"/>
        <v>1.3634299999999999</v>
      </c>
      <c r="D174" s="541">
        <f t="shared" si="20"/>
        <v>1.3198799999999999</v>
      </c>
      <c r="E174" s="542">
        <f t="shared" si="21"/>
        <v>-4.3549999999999978E-2</v>
      </c>
    </row>
    <row r="175" spans="1:5" s="506" customFormat="1" x14ac:dyDescent="0.2">
      <c r="A175" s="512">
        <v>0</v>
      </c>
      <c r="B175" s="511" t="s">
        <v>751</v>
      </c>
      <c r="C175" s="541">
        <f t="shared" si="20"/>
        <v>0.96284774421168684</v>
      </c>
      <c r="D175" s="541">
        <f t="shared" si="20"/>
        <v>0.97273999999999994</v>
      </c>
      <c r="E175" s="542">
        <f t="shared" si="21"/>
        <v>9.8922557883130979E-3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0.92566999999999999</v>
      </c>
      <c r="D176" s="541">
        <f t="shared" si="20"/>
        <v>0.97273999999999994</v>
      </c>
      <c r="E176" s="542">
        <f t="shared" si="21"/>
        <v>4.7069999999999945E-2</v>
      </c>
    </row>
    <row r="177" spans="1:5" s="506" customFormat="1" x14ac:dyDescent="0.2">
      <c r="A177" s="512">
        <v>5</v>
      </c>
      <c r="B177" s="511" t="s">
        <v>718</v>
      </c>
      <c r="C177" s="541">
        <f t="shared" si="20"/>
        <v>1.26766</v>
      </c>
      <c r="D177" s="541">
        <f t="shared" si="20"/>
        <v>0</v>
      </c>
      <c r="E177" s="542">
        <f t="shared" si="21"/>
        <v>-1.26766</v>
      </c>
    </row>
    <row r="178" spans="1:5" s="506" customFormat="1" x14ac:dyDescent="0.2">
      <c r="A178" s="512">
        <v>6</v>
      </c>
      <c r="B178" s="511" t="s">
        <v>418</v>
      </c>
      <c r="C178" s="541">
        <f t="shared" si="20"/>
        <v>0.96677999999999997</v>
      </c>
      <c r="D178" s="541">
        <f t="shared" si="20"/>
        <v>0.76080999999999999</v>
      </c>
      <c r="E178" s="542">
        <f t="shared" si="21"/>
        <v>-0.20596999999999999</v>
      </c>
    </row>
    <row r="179" spans="1:5" s="506" customFormat="1" x14ac:dyDescent="0.2">
      <c r="A179" s="512">
        <v>7</v>
      </c>
      <c r="B179" s="511" t="s">
        <v>733</v>
      </c>
      <c r="C179" s="541">
        <f t="shared" si="20"/>
        <v>0.91160999999999992</v>
      </c>
      <c r="D179" s="541">
        <f t="shared" si="20"/>
        <v>1.0122800000000001</v>
      </c>
      <c r="E179" s="542">
        <f t="shared" si="21"/>
        <v>0.10067000000000015</v>
      </c>
    </row>
    <row r="180" spans="1:5" s="506" customFormat="1" x14ac:dyDescent="0.2">
      <c r="A180" s="512"/>
      <c r="B180" s="516" t="s">
        <v>787</v>
      </c>
      <c r="C180" s="543">
        <f t="shared" si="20"/>
        <v>1.2258404748309539</v>
      </c>
      <c r="D180" s="543">
        <f t="shared" si="20"/>
        <v>1.2029129042927031</v>
      </c>
      <c r="E180" s="544">
        <f t="shared" si="21"/>
        <v>-2.2927570538250786E-2</v>
      </c>
    </row>
    <row r="181" spans="1:5" s="506" customFormat="1" x14ac:dyDescent="0.2">
      <c r="A181" s="512"/>
      <c r="B181" s="516" t="s">
        <v>696</v>
      </c>
      <c r="C181" s="543">
        <f t="shared" si="20"/>
        <v>1.1864045498795919</v>
      </c>
      <c r="D181" s="543">
        <f t="shared" si="20"/>
        <v>1.1699751484473864</v>
      </c>
      <c r="E181" s="544">
        <f t="shared" si="21"/>
        <v>-1.6429401432205504E-2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342</v>
      </c>
      <c r="B183" s="509" t="s">
        <v>788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789</v>
      </c>
      <c r="C185" s="513">
        <v>284611249</v>
      </c>
      <c r="D185" s="513">
        <v>276564149</v>
      </c>
      <c r="E185" s="514">
        <f>D185-C185</f>
        <v>-8047100</v>
      </c>
    </row>
    <row r="186" spans="1:5" s="506" customFormat="1" ht="25.5" x14ac:dyDescent="0.2">
      <c r="A186" s="512">
        <v>2</v>
      </c>
      <c r="B186" s="511" t="s">
        <v>790</v>
      </c>
      <c r="C186" s="513">
        <v>159552005</v>
      </c>
      <c r="D186" s="513">
        <v>168142403</v>
      </c>
      <c r="E186" s="514">
        <f>D186-C186</f>
        <v>8590398</v>
      </c>
    </row>
    <row r="187" spans="1:5" s="506" customFormat="1" x14ac:dyDescent="0.2">
      <c r="A187" s="512"/>
      <c r="B187" s="511" t="s">
        <v>638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722</v>
      </c>
      <c r="C188" s="546">
        <f>+C185-C186</f>
        <v>125059244</v>
      </c>
      <c r="D188" s="546">
        <f>+D185-D186</f>
        <v>108421746</v>
      </c>
      <c r="E188" s="514">
        <f t="shared" ref="E188:E197" si="22">D188-C188</f>
        <v>-16637498</v>
      </c>
    </row>
    <row r="189" spans="1:5" s="506" customFormat="1" x14ac:dyDescent="0.2">
      <c r="A189" s="512">
        <v>4</v>
      </c>
      <c r="B189" s="511" t="s">
        <v>640</v>
      </c>
      <c r="C189" s="547">
        <f>IF(C185=0,0,+C188/C185)</f>
        <v>0.43940372855747523</v>
      </c>
      <c r="D189" s="547">
        <f>IF(D185=0,0,+D188/D185)</f>
        <v>0.3920310943845437</v>
      </c>
      <c r="E189" s="523">
        <f t="shared" si="22"/>
        <v>-4.7372634172931527E-2</v>
      </c>
    </row>
    <row r="190" spans="1:5" s="506" customFormat="1" x14ac:dyDescent="0.2">
      <c r="A190" s="512">
        <v>5</v>
      </c>
      <c r="B190" s="511" t="s">
        <v>737</v>
      </c>
      <c r="C190" s="513">
        <v>0</v>
      </c>
      <c r="D190" s="513">
        <v>0</v>
      </c>
      <c r="E190" s="546">
        <f t="shared" si="22"/>
        <v>0</v>
      </c>
    </row>
    <row r="191" spans="1:5" s="506" customFormat="1" x14ac:dyDescent="0.2">
      <c r="A191" s="512">
        <v>6</v>
      </c>
      <c r="B191" s="511" t="s">
        <v>723</v>
      </c>
      <c r="C191" s="513">
        <v>0</v>
      </c>
      <c r="D191" s="513">
        <v>0</v>
      </c>
      <c r="E191" s="546">
        <f t="shared" si="22"/>
        <v>0</v>
      </c>
    </row>
    <row r="192" spans="1:5" ht="29.25" x14ac:dyDescent="0.2">
      <c r="A192" s="512">
        <v>7</v>
      </c>
      <c r="B192" s="548" t="s">
        <v>791</v>
      </c>
      <c r="C192" s="513">
        <v>1763987</v>
      </c>
      <c r="D192" s="513">
        <v>0</v>
      </c>
      <c r="E192" s="546">
        <f t="shared" si="22"/>
        <v>-1763987</v>
      </c>
    </row>
    <row r="193" spans="1:5" s="506" customFormat="1" x14ac:dyDescent="0.2">
      <c r="A193" s="512">
        <v>8</v>
      </c>
      <c r="B193" s="511" t="s">
        <v>792</v>
      </c>
      <c r="C193" s="513">
        <v>8420571</v>
      </c>
      <c r="D193" s="513">
        <v>17262086</v>
      </c>
      <c r="E193" s="546">
        <f t="shared" si="22"/>
        <v>8841515</v>
      </c>
    </row>
    <row r="194" spans="1:5" s="506" customFormat="1" x14ac:dyDescent="0.2">
      <c r="A194" s="512">
        <v>9</v>
      </c>
      <c r="B194" s="511" t="s">
        <v>793</v>
      </c>
      <c r="C194" s="513">
        <v>9548336</v>
      </c>
      <c r="D194" s="513">
        <v>1140529</v>
      </c>
      <c r="E194" s="546">
        <f t="shared" si="22"/>
        <v>-8407807</v>
      </c>
    </row>
    <row r="195" spans="1:5" s="506" customFormat="1" x14ac:dyDescent="0.2">
      <c r="A195" s="512">
        <v>10</v>
      </c>
      <c r="B195" s="511" t="s">
        <v>794</v>
      </c>
      <c r="C195" s="513">
        <f>+C193+C194</f>
        <v>17968907</v>
      </c>
      <c r="D195" s="513">
        <f>+D193+D194</f>
        <v>18402615</v>
      </c>
      <c r="E195" s="549">
        <f t="shared" si="22"/>
        <v>433708</v>
      </c>
    </row>
    <row r="196" spans="1:5" s="506" customFormat="1" x14ac:dyDescent="0.2">
      <c r="A196" s="512">
        <v>11</v>
      </c>
      <c r="B196" s="511" t="s">
        <v>795</v>
      </c>
      <c r="C196" s="513">
        <v>284611249</v>
      </c>
      <c r="D196" s="513">
        <v>276564149</v>
      </c>
      <c r="E196" s="546">
        <f t="shared" si="22"/>
        <v>-8047100</v>
      </c>
    </row>
    <row r="197" spans="1:5" s="506" customFormat="1" x14ac:dyDescent="0.2">
      <c r="A197" s="512">
        <v>12</v>
      </c>
      <c r="B197" s="511" t="s">
        <v>680</v>
      </c>
      <c r="C197" s="513">
        <v>381476536</v>
      </c>
      <c r="D197" s="513">
        <v>368573386</v>
      </c>
      <c r="E197" s="546">
        <f t="shared" si="22"/>
        <v>-12903150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796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797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626</v>
      </c>
      <c r="C203" s="553">
        <v>6839.1208799999995</v>
      </c>
      <c r="D203" s="553">
        <v>6580.4344200000005</v>
      </c>
      <c r="E203" s="554">
        <f t="shared" ref="E203:E211" si="23">D203-C203</f>
        <v>-258.68645999999899</v>
      </c>
    </row>
    <row r="204" spans="1:5" s="506" customFormat="1" x14ac:dyDescent="0.2">
      <c r="A204" s="512">
        <v>2</v>
      </c>
      <c r="B204" s="511" t="s">
        <v>605</v>
      </c>
      <c r="C204" s="553">
        <v>11913.651339999999</v>
      </c>
      <c r="D204" s="553">
        <v>12738.16188</v>
      </c>
      <c r="E204" s="554">
        <f t="shared" si="23"/>
        <v>824.51054000000113</v>
      </c>
    </row>
    <row r="205" spans="1:5" s="506" customFormat="1" x14ac:dyDescent="0.2">
      <c r="A205" s="512">
        <v>3</v>
      </c>
      <c r="B205" s="511" t="s">
        <v>751</v>
      </c>
      <c r="C205" s="553">
        <f>C206+C207</f>
        <v>4366.5145199999997</v>
      </c>
      <c r="D205" s="553">
        <f>D206+D207</f>
        <v>4684.7158399999998</v>
      </c>
      <c r="E205" s="554">
        <f t="shared" si="23"/>
        <v>318.20132000000012</v>
      </c>
    </row>
    <row r="206" spans="1:5" s="506" customFormat="1" x14ac:dyDescent="0.2">
      <c r="A206" s="512">
        <v>4</v>
      </c>
      <c r="B206" s="511" t="s">
        <v>114</v>
      </c>
      <c r="C206" s="553">
        <v>3741.5581400000001</v>
      </c>
      <c r="D206" s="553">
        <v>4684.7158399999998</v>
      </c>
      <c r="E206" s="554">
        <f t="shared" si="23"/>
        <v>943.15769999999975</v>
      </c>
    </row>
    <row r="207" spans="1:5" s="506" customFormat="1" x14ac:dyDescent="0.2">
      <c r="A207" s="512">
        <v>5</v>
      </c>
      <c r="B207" s="511" t="s">
        <v>718</v>
      </c>
      <c r="C207" s="553">
        <v>624.95637999999997</v>
      </c>
      <c r="D207" s="553">
        <v>0</v>
      </c>
      <c r="E207" s="554">
        <f t="shared" si="23"/>
        <v>-624.95637999999997</v>
      </c>
    </row>
    <row r="208" spans="1:5" s="506" customFormat="1" x14ac:dyDescent="0.2">
      <c r="A208" s="512">
        <v>6</v>
      </c>
      <c r="B208" s="511" t="s">
        <v>418</v>
      </c>
      <c r="C208" s="553">
        <v>35.770859999999999</v>
      </c>
      <c r="D208" s="553">
        <v>34.997259999999997</v>
      </c>
      <c r="E208" s="554">
        <f t="shared" si="23"/>
        <v>-0.77360000000000184</v>
      </c>
    </row>
    <row r="209" spans="1:5" s="506" customFormat="1" x14ac:dyDescent="0.2">
      <c r="A209" s="512">
        <v>7</v>
      </c>
      <c r="B209" s="511" t="s">
        <v>733</v>
      </c>
      <c r="C209" s="553">
        <v>304.47773999999998</v>
      </c>
      <c r="D209" s="553">
        <v>189.29636000000002</v>
      </c>
      <c r="E209" s="554">
        <f t="shared" si="23"/>
        <v>-115.18137999999996</v>
      </c>
    </row>
    <row r="210" spans="1:5" s="506" customFormat="1" x14ac:dyDescent="0.2">
      <c r="A210" s="512"/>
      <c r="B210" s="516" t="s">
        <v>798</v>
      </c>
      <c r="C210" s="555">
        <f>C204+C205+C208</f>
        <v>16315.936719999998</v>
      </c>
      <c r="D210" s="555">
        <f>D204+D205+D208</f>
        <v>17457.874980000001</v>
      </c>
      <c r="E210" s="556">
        <f t="shared" si="23"/>
        <v>1141.9382600000026</v>
      </c>
    </row>
    <row r="211" spans="1:5" s="506" customFormat="1" x14ac:dyDescent="0.2">
      <c r="A211" s="512"/>
      <c r="B211" s="516" t="s">
        <v>697</v>
      </c>
      <c r="C211" s="555">
        <f>C210+C203</f>
        <v>23155.057599999996</v>
      </c>
      <c r="D211" s="555">
        <f>D210+D203</f>
        <v>24038.309400000002</v>
      </c>
      <c r="E211" s="556">
        <f t="shared" si="23"/>
        <v>883.25180000000546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799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626</v>
      </c>
      <c r="C215" s="557">
        <f>IF(C14*C137=0,0,C25/C14*C137)</f>
        <v>9561.5934595145736</v>
      </c>
      <c r="D215" s="557">
        <f>IF(D14*D137=0,0,D25/D14*D137)</f>
        <v>9615.5231354512161</v>
      </c>
      <c r="E215" s="557">
        <f t="shared" ref="E215:E223" si="24">D215-C215</f>
        <v>53.929675936642525</v>
      </c>
    </row>
    <row r="216" spans="1:5" s="506" customFormat="1" x14ac:dyDescent="0.2">
      <c r="A216" s="512">
        <v>2</v>
      </c>
      <c r="B216" s="511" t="s">
        <v>605</v>
      </c>
      <c r="C216" s="557">
        <f>IF(C15*C138=0,0,C26/C15*C138)</f>
        <v>4768.2613574162688</v>
      </c>
      <c r="D216" s="557">
        <f>IF(D15*D138=0,0,D26/D15*D138)</f>
        <v>4939.3312824060995</v>
      </c>
      <c r="E216" s="557">
        <f t="shared" si="24"/>
        <v>171.06992498983072</v>
      </c>
    </row>
    <row r="217" spans="1:5" s="506" customFormat="1" x14ac:dyDescent="0.2">
      <c r="A217" s="512">
        <v>3</v>
      </c>
      <c r="B217" s="511" t="s">
        <v>751</v>
      </c>
      <c r="C217" s="557">
        <f>C218+C219</f>
        <v>5275.5653920904351</v>
      </c>
      <c r="D217" s="557">
        <f>D218+D219</f>
        <v>5710.2449044283421</v>
      </c>
      <c r="E217" s="557">
        <f t="shared" si="24"/>
        <v>434.679512337907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4881.5912981076672</v>
      </c>
      <c r="D218" s="557">
        <f t="shared" si="25"/>
        <v>5710.2449044283421</v>
      </c>
      <c r="E218" s="557">
        <f t="shared" si="24"/>
        <v>828.65360632067495</v>
      </c>
    </row>
    <row r="219" spans="1:5" s="506" customFormat="1" x14ac:dyDescent="0.2">
      <c r="A219" s="512">
        <v>5</v>
      </c>
      <c r="B219" s="511" t="s">
        <v>718</v>
      </c>
      <c r="C219" s="557">
        <f t="shared" si="25"/>
        <v>393.9740939827683</v>
      </c>
      <c r="D219" s="557">
        <f t="shared" si="25"/>
        <v>0</v>
      </c>
      <c r="E219" s="557">
        <f t="shared" si="24"/>
        <v>-393.9740939827683</v>
      </c>
    </row>
    <row r="220" spans="1:5" s="506" customFormat="1" x14ac:dyDescent="0.2">
      <c r="A220" s="512">
        <v>6</v>
      </c>
      <c r="B220" s="511" t="s">
        <v>418</v>
      </c>
      <c r="C220" s="557">
        <f t="shared" si="25"/>
        <v>32.806839511111519</v>
      </c>
      <c r="D220" s="557">
        <f t="shared" si="25"/>
        <v>64.519978872155093</v>
      </c>
      <c r="E220" s="557">
        <f t="shared" si="24"/>
        <v>31.713139361043574</v>
      </c>
    </row>
    <row r="221" spans="1:5" s="506" customFormat="1" x14ac:dyDescent="0.2">
      <c r="A221" s="512">
        <v>7</v>
      </c>
      <c r="B221" s="511" t="s">
        <v>733</v>
      </c>
      <c r="C221" s="557">
        <f t="shared" si="25"/>
        <v>882.2802737390067</v>
      </c>
      <c r="D221" s="557">
        <f t="shared" si="25"/>
        <v>803.1935699484925</v>
      </c>
      <c r="E221" s="557">
        <f t="shared" si="24"/>
        <v>-79.086703790514207</v>
      </c>
    </row>
    <row r="222" spans="1:5" s="506" customFormat="1" x14ac:dyDescent="0.2">
      <c r="A222" s="512"/>
      <c r="B222" s="516" t="s">
        <v>800</v>
      </c>
      <c r="C222" s="558">
        <f>C216+C218+C219+C220</f>
        <v>10076.633589017816</v>
      </c>
      <c r="D222" s="558">
        <f>D216+D218+D219+D220</f>
        <v>10714.096165706596</v>
      </c>
      <c r="E222" s="558">
        <f t="shared" si="24"/>
        <v>637.46257668878025</v>
      </c>
    </row>
    <row r="223" spans="1:5" s="506" customFormat="1" x14ac:dyDescent="0.2">
      <c r="A223" s="512"/>
      <c r="B223" s="516" t="s">
        <v>801</v>
      </c>
      <c r="C223" s="558">
        <f>C215+C222</f>
        <v>19638.22704853239</v>
      </c>
      <c r="D223" s="558">
        <f>D215+D222</f>
        <v>20329.619301157814</v>
      </c>
      <c r="E223" s="558">
        <f t="shared" si="24"/>
        <v>691.39225262542459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802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626</v>
      </c>
      <c r="C227" s="560">
        <f t="shared" ref="C227:D235" si="26">IF(C203=0,0,C47/C203)</f>
        <v>8758.3183644503752</v>
      </c>
      <c r="D227" s="560">
        <f t="shared" si="26"/>
        <v>10500.777697895513</v>
      </c>
      <c r="E227" s="560">
        <f t="shared" ref="E227:E235" si="27">D227-C227</f>
        <v>1742.4593334451383</v>
      </c>
    </row>
    <row r="228" spans="1:5" s="506" customFormat="1" x14ac:dyDescent="0.2">
      <c r="A228" s="512">
        <v>2</v>
      </c>
      <c r="B228" s="511" t="s">
        <v>605</v>
      </c>
      <c r="C228" s="560">
        <f t="shared" si="26"/>
        <v>7787.7198477759057</v>
      </c>
      <c r="D228" s="560">
        <f t="shared" si="26"/>
        <v>8172.6515945328847</v>
      </c>
      <c r="E228" s="560">
        <f t="shared" si="27"/>
        <v>384.93174675697901</v>
      </c>
    </row>
    <row r="229" spans="1:5" s="506" customFormat="1" x14ac:dyDescent="0.2">
      <c r="A229" s="512">
        <v>3</v>
      </c>
      <c r="B229" s="511" t="s">
        <v>751</v>
      </c>
      <c r="C229" s="560">
        <f t="shared" si="26"/>
        <v>5293.2287054435355</v>
      </c>
      <c r="D229" s="560">
        <f t="shared" si="26"/>
        <v>5595.9095269266109</v>
      </c>
      <c r="E229" s="560">
        <f t="shared" si="27"/>
        <v>302.68082148307531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5457.1283502760161</v>
      </c>
      <c r="D230" s="560">
        <f t="shared" si="26"/>
        <v>5595.9095269266109</v>
      </c>
      <c r="E230" s="560">
        <f t="shared" si="27"/>
        <v>138.78117665059472</v>
      </c>
    </row>
    <row r="231" spans="1:5" s="506" customFormat="1" x14ac:dyDescent="0.2">
      <c r="A231" s="512">
        <v>5</v>
      </c>
      <c r="B231" s="511" t="s">
        <v>718</v>
      </c>
      <c r="C231" s="560">
        <f t="shared" si="26"/>
        <v>4311.9761414388631</v>
      </c>
      <c r="D231" s="560">
        <f t="shared" si="26"/>
        <v>0</v>
      </c>
      <c r="E231" s="560">
        <f t="shared" si="27"/>
        <v>-4311.9761414388631</v>
      </c>
    </row>
    <row r="232" spans="1:5" s="506" customFormat="1" x14ac:dyDescent="0.2">
      <c r="A232" s="512">
        <v>6</v>
      </c>
      <c r="B232" s="511" t="s">
        <v>418</v>
      </c>
      <c r="C232" s="560">
        <f t="shared" si="26"/>
        <v>5090.3444871048669</v>
      </c>
      <c r="D232" s="560">
        <f t="shared" si="26"/>
        <v>7630.3116301104719</v>
      </c>
      <c r="E232" s="560">
        <f t="shared" si="27"/>
        <v>2539.9671430056051</v>
      </c>
    </row>
    <row r="233" spans="1:5" s="506" customFormat="1" x14ac:dyDescent="0.2">
      <c r="A233" s="512">
        <v>7</v>
      </c>
      <c r="B233" s="511" t="s">
        <v>733</v>
      </c>
      <c r="C233" s="560">
        <f t="shared" si="26"/>
        <v>1916.3732626234023</v>
      </c>
      <c r="D233" s="560">
        <f t="shared" si="26"/>
        <v>2730.6335948562346</v>
      </c>
      <c r="E233" s="560">
        <f t="shared" si="27"/>
        <v>814.2603322328323</v>
      </c>
    </row>
    <row r="234" spans="1:5" x14ac:dyDescent="0.2">
      <c r="A234" s="512"/>
      <c r="B234" s="516" t="s">
        <v>803</v>
      </c>
      <c r="C234" s="561">
        <f t="shared" si="26"/>
        <v>7114.2237796077952</v>
      </c>
      <c r="D234" s="561">
        <f t="shared" si="26"/>
        <v>7480.1111332050559</v>
      </c>
      <c r="E234" s="561">
        <f t="shared" si="27"/>
        <v>365.8873535972607</v>
      </c>
    </row>
    <row r="235" spans="1:5" s="506" customFormat="1" x14ac:dyDescent="0.2">
      <c r="A235" s="512"/>
      <c r="B235" s="516" t="s">
        <v>804</v>
      </c>
      <c r="C235" s="561">
        <f t="shared" si="26"/>
        <v>7599.8266141216609</v>
      </c>
      <c r="D235" s="561">
        <f t="shared" si="26"/>
        <v>8307.0119731464965</v>
      </c>
      <c r="E235" s="561">
        <f t="shared" si="27"/>
        <v>707.18535902483563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321</v>
      </c>
      <c r="B237" s="509" t="s">
        <v>805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626</v>
      </c>
      <c r="C239" s="560">
        <f t="shared" ref="C239:D247" si="28">IF(C215=0,0,C58/C215)</f>
        <v>11064.104581305928</v>
      </c>
      <c r="D239" s="560">
        <f t="shared" si="28"/>
        <v>10993.439411556215</v>
      </c>
      <c r="E239" s="562">
        <f t="shared" ref="E239:E247" si="29">D239-C239</f>
        <v>-70.665169749712732</v>
      </c>
    </row>
    <row r="240" spans="1:5" s="506" customFormat="1" x14ac:dyDescent="0.2">
      <c r="A240" s="512">
        <v>2</v>
      </c>
      <c r="B240" s="511" t="s">
        <v>605</v>
      </c>
      <c r="C240" s="560">
        <f t="shared" si="28"/>
        <v>7574.2102399289879</v>
      </c>
      <c r="D240" s="560">
        <f t="shared" si="28"/>
        <v>6811.6447503416912</v>
      </c>
      <c r="E240" s="562">
        <f t="shared" si="29"/>
        <v>-762.56548958729672</v>
      </c>
    </row>
    <row r="241" spans="1:5" x14ac:dyDescent="0.2">
      <c r="A241" s="512">
        <v>3</v>
      </c>
      <c r="B241" s="511" t="s">
        <v>751</v>
      </c>
      <c r="C241" s="560">
        <f t="shared" si="28"/>
        <v>5806.2483778373589</v>
      </c>
      <c r="D241" s="560">
        <f t="shared" si="28"/>
        <v>5808.0866153883881</v>
      </c>
      <c r="E241" s="562">
        <f t="shared" si="29"/>
        <v>1.838237551029124</v>
      </c>
    </row>
    <row r="242" spans="1:5" x14ac:dyDescent="0.2">
      <c r="A242" s="512">
        <v>4</v>
      </c>
      <c r="B242" s="511" t="s">
        <v>114</v>
      </c>
      <c r="C242" s="560">
        <f t="shared" si="28"/>
        <v>5915.0398377662677</v>
      </c>
      <c r="D242" s="560">
        <f t="shared" si="28"/>
        <v>5808.0866153883881</v>
      </c>
      <c r="E242" s="562">
        <f t="shared" si="29"/>
        <v>-106.95322237787968</v>
      </c>
    </row>
    <row r="243" spans="1:5" x14ac:dyDescent="0.2">
      <c r="A243" s="512">
        <v>5</v>
      </c>
      <c r="B243" s="511" t="s">
        <v>718</v>
      </c>
      <c r="C243" s="560">
        <f t="shared" si="28"/>
        <v>4458.2525268192467</v>
      </c>
      <c r="D243" s="560">
        <f t="shared" si="28"/>
        <v>0</v>
      </c>
      <c r="E243" s="562">
        <f t="shared" si="29"/>
        <v>-4458.2525268192467</v>
      </c>
    </row>
    <row r="244" spans="1:5" x14ac:dyDescent="0.2">
      <c r="A244" s="512">
        <v>6</v>
      </c>
      <c r="B244" s="511" t="s">
        <v>418</v>
      </c>
      <c r="C244" s="560">
        <f t="shared" si="28"/>
        <v>6133.3552088078795</v>
      </c>
      <c r="D244" s="560">
        <f t="shared" si="28"/>
        <v>3052.7443350574836</v>
      </c>
      <c r="E244" s="562">
        <f t="shared" si="29"/>
        <v>-3080.610873750396</v>
      </c>
    </row>
    <row r="245" spans="1:5" x14ac:dyDescent="0.2">
      <c r="A245" s="512">
        <v>7</v>
      </c>
      <c r="B245" s="511" t="s">
        <v>733</v>
      </c>
      <c r="C245" s="560">
        <f t="shared" si="28"/>
        <v>6234.1561561729677</v>
      </c>
      <c r="D245" s="560">
        <f t="shared" si="28"/>
        <v>3754.0029113945216</v>
      </c>
      <c r="E245" s="562">
        <f t="shared" si="29"/>
        <v>-2480.1532447784462</v>
      </c>
    </row>
    <row r="246" spans="1:5" ht="25.5" x14ac:dyDescent="0.2">
      <c r="A246" s="512"/>
      <c r="B246" s="516" t="s">
        <v>806</v>
      </c>
      <c r="C246" s="561">
        <f t="shared" si="28"/>
        <v>6643.9126131334842</v>
      </c>
      <c r="D246" s="561">
        <f t="shared" si="28"/>
        <v>6254.1467766992773</v>
      </c>
      <c r="E246" s="563">
        <f t="shared" si="29"/>
        <v>-389.7658364342069</v>
      </c>
    </row>
    <row r="247" spans="1:5" x14ac:dyDescent="0.2">
      <c r="A247" s="512"/>
      <c r="B247" s="516" t="s">
        <v>807</v>
      </c>
      <c r="C247" s="561">
        <f t="shared" si="28"/>
        <v>8796.045721088105</v>
      </c>
      <c r="D247" s="561">
        <f t="shared" si="28"/>
        <v>8495.7420225849237</v>
      </c>
      <c r="E247" s="563">
        <f t="shared" si="29"/>
        <v>-300.30369850318129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735</v>
      </c>
      <c r="B249" s="550" t="s">
        <v>732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8099391.7972753337</v>
      </c>
      <c r="D251" s="546">
        <f>((IF((IF(D15=0,0,D26/D15)*D138)=0,0,D59/(IF(D15=0,0,D26/D15)*D138)))-(IF((IF(D17=0,0,D28/D17)*D140)=0,0,D61/(IF(D17=0,0,D28/D17)*D140))))*(IF(D17=0,0,D28/D17)*D140)</f>
        <v>5730562.7264147094</v>
      </c>
      <c r="E251" s="546">
        <f>D251-C251</f>
        <v>-2368829.0708606243</v>
      </c>
    </row>
    <row r="252" spans="1:5" x14ac:dyDescent="0.2">
      <c r="A252" s="512">
        <v>2</v>
      </c>
      <c r="B252" s="511" t="s">
        <v>718</v>
      </c>
      <c r="C252" s="546">
        <f>IF(C231=0,0,(C228-C231)*C207)+IF(C243=0,0,(C240-C243)*C219)</f>
        <v>3399794.8214312103</v>
      </c>
      <c r="D252" s="546">
        <f>IF(D231=0,0,(D228-D231)*D207)+IF(D243=0,0,(D240-D243)*D219)</f>
        <v>0</v>
      </c>
      <c r="E252" s="546">
        <f>D252-C252</f>
        <v>-3399794.8214312103</v>
      </c>
    </row>
    <row r="253" spans="1:5" x14ac:dyDescent="0.2">
      <c r="A253" s="512">
        <v>3</v>
      </c>
      <c r="B253" s="511" t="s">
        <v>733</v>
      </c>
      <c r="C253" s="546">
        <f>IF(C233=0,0,(C228-C233)*C209+IF(C221=0,0,(C240-C245)*C221))</f>
        <v>2969997.622845287</v>
      </c>
      <c r="D253" s="546">
        <f>IF(D233=0,0,(D228-D233)*D209+IF(D221=0,0,(D240-D245)*D221))</f>
        <v>3486032.4626411218</v>
      </c>
      <c r="E253" s="546">
        <f>D253-C253</f>
        <v>516034.83979583485</v>
      </c>
    </row>
    <row r="254" spans="1:5" ht="15" customHeight="1" x14ac:dyDescent="0.2">
      <c r="A254" s="512"/>
      <c r="B254" s="516" t="s">
        <v>734</v>
      </c>
      <c r="C254" s="564">
        <f>+C251+C252+C253</f>
        <v>14469184.24155183</v>
      </c>
      <c r="D254" s="564">
        <f>+D251+D252+D253</f>
        <v>9216595.1890558302</v>
      </c>
      <c r="E254" s="564">
        <f>D254-C254</f>
        <v>-5252589.0524959993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808</v>
      </c>
      <c r="B256" s="550" t="s">
        <v>809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700</v>
      </c>
      <c r="C258" s="546">
        <f>+C44</f>
        <v>800740049</v>
      </c>
      <c r="D258" s="549">
        <f>+D44</f>
        <v>841847719</v>
      </c>
      <c r="E258" s="546">
        <f t="shared" ref="E258:E271" si="30">D258-C258</f>
        <v>41107670</v>
      </c>
    </row>
    <row r="259" spans="1:5" x14ac:dyDescent="0.2">
      <c r="A259" s="512">
        <v>2</v>
      </c>
      <c r="B259" s="511" t="s">
        <v>717</v>
      </c>
      <c r="C259" s="546">
        <f>+(C43-C76)</f>
        <v>326967639</v>
      </c>
      <c r="D259" s="549">
        <f>+(D43-D76)</f>
        <v>361024247</v>
      </c>
      <c r="E259" s="546">
        <f t="shared" si="30"/>
        <v>34056608</v>
      </c>
    </row>
    <row r="260" spans="1:5" x14ac:dyDescent="0.2">
      <c r="A260" s="512">
        <v>3</v>
      </c>
      <c r="B260" s="511" t="s">
        <v>721</v>
      </c>
      <c r="C260" s="546">
        <f>C195</f>
        <v>17968907</v>
      </c>
      <c r="D260" s="546">
        <f>D195</f>
        <v>18402615</v>
      </c>
      <c r="E260" s="546">
        <f t="shared" si="30"/>
        <v>433708</v>
      </c>
    </row>
    <row r="261" spans="1:5" x14ac:dyDescent="0.2">
      <c r="A261" s="512">
        <v>4</v>
      </c>
      <c r="B261" s="511" t="s">
        <v>722</v>
      </c>
      <c r="C261" s="546">
        <f>C188</f>
        <v>125059244</v>
      </c>
      <c r="D261" s="546">
        <f>D188</f>
        <v>108421746</v>
      </c>
      <c r="E261" s="546">
        <f t="shared" si="30"/>
        <v>-16637498</v>
      </c>
    </row>
    <row r="262" spans="1:5" x14ac:dyDescent="0.2">
      <c r="A262" s="512">
        <v>5</v>
      </c>
      <c r="B262" s="511" t="s">
        <v>723</v>
      </c>
      <c r="C262" s="546">
        <f>C191</f>
        <v>0</v>
      </c>
      <c r="D262" s="546">
        <f>D191</f>
        <v>0</v>
      </c>
      <c r="E262" s="546">
        <f t="shared" si="30"/>
        <v>0</v>
      </c>
    </row>
    <row r="263" spans="1:5" x14ac:dyDescent="0.2">
      <c r="A263" s="512">
        <v>6</v>
      </c>
      <c r="B263" s="511" t="s">
        <v>724</v>
      </c>
      <c r="C263" s="546">
        <f>+C259+C260+C261+C262</f>
        <v>469995790</v>
      </c>
      <c r="D263" s="546">
        <f>+D259+D260+D261+D262</f>
        <v>487848608</v>
      </c>
      <c r="E263" s="546">
        <f t="shared" si="30"/>
        <v>17852818</v>
      </c>
    </row>
    <row r="264" spans="1:5" x14ac:dyDescent="0.2">
      <c r="A264" s="512">
        <v>7</v>
      </c>
      <c r="B264" s="511" t="s">
        <v>624</v>
      </c>
      <c r="C264" s="546">
        <f>+C258-C263</f>
        <v>330744259</v>
      </c>
      <c r="D264" s="546">
        <f>+D258-D263</f>
        <v>353999111</v>
      </c>
      <c r="E264" s="546">
        <f t="shared" si="30"/>
        <v>23254852</v>
      </c>
    </row>
    <row r="265" spans="1:5" x14ac:dyDescent="0.2">
      <c r="A265" s="512">
        <v>8</v>
      </c>
      <c r="B265" s="511" t="s">
        <v>810</v>
      </c>
      <c r="C265" s="565">
        <f>C192</f>
        <v>1763987</v>
      </c>
      <c r="D265" s="565">
        <f>D192</f>
        <v>0</v>
      </c>
      <c r="E265" s="546">
        <f t="shared" si="30"/>
        <v>-1763987</v>
      </c>
    </row>
    <row r="266" spans="1:5" x14ac:dyDescent="0.2">
      <c r="A266" s="512">
        <v>9</v>
      </c>
      <c r="B266" s="511" t="s">
        <v>811</v>
      </c>
      <c r="C266" s="546">
        <f>+C264+C265</f>
        <v>332508246</v>
      </c>
      <c r="D266" s="546">
        <f>+D264+D265</f>
        <v>353999111</v>
      </c>
      <c r="E266" s="565">
        <f t="shared" si="30"/>
        <v>21490865</v>
      </c>
    </row>
    <row r="267" spans="1:5" x14ac:dyDescent="0.2">
      <c r="A267" s="512">
        <v>10</v>
      </c>
      <c r="B267" s="511" t="s">
        <v>812</v>
      </c>
      <c r="C267" s="566">
        <f>IF(C258=0,0,C266/C258)</f>
        <v>0.415251174729241</v>
      </c>
      <c r="D267" s="566">
        <f>IF(D258=0,0,D266/D258)</f>
        <v>0.42050254815740612</v>
      </c>
      <c r="E267" s="567">
        <f t="shared" si="30"/>
        <v>5.2513734281651181E-3</v>
      </c>
    </row>
    <row r="268" spans="1:5" x14ac:dyDescent="0.2">
      <c r="A268" s="512">
        <v>11</v>
      </c>
      <c r="B268" s="511" t="s">
        <v>686</v>
      </c>
      <c r="C268" s="546">
        <f>+C260*C267</f>
        <v>7461609.7403504821</v>
      </c>
      <c r="D268" s="568">
        <f>+D260*D267</f>
        <v>7738346.500259704</v>
      </c>
      <c r="E268" s="546">
        <f t="shared" si="30"/>
        <v>276736.7599092219</v>
      </c>
    </row>
    <row r="269" spans="1:5" x14ac:dyDescent="0.2">
      <c r="A269" s="512">
        <v>12</v>
      </c>
      <c r="B269" s="511" t="s">
        <v>813</v>
      </c>
      <c r="C269" s="546">
        <f>((C17+C18+C28+C29)*C267)-(C50+C51+C61+C62)</f>
        <v>9850304.3678601012</v>
      </c>
      <c r="D269" s="568">
        <f>((D17+D18+D28+D29)*D267)-(D50+D51+D61+D62)</f>
        <v>13029374.528758541</v>
      </c>
      <c r="E269" s="546">
        <f t="shared" si="30"/>
        <v>3179070.1608984396</v>
      </c>
    </row>
    <row r="270" spans="1:5" s="569" customFormat="1" x14ac:dyDescent="0.2">
      <c r="A270" s="570">
        <v>13</v>
      </c>
      <c r="B270" s="571" t="s">
        <v>814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815</v>
      </c>
      <c r="C271" s="546">
        <f>+C268+C269+C270</f>
        <v>17311914.108210582</v>
      </c>
      <c r="D271" s="546">
        <f>+D268+D269+D270</f>
        <v>20767721.029018246</v>
      </c>
      <c r="E271" s="549">
        <f t="shared" si="30"/>
        <v>3455806.9208076634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816</v>
      </c>
      <c r="B273" s="550" t="s">
        <v>817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818</v>
      </c>
      <c r="C275" s="340"/>
      <c r="D275" s="340"/>
      <c r="E275" s="520"/>
    </row>
    <row r="276" spans="1:5" x14ac:dyDescent="0.2">
      <c r="A276" s="512">
        <v>1</v>
      </c>
      <c r="B276" s="511" t="s">
        <v>626</v>
      </c>
      <c r="C276" s="547">
        <f t="shared" ref="C276:D284" si="31">IF(C14=0,0,+C47/C14)</f>
        <v>0.52337638171904133</v>
      </c>
      <c r="D276" s="547">
        <f t="shared" si="31"/>
        <v>0.63281708101938861</v>
      </c>
      <c r="E276" s="574">
        <f t="shared" ref="E276:E284" si="32">D276-C276</f>
        <v>0.10944069930034728</v>
      </c>
    </row>
    <row r="277" spans="1:5" x14ac:dyDescent="0.2">
      <c r="A277" s="512">
        <v>2</v>
      </c>
      <c r="B277" s="511" t="s">
        <v>605</v>
      </c>
      <c r="C277" s="547">
        <f t="shared" si="31"/>
        <v>0.40349371916791299</v>
      </c>
      <c r="D277" s="547">
        <f t="shared" si="31"/>
        <v>0.40859337219769226</v>
      </c>
      <c r="E277" s="574">
        <f t="shared" si="32"/>
        <v>5.0996530297792719E-3</v>
      </c>
    </row>
    <row r="278" spans="1:5" x14ac:dyDescent="0.2">
      <c r="A278" s="512">
        <v>3</v>
      </c>
      <c r="B278" s="511" t="s">
        <v>751</v>
      </c>
      <c r="C278" s="547">
        <f t="shared" si="31"/>
        <v>0.32182723889030967</v>
      </c>
      <c r="D278" s="547">
        <f t="shared" si="31"/>
        <v>0.33274359849019725</v>
      </c>
      <c r="E278" s="574">
        <f t="shared" si="32"/>
        <v>1.0916359599887571E-2</v>
      </c>
    </row>
    <row r="279" spans="1:5" x14ac:dyDescent="0.2">
      <c r="A279" s="512">
        <v>4</v>
      </c>
      <c r="B279" s="511" t="s">
        <v>114</v>
      </c>
      <c r="C279" s="547">
        <f t="shared" si="31"/>
        <v>0.34851926750977003</v>
      </c>
      <c r="D279" s="547">
        <f t="shared" si="31"/>
        <v>0.33274359849019725</v>
      </c>
      <c r="E279" s="574">
        <f t="shared" si="32"/>
        <v>-1.577566901957278E-2</v>
      </c>
    </row>
    <row r="280" spans="1:5" x14ac:dyDescent="0.2">
      <c r="A280" s="512">
        <v>5</v>
      </c>
      <c r="B280" s="511" t="s">
        <v>718</v>
      </c>
      <c r="C280" s="547">
        <f t="shared" si="31"/>
        <v>0.20365069287638182</v>
      </c>
      <c r="D280" s="547">
        <f t="shared" si="31"/>
        <v>0</v>
      </c>
      <c r="E280" s="574">
        <f t="shared" si="32"/>
        <v>-0.20365069287638182</v>
      </c>
    </row>
    <row r="281" spans="1:5" x14ac:dyDescent="0.2">
      <c r="A281" s="512">
        <v>6</v>
      </c>
      <c r="B281" s="511" t="s">
        <v>418</v>
      </c>
      <c r="C281" s="547">
        <f t="shared" si="31"/>
        <v>0.24119363602525773</v>
      </c>
      <c r="D281" s="547">
        <f t="shared" si="31"/>
        <v>0.52047783232989064</v>
      </c>
      <c r="E281" s="574">
        <f t="shared" si="32"/>
        <v>0.27928419630463291</v>
      </c>
    </row>
    <row r="282" spans="1:5" x14ac:dyDescent="0.2">
      <c r="A282" s="512">
        <v>7</v>
      </c>
      <c r="B282" s="511" t="s">
        <v>733</v>
      </c>
      <c r="C282" s="547">
        <f t="shared" si="31"/>
        <v>0.10323741191761503</v>
      </c>
      <c r="D282" s="547">
        <f t="shared" si="31"/>
        <v>0.15576960398462372</v>
      </c>
      <c r="E282" s="574">
        <f t="shared" si="32"/>
        <v>5.2532192067008696E-2</v>
      </c>
    </row>
    <row r="283" spans="1:5" ht="29.25" customHeight="1" x14ac:dyDescent="0.2">
      <c r="A283" s="512"/>
      <c r="B283" s="516" t="s">
        <v>819</v>
      </c>
      <c r="C283" s="575">
        <f t="shared" si="31"/>
        <v>0.38370083593201237</v>
      </c>
      <c r="D283" s="575">
        <f t="shared" si="31"/>
        <v>0.39087807770718208</v>
      </c>
      <c r="E283" s="576">
        <f t="shared" si="32"/>
        <v>7.1772417751697071E-3</v>
      </c>
    </row>
    <row r="284" spans="1:5" x14ac:dyDescent="0.2">
      <c r="A284" s="512"/>
      <c r="B284" s="516" t="s">
        <v>820</v>
      </c>
      <c r="C284" s="575">
        <f t="shared" si="31"/>
        <v>0.42203890174169473</v>
      </c>
      <c r="D284" s="575">
        <f t="shared" si="31"/>
        <v>0.45047528914253765</v>
      </c>
      <c r="E284" s="576">
        <f t="shared" si="32"/>
        <v>2.8436387400842922E-2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821</v>
      </c>
      <c r="C286" s="520"/>
      <c r="D286" s="520"/>
      <c r="E286" s="520"/>
    </row>
    <row r="287" spans="1:5" x14ac:dyDescent="0.2">
      <c r="A287" s="512">
        <v>1</v>
      </c>
      <c r="B287" s="511" t="s">
        <v>626</v>
      </c>
      <c r="C287" s="547">
        <f t="shared" ref="C287:D295" si="33">IF(C25=0,0,+C58/C25)</f>
        <v>0.6000550988688339</v>
      </c>
      <c r="D287" s="547">
        <f t="shared" si="33"/>
        <v>0.6073920115980127</v>
      </c>
      <c r="E287" s="574">
        <f t="shared" ref="E287:E295" si="34">D287-C287</f>
        <v>7.3369127291788017E-3</v>
      </c>
    </row>
    <row r="288" spans="1:5" x14ac:dyDescent="0.2">
      <c r="A288" s="512">
        <v>2</v>
      </c>
      <c r="B288" s="511" t="s">
        <v>605</v>
      </c>
      <c r="C288" s="547">
        <f t="shared" si="33"/>
        <v>0.28782662744417598</v>
      </c>
      <c r="D288" s="547">
        <f t="shared" si="33"/>
        <v>0.2580155463305191</v>
      </c>
      <c r="E288" s="574">
        <f t="shared" si="34"/>
        <v>-2.9811081113656879E-2</v>
      </c>
    </row>
    <row r="289" spans="1:5" x14ac:dyDescent="0.2">
      <c r="A289" s="512">
        <v>3</v>
      </c>
      <c r="B289" s="511" t="s">
        <v>751</v>
      </c>
      <c r="C289" s="547">
        <f t="shared" si="33"/>
        <v>0.37663289957140228</v>
      </c>
      <c r="D289" s="547">
        <f t="shared" si="33"/>
        <v>0.35503840527904829</v>
      </c>
      <c r="E289" s="574">
        <f t="shared" si="34"/>
        <v>-2.1594494292353994E-2</v>
      </c>
    </row>
    <row r="290" spans="1:5" x14ac:dyDescent="0.2">
      <c r="A290" s="512">
        <v>4</v>
      </c>
      <c r="B290" s="511" t="s">
        <v>114</v>
      </c>
      <c r="C290" s="547">
        <f t="shared" si="33"/>
        <v>0.40809766436690259</v>
      </c>
      <c r="D290" s="547">
        <f t="shared" si="33"/>
        <v>0.35503840527904829</v>
      </c>
      <c r="E290" s="574">
        <f t="shared" si="34"/>
        <v>-5.3059259087854305E-2</v>
      </c>
    </row>
    <row r="291" spans="1:5" x14ac:dyDescent="0.2">
      <c r="A291" s="512">
        <v>5</v>
      </c>
      <c r="B291" s="511" t="s">
        <v>718</v>
      </c>
      <c r="C291" s="547">
        <f t="shared" si="33"/>
        <v>0.16610068385098301</v>
      </c>
      <c r="D291" s="547">
        <f t="shared" si="33"/>
        <v>0</v>
      </c>
      <c r="E291" s="574">
        <f t="shared" si="34"/>
        <v>-0.16610068385098301</v>
      </c>
    </row>
    <row r="292" spans="1:5" x14ac:dyDescent="0.2">
      <c r="A292" s="512">
        <v>6</v>
      </c>
      <c r="B292" s="511" t="s">
        <v>418</v>
      </c>
      <c r="C292" s="547">
        <f t="shared" si="33"/>
        <v>0.30060010666571058</v>
      </c>
      <c r="D292" s="547">
        <f t="shared" si="33"/>
        <v>0.27369961313560265</v>
      </c>
      <c r="E292" s="574">
        <f t="shared" si="34"/>
        <v>-2.6900493530107927E-2</v>
      </c>
    </row>
    <row r="293" spans="1:5" x14ac:dyDescent="0.2">
      <c r="A293" s="512">
        <v>7</v>
      </c>
      <c r="B293" s="511" t="s">
        <v>733</v>
      </c>
      <c r="C293" s="547">
        <f t="shared" si="33"/>
        <v>0.36840507275304152</v>
      </c>
      <c r="D293" s="547">
        <f t="shared" si="33"/>
        <v>0.21155010023962934</v>
      </c>
      <c r="E293" s="574">
        <f t="shared" si="34"/>
        <v>-0.15685497251341218</v>
      </c>
    </row>
    <row r="294" spans="1:5" ht="29.25" customHeight="1" x14ac:dyDescent="0.2">
      <c r="A294" s="512"/>
      <c r="B294" s="516" t="s">
        <v>822</v>
      </c>
      <c r="C294" s="575">
        <f t="shared" si="33"/>
        <v>0.32267925311769702</v>
      </c>
      <c r="D294" s="575">
        <f t="shared" si="33"/>
        <v>0.29843099144211244</v>
      </c>
      <c r="E294" s="576">
        <f t="shared" si="34"/>
        <v>-2.4248261675584581E-2</v>
      </c>
    </row>
    <row r="295" spans="1:5" x14ac:dyDescent="0.2">
      <c r="A295" s="512"/>
      <c r="B295" s="516" t="s">
        <v>823</v>
      </c>
      <c r="C295" s="575">
        <f t="shared" si="33"/>
        <v>0.45010129619798123</v>
      </c>
      <c r="D295" s="575">
        <f t="shared" si="33"/>
        <v>0.43333927150749069</v>
      </c>
      <c r="E295" s="576">
        <f t="shared" si="34"/>
        <v>-1.676202469049054E-2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824</v>
      </c>
      <c r="B297" s="501" t="s">
        <v>825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826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624</v>
      </c>
      <c r="C301" s="514">
        <f>+C48+C47+C50+C51+C52+C59+C58+C61+C62+C63</f>
        <v>348713166</v>
      </c>
      <c r="D301" s="514">
        <f>+D48+D47+D50+D51+D52+D59+D58+D61+D62+D63</f>
        <v>372401725</v>
      </c>
      <c r="E301" s="514">
        <f>D301-C301</f>
        <v>23688559</v>
      </c>
    </row>
    <row r="302" spans="1:5" ht="25.5" x14ac:dyDescent="0.2">
      <c r="A302" s="512">
        <v>2</v>
      </c>
      <c r="B302" s="511" t="s">
        <v>827</v>
      </c>
      <c r="C302" s="546">
        <f>C265</f>
        <v>1763987</v>
      </c>
      <c r="D302" s="546">
        <f>D265</f>
        <v>0</v>
      </c>
      <c r="E302" s="514">
        <f>D302-C302</f>
        <v>-1763987</v>
      </c>
    </row>
    <row r="303" spans="1:5" x14ac:dyDescent="0.2">
      <c r="A303" s="512"/>
      <c r="B303" s="516" t="s">
        <v>828</v>
      </c>
      <c r="C303" s="517">
        <f>+C301+C302</f>
        <v>350477153</v>
      </c>
      <c r="D303" s="517">
        <f>+D301+D302</f>
        <v>372401725</v>
      </c>
      <c r="E303" s="517">
        <f>D303-C303</f>
        <v>21924572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829</v>
      </c>
      <c r="C305" s="513">
        <v>18469683</v>
      </c>
      <c r="D305" s="578">
        <v>10914736</v>
      </c>
      <c r="E305" s="579">
        <f>D305-C305</f>
        <v>-7554947</v>
      </c>
    </row>
    <row r="306" spans="1:5" x14ac:dyDescent="0.2">
      <c r="A306" s="512">
        <v>4</v>
      </c>
      <c r="B306" s="516" t="s">
        <v>830</v>
      </c>
      <c r="C306" s="580">
        <f>+C303+C305</f>
        <v>368946836</v>
      </c>
      <c r="D306" s="580">
        <f>+D303+D305</f>
        <v>383316461</v>
      </c>
      <c r="E306" s="580">
        <f>D306-C306</f>
        <v>14369625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831</v>
      </c>
      <c r="C308" s="513">
        <v>368946837</v>
      </c>
      <c r="D308" s="513">
        <v>383316464</v>
      </c>
      <c r="E308" s="514">
        <f>D308-C308</f>
        <v>14369627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832</v>
      </c>
      <c r="C310" s="581">
        <f>C306-C308</f>
        <v>-1</v>
      </c>
      <c r="D310" s="582">
        <f>D306-D308</f>
        <v>-3</v>
      </c>
      <c r="E310" s="580">
        <f>D310-C310</f>
        <v>-2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833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834</v>
      </c>
      <c r="C314" s="514">
        <f>+C14+C15+C16+C19+C25+C26+C27+C30</f>
        <v>800740049</v>
      </c>
      <c r="D314" s="514">
        <f>+D14+D15+D16+D19+D25+D26+D27+D30</f>
        <v>841847719</v>
      </c>
      <c r="E314" s="514">
        <f>D314-C314</f>
        <v>41107670</v>
      </c>
    </row>
    <row r="315" spans="1:5" x14ac:dyDescent="0.2">
      <c r="A315" s="512">
        <v>2</v>
      </c>
      <c r="B315" s="583" t="s">
        <v>835</v>
      </c>
      <c r="C315" s="513">
        <v>8584797</v>
      </c>
      <c r="D315" s="513">
        <v>8748112</v>
      </c>
      <c r="E315" s="514">
        <f>D315-C315</f>
        <v>163315</v>
      </c>
    </row>
    <row r="316" spans="1:5" x14ac:dyDescent="0.2">
      <c r="A316" s="512"/>
      <c r="B316" s="516" t="s">
        <v>836</v>
      </c>
      <c r="C316" s="581">
        <f>C314+C315</f>
        <v>809324846</v>
      </c>
      <c r="D316" s="581">
        <f>D314+D315</f>
        <v>850595831</v>
      </c>
      <c r="E316" s="517">
        <f>D316-C316</f>
        <v>41270985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837</v>
      </c>
      <c r="C318" s="513">
        <v>809324847</v>
      </c>
      <c r="D318" s="513">
        <v>850595831</v>
      </c>
      <c r="E318" s="514">
        <f>D318-C318</f>
        <v>41270984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832</v>
      </c>
      <c r="C320" s="581">
        <f>C316-C318</f>
        <v>-1</v>
      </c>
      <c r="D320" s="581">
        <f>D316-D318</f>
        <v>0</v>
      </c>
      <c r="E320" s="517">
        <f>D320-C320</f>
        <v>1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838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839</v>
      </c>
      <c r="C324" s="513">
        <f>+C193+C194</f>
        <v>17968907</v>
      </c>
      <c r="D324" s="513">
        <f>+D193+D194</f>
        <v>18402615</v>
      </c>
      <c r="E324" s="514">
        <f>D324-C324</f>
        <v>433708</v>
      </c>
    </row>
    <row r="325" spans="1:5" x14ac:dyDescent="0.2">
      <c r="A325" s="512">
        <v>2</v>
      </c>
      <c r="B325" s="511" t="s">
        <v>840</v>
      </c>
      <c r="C325" s="513">
        <v>1403970</v>
      </c>
      <c r="D325" s="513">
        <v>1248893</v>
      </c>
      <c r="E325" s="514">
        <f>D325-C325</f>
        <v>-155077</v>
      </c>
    </row>
    <row r="326" spans="1:5" x14ac:dyDescent="0.2">
      <c r="A326" s="512"/>
      <c r="B326" s="516" t="s">
        <v>841</v>
      </c>
      <c r="C326" s="581">
        <f>C324+C325</f>
        <v>19372877</v>
      </c>
      <c r="D326" s="581">
        <f>D324+D325</f>
        <v>19651508</v>
      </c>
      <c r="E326" s="517">
        <f>D326-C326</f>
        <v>278631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842</v>
      </c>
      <c r="C328" s="513">
        <v>19372878</v>
      </c>
      <c r="D328" s="513">
        <v>19651508</v>
      </c>
      <c r="E328" s="514">
        <f>D328-C328</f>
        <v>278630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843</v>
      </c>
      <c r="C330" s="581">
        <f>C326-C328</f>
        <v>-1</v>
      </c>
      <c r="D330" s="581">
        <f>D326-D328</f>
        <v>0</v>
      </c>
      <c r="E330" s="517">
        <f>D330-C330</f>
        <v>1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horizontalDpi="1200" verticalDpi="1200"/>
  <headerFooter>
    <oddHeader>&amp;LOFFICE OF HEALTH CARE ACCESS&amp;CTWELVE MONTHS ACTUAL FILING&amp;RTHE HOSPITAL OF CENTRAL CONNECTICUT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SheetLayoutView="75" workbookViewId="0"/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596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844</v>
      </c>
      <c r="B5" s="696"/>
      <c r="C5" s="697"/>
      <c r="D5" s="585"/>
    </row>
    <row r="6" spans="1:58" s="338" customFormat="1" ht="15.75" customHeight="1" x14ac:dyDescent="0.25">
      <c r="A6" s="695" t="s">
        <v>845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846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847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750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626</v>
      </c>
      <c r="C14" s="513">
        <v>109193764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605</v>
      </c>
      <c r="C15" s="515">
        <v>254787684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751</v>
      </c>
      <c r="C16" s="515">
        <v>78785125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78785125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718</v>
      </c>
      <c r="C18" s="515">
        <v>0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418</v>
      </c>
      <c r="C19" s="515">
        <v>513067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733</v>
      </c>
      <c r="C20" s="515">
        <v>3318356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752</v>
      </c>
      <c r="C21" s="517">
        <f>SUM(C15+C16+C19)</f>
        <v>334085876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692</v>
      </c>
      <c r="C22" s="517">
        <f>SUM(C14+C21)</f>
        <v>443279640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753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626</v>
      </c>
      <c r="C25" s="513">
        <v>174035333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605</v>
      </c>
      <c r="C26" s="515">
        <v>130399003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751</v>
      </c>
      <c r="C27" s="515">
        <v>93414111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93414111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718</v>
      </c>
      <c r="C29" s="515">
        <v>0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418</v>
      </c>
      <c r="C30" s="515">
        <v>719632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733</v>
      </c>
      <c r="C31" s="518">
        <v>14252846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754</v>
      </c>
      <c r="C32" s="517">
        <f>SUM(C26+C27+C30)</f>
        <v>224532746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698</v>
      </c>
      <c r="C33" s="517">
        <f>SUM(C25+C32)</f>
        <v>398568079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623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848</v>
      </c>
      <c r="C36" s="514">
        <f>SUM(C14+C25)</f>
        <v>283229097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849</v>
      </c>
      <c r="C37" s="518">
        <f>SUM(C21+C32)</f>
        <v>558618622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623</v>
      </c>
      <c r="C38" s="517">
        <f>SUM(+C36+C37)</f>
        <v>841847719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321</v>
      </c>
      <c r="B40" s="509" t="s">
        <v>763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626</v>
      </c>
      <c r="C41" s="513">
        <v>69099679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605</v>
      </c>
      <c r="C42" s="515">
        <v>104104559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751</v>
      </c>
      <c r="C43" s="515">
        <v>26215246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26215246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718</v>
      </c>
      <c r="C45" s="515">
        <v>0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418</v>
      </c>
      <c r="C46" s="515">
        <v>267040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733</v>
      </c>
      <c r="C47" s="515">
        <v>516899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764</v>
      </c>
      <c r="C48" s="517">
        <f>SUM(C42+C43+C46)</f>
        <v>130586845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693</v>
      </c>
      <c r="C49" s="517">
        <f>SUM(C41+C48)</f>
        <v>199686524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342</v>
      </c>
      <c r="B51" s="509" t="s">
        <v>765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626</v>
      </c>
      <c r="C52" s="513">
        <v>105707671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605</v>
      </c>
      <c r="C53" s="515">
        <v>33644970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751</v>
      </c>
      <c r="C54" s="515">
        <v>33165597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33165597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718</v>
      </c>
      <c r="C56" s="515">
        <v>0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418</v>
      </c>
      <c r="C57" s="515">
        <v>196963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733</v>
      </c>
      <c r="C58" s="515">
        <v>3015191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766</v>
      </c>
      <c r="C59" s="517">
        <f>SUM(C53+C54+C57)</f>
        <v>67007530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699</v>
      </c>
      <c r="C60" s="517">
        <f>SUM(C52+C59)</f>
        <v>172715201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354</v>
      </c>
      <c r="B62" s="521" t="s">
        <v>624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850</v>
      </c>
      <c r="C63" s="514">
        <f>SUM(C41+C52)</f>
        <v>174807350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851</v>
      </c>
      <c r="C64" s="518">
        <f>SUM(C48+C59)</f>
        <v>197594375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624</v>
      </c>
      <c r="C65" s="517">
        <f>SUM(+C63+C64)</f>
        <v>372401725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852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853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626</v>
      </c>
      <c r="C70" s="530">
        <v>6033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605</v>
      </c>
      <c r="C71" s="530">
        <v>9651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751</v>
      </c>
      <c r="C72" s="530">
        <v>4816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4816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718</v>
      </c>
      <c r="C74" s="530">
        <v>0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418</v>
      </c>
      <c r="C75" s="545">
        <v>46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733</v>
      </c>
      <c r="C76" s="545">
        <v>187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781</v>
      </c>
      <c r="C77" s="532">
        <f>SUM(C71+C72+C75)</f>
        <v>14513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695</v>
      </c>
      <c r="C78" s="596">
        <f>SUM(C70+C77)</f>
        <v>20546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786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626</v>
      </c>
      <c r="C81" s="541">
        <v>1.09074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605</v>
      </c>
      <c r="C82" s="541">
        <v>1.3198799999999999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751</v>
      </c>
      <c r="C83" s="541">
        <f>((C73*C84)+(C74*C85))/(C73+C74)</f>
        <v>0.97273999999999994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0.97274000000000005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718</v>
      </c>
      <c r="C85" s="541">
        <v>0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418</v>
      </c>
      <c r="C86" s="541">
        <v>0.76080999999999999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733</v>
      </c>
      <c r="C87" s="541">
        <v>1.0122800000000001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787</v>
      </c>
      <c r="C88" s="543">
        <f>((C71*C82)+(C73*C84)+(C74*C85)+(C75*C86))/(C71+C73+C74+C75)</f>
        <v>1.2029129042927031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696</v>
      </c>
      <c r="C89" s="543">
        <f>((C70*C81)+(C71*C82)+(C73*C84)+(C74*C85)+(C75*C86))/(C70+C71+C73+C74+C75)</f>
        <v>1.1699751484473864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788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789</v>
      </c>
      <c r="C92" s="513">
        <v>276564149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790</v>
      </c>
      <c r="C93" s="546">
        <v>168142403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638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722</v>
      </c>
      <c r="C95" s="513">
        <f>+C92-C93</f>
        <v>108421746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640</v>
      </c>
      <c r="C96" s="597">
        <f>(+C92-C93)/C92</f>
        <v>0.3920310943845437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737</v>
      </c>
      <c r="C98" s="513">
        <v>0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723</v>
      </c>
      <c r="C99" s="513">
        <v>0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854</v>
      </c>
      <c r="C101" s="513">
        <v>0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792</v>
      </c>
      <c r="C103" s="513">
        <v>17262086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793</v>
      </c>
      <c r="C104" s="513">
        <v>1140529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794</v>
      </c>
      <c r="C105" s="578">
        <f>+C103+C104</f>
        <v>18402615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795</v>
      </c>
      <c r="C107" s="513">
        <v>21278672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680</v>
      </c>
      <c r="C108" s="513">
        <v>368573386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825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826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624</v>
      </c>
      <c r="C114" s="514">
        <f>+C65</f>
        <v>372401725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827</v>
      </c>
      <c r="C115" s="546">
        <f>+C101</f>
        <v>0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828</v>
      </c>
      <c r="C116" s="517">
        <f>+C114+C115</f>
        <v>372401725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829</v>
      </c>
      <c r="C118" s="578">
        <v>10914736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830</v>
      </c>
      <c r="C119" s="580">
        <f>+C116+C118</f>
        <v>383316461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831</v>
      </c>
      <c r="C121" s="513">
        <v>383316464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832</v>
      </c>
      <c r="C123" s="582">
        <f>C119-C121</f>
        <v>-3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833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834</v>
      </c>
      <c r="C127" s="514">
        <f>+C38</f>
        <v>841847719</v>
      </c>
      <c r="D127" s="588"/>
      <c r="AR127" s="507"/>
    </row>
    <row r="128" spans="1:58" s="506" customFormat="1" x14ac:dyDescent="0.2">
      <c r="A128" s="512">
        <v>2</v>
      </c>
      <c r="B128" s="583" t="s">
        <v>835</v>
      </c>
      <c r="C128" s="513">
        <v>8748112</v>
      </c>
      <c r="D128" s="588"/>
      <c r="AR128" s="507"/>
    </row>
    <row r="129" spans="1:44" s="506" customFormat="1" x14ac:dyDescent="0.2">
      <c r="A129" s="512"/>
      <c r="B129" s="516" t="s">
        <v>836</v>
      </c>
      <c r="C129" s="581">
        <f>C127+C128</f>
        <v>850595831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837</v>
      </c>
      <c r="C131" s="513">
        <v>850595831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832</v>
      </c>
      <c r="C133" s="581">
        <f>C129-C131</f>
        <v>0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838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839</v>
      </c>
      <c r="C137" s="513">
        <f>C105</f>
        <v>18402615</v>
      </c>
      <c r="D137" s="588"/>
      <c r="AR137" s="507"/>
    </row>
    <row r="138" spans="1:44" s="506" customFormat="1" x14ac:dyDescent="0.2">
      <c r="A138" s="512">
        <v>2</v>
      </c>
      <c r="B138" s="511" t="s">
        <v>855</v>
      </c>
      <c r="C138" s="513">
        <v>1248893</v>
      </c>
      <c r="D138" s="588"/>
      <c r="AR138" s="507"/>
    </row>
    <row r="139" spans="1:44" s="506" customFormat="1" x14ac:dyDescent="0.2">
      <c r="A139" s="512"/>
      <c r="B139" s="516" t="s">
        <v>841</v>
      </c>
      <c r="C139" s="581">
        <f>C137+C138</f>
        <v>19651508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856</v>
      </c>
      <c r="C141" s="513">
        <v>19651508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843</v>
      </c>
      <c r="C143" s="581">
        <f>C139-C141</f>
        <v>0</v>
      </c>
      <c r="D143" s="588"/>
      <c r="AR143" s="507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74" orientation="portrait" horizontalDpi="1200" verticalDpi="1200"/>
  <headerFooter>
    <oddHeader>&amp;LOFFICE OF HEALTH CARE ACCESS&amp;CTWELVE MONTHS ACTUAL FILING&amp;RTHE HOSPITAL OF CENTRAL CONNECTICUT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596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597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857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600</v>
      </c>
      <c r="D8" s="35" t="s">
        <v>600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602</v>
      </c>
      <c r="D9" s="607" t="s">
        <v>603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858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859</v>
      </c>
      <c r="C12" s="49">
        <v>1331</v>
      </c>
      <c r="D12" s="49">
        <v>1747</v>
      </c>
      <c r="E12" s="49">
        <f>+D12-C12</f>
        <v>416</v>
      </c>
      <c r="F12" s="70">
        <f>IF(C12=0,0,+E12/C12)</f>
        <v>0.31254695717505637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860</v>
      </c>
      <c r="C13" s="49">
        <v>374</v>
      </c>
      <c r="D13" s="49">
        <v>933</v>
      </c>
      <c r="E13" s="49">
        <f>+D13-C13</f>
        <v>559</v>
      </c>
      <c r="F13" s="70">
        <f>IF(C13=0,0,+E13/C13)</f>
        <v>1.4946524064171123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861</v>
      </c>
      <c r="C15" s="51">
        <v>8420571</v>
      </c>
      <c r="D15" s="51">
        <v>17262086</v>
      </c>
      <c r="E15" s="51">
        <f>+D15-C15</f>
        <v>8841515</v>
      </c>
      <c r="F15" s="70">
        <f>IF(C15=0,0,+E15/C15)</f>
        <v>1.049989959113224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862</v>
      </c>
      <c r="C16" s="27">
        <f>IF(C13=0,0,+C15/+C13)</f>
        <v>22514.895721925135</v>
      </c>
      <c r="D16" s="27">
        <f>IF(D13=0,0,+D15/+D13)</f>
        <v>18501.699892818862</v>
      </c>
      <c r="E16" s="27">
        <f>+D16-C16</f>
        <v>-4013.1958291062729</v>
      </c>
      <c r="F16" s="28">
        <f>IF(C16=0,0,+E16/C16)</f>
        <v>-0.17824625433189104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863</v>
      </c>
      <c r="C18" s="210">
        <v>0.43741600000000003</v>
      </c>
      <c r="D18" s="210">
        <v>0.46288200000000002</v>
      </c>
      <c r="E18" s="210">
        <f>+D18-C18</f>
        <v>2.5465999999999989E-2</v>
      </c>
      <c r="F18" s="70">
        <f>IF(C18=0,0,+E18/C18)</f>
        <v>5.821917808219175E-2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864</v>
      </c>
      <c r="C19" s="27">
        <f>+C15*C18</f>
        <v>3683292.4845360001</v>
      </c>
      <c r="D19" s="27">
        <f>+D15*D18</f>
        <v>7990308.8918520007</v>
      </c>
      <c r="E19" s="27">
        <f>+D19-C19</f>
        <v>4307016.4073160011</v>
      </c>
      <c r="F19" s="28">
        <f>IF(C19=0,0,+E19/C19)</f>
        <v>1.1693386896095421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865</v>
      </c>
      <c r="C20" s="27">
        <f>IF(C13=0,0,+C19/C13)</f>
        <v>9848.3756271016046</v>
      </c>
      <c r="D20" s="27">
        <f>IF(D13=0,0,+D19/D13)</f>
        <v>8564.1038497877817</v>
      </c>
      <c r="E20" s="27">
        <f>+D20-C20</f>
        <v>-1284.2717773138229</v>
      </c>
      <c r="F20" s="28">
        <f>IF(C20=0,0,+E20/C20)</f>
        <v>-0.13040442667313112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866</v>
      </c>
      <c r="C22" s="51">
        <v>2509336</v>
      </c>
      <c r="D22" s="51">
        <v>4669888</v>
      </c>
      <c r="E22" s="51">
        <f>+D22-C22</f>
        <v>2160552</v>
      </c>
      <c r="F22" s="70">
        <f>IF(C22=0,0,+E22/C22)</f>
        <v>0.86100546120567356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867</v>
      </c>
      <c r="C23" s="49">
        <v>4218340</v>
      </c>
      <c r="D23" s="49">
        <v>9203021</v>
      </c>
      <c r="E23" s="49">
        <f>+D23-C23</f>
        <v>4984681</v>
      </c>
      <c r="F23" s="70">
        <f>IF(C23=0,0,+E23/C23)</f>
        <v>1.1816688555213661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868</v>
      </c>
      <c r="C24" s="49">
        <v>1692895</v>
      </c>
      <c r="D24" s="49">
        <v>3389177</v>
      </c>
      <c r="E24" s="49">
        <f>+D24-C24</f>
        <v>1696282</v>
      </c>
      <c r="F24" s="70">
        <f>IF(C24=0,0,+E24/C24)</f>
        <v>1.0020007147519485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861</v>
      </c>
      <c r="C25" s="27">
        <f>+C22+C23+C24</f>
        <v>8420571</v>
      </c>
      <c r="D25" s="27">
        <f>+D22+D23+D24</f>
        <v>17262086</v>
      </c>
      <c r="E25" s="27">
        <f>+E22+E23+E24</f>
        <v>8841515</v>
      </c>
      <c r="F25" s="28">
        <f>IF(C25=0,0,+E25/C25)</f>
        <v>1.049989959113224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869</v>
      </c>
      <c r="C27" s="49">
        <v>4669</v>
      </c>
      <c r="D27" s="49">
        <v>9495</v>
      </c>
      <c r="E27" s="49">
        <f>+D27-C27</f>
        <v>4826</v>
      </c>
      <c r="F27" s="70">
        <f>IF(C27=0,0,+E27/C27)</f>
        <v>1.0336260441207967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870</v>
      </c>
      <c r="C28" s="49">
        <v>908</v>
      </c>
      <c r="D28" s="49">
        <v>1896</v>
      </c>
      <c r="E28" s="49">
        <f>+D28-C28</f>
        <v>988</v>
      </c>
      <c r="F28" s="70">
        <f>IF(C28=0,0,+E28/C28)</f>
        <v>1.0881057268722467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871</v>
      </c>
      <c r="C29" s="49">
        <v>5769</v>
      </c>
      <c r="D29" s="49">
        <v>13685</v>
      </c>
      <c r="E29" s="49">
        <f>+D29-C29</f>
        <v>7916</v>
      </c>
      <c r="F29" s="70">
        <f>IF(C29=0,0,+E29/C29)</f>
        <v>1.3721615531287918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872</v>
      </c>
      <c r="C30" s="49">
        <v>4290</v>
      </c>
      <c r="D30" s="49">
        <v>9709</v>
      </c>
      <c r="E30" s="49">
        <f>+D30-C30</f>
        <v>5419</v>
      </c>
      <c r="F30" s="70">
        <f>IF(C30=0,0,+E30/C30)</f>
        <v>1.2631701631701631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873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874</v>
      </c>
      <c r="C33" s="51">
        <v>3044450</v>
      </c>
      <c r="D33" s="51">
        <v>503663</v>
      </c>
      <c r="E33" s="51">
        <f>+D33-C33</f>
        <v>-2540787</v>
      </c>
      <c r="F33" s="70">
        <f>IF(C33=0,0,+E33/C33)</f>
        <v>-0.8345635500665145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875</v>
      </c>
      <c r="C34" s="49">
        <v>1735841</v>
      </c>
      <c r="D34" s="49">
        <v>443241</v>
      </c>
      <c r="E34" s="49">
        <f>+D34-C34</f>
        <v>-1292600</v>
      </c>
      <c r="F34" s="70">
        <f>IF(C34=0,0,+E34/C34)</f>
        <v>-0.74465345616332368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876</v>
      </c>
      <c r="C35" s="49">
        <v>4768045</v>
      </c>
      <c r="D35" s="49">
        <v>193625</v>
      </c>
      <c r="E35" s="49">
        <f>+D35-C35</f>
        <v>-4574420</v>
      </c>
      <c r="F35" s="70">
        <f>IF(C35=0,0,+E35/C35)</f>
        <v>-0.95939111312917558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877</v>
      </c>
      <c r="C36" s="27">
        <f>+C33+C34+C35</f>
        <v>9548336</v>
      </c>
      <c r="D36" s="27">
        <f>+D33+D34+D35</f>
        <v>1140529</v>
      </c>
      <c r="E36" s="27">
        <f>+E33+E34+E35</f>
        <v>-8407807</v>
      </c>
      <c r="F36" s="28">
        <f>IF(C36=0,0,+E36/C36)</f>
        <v>-0.88055206687322274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878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879</v>
      </c>
      <c r="C39" s="51">
        <f>+C25</f>
        <v>8420571</v>
      </c>
      <c r="D39" s="51">
        <f>+D25</f>
        <v>17262086</v>
      </c>
      <c r="E39" s="51">
        <f>+D39-C39</f>
        <v>8841515</v>
      </c>
      <c r="F39" s="70">
        <f>IF(C39=0,0,+E39/C39)</f>
        <v>1.049989959113224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880</v>
      </c>
      <c r="C40" s="49">
        <f>+C36</f>
        <v>9548336</v>
      </c>
      <c r="D40" s="49">
        <f>+D36</f>
        <v>1140529</v>
      </c>
      <c r="E40" s="49">
        <f>+D40-C40</f>
        <v>-8407807</v>
      </c>
      <c r="F40" s="70">
        <f>IF(C40=0,0,+E40/C40)</f>
        <v>-0.88055206687322274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881</v>
      </c>
      <c r="C41" s="27">
        <f>+C39+C40</f>
        <v>17968907</v>
      </c>
      <c r="D41" s="27">
        <f>+D39+D40</f>
        <v>18402615</v>
      </c>
      <c r="E41" s="27">
        <f>+E39+E40</f>
        <v>433708</v>
      </c>
      <c r="F41" s="28">
        <f>IF(C41=0,0,+E41/C41)</f>
        <v>2.4136582152715243E-2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882</v>
      </c>
      <c r="C43" s="51">
        <f t="shared" ref="C43:D45" si="0">+C22+C33</f>
        <v>5553786</v>
      </c>
      <c r="D43" s="51">
        <f t="shared" si="0"/>
        <v>5173551</v>
      </c>
      <c r="E43" s="51">
        <f>+D43-C43</f>
        <v>-380235</v>
      </c>
      <c r="F43" s="70">
        <f>IF(C43=0,0,+E43/C43)</f>
        <v>-6.8464107187421339E-2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883</v>
      </c>
      <c r="C44" s="49">
        <f t="shared" si="0"/>
        <v>5954181</v>
      </c>
      <c r="D44" s="49">
        <f t="shared" si="0"/>
        <v>9646262</v>
      </c>
      <c r="E44" s="49">
        <f>+D44-C44</f>
        <v>3692081</v>
      </c>
      <c r="F44" s="70">
        <f>IF(C44=0,0,+E44/C44)</f>
        <v>0.62008209021526217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884</v>
      </c>
      <c r="C45" s="49">
        <f t="shared" si="0"/>
        <v>6460940</v>
      </c>
      <c r="D45" s="49">
        <f t="shared" si="0"/>
        <v>3582802</v>
      </c>
      <c r="E45" s="49">
        <f>+D45-C45</f>
        <v>-2878138</v>
      </c>
      <c r="F45" s="70">
        <f>IF(C45=0,0,+E45/C45)</f>
        <v>-0.44546737781189732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881</v>
      </c>
      <c r="C46" s="27">
        <f>+C43+C44+C45</f>
        <v>17968907</v>
      </c>
      <c r="D46" s="27">
        <f>+D43+D44+D45</f>
        <v>18402615</v>
      </c>
      <c r="E46" s="27">
        <f>+E43+E44+E45</f>
        <v>433708</v>
      </c>
      <c r="F46" s="28">
        <f>IF(C46=0,0,+E46/C46)</f>
        <v>2.4136582152715243E-2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885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70" orientation="portrait" horizontalDpi="1200" verticalDpi="1200"/>
  <headerFooter>
    <oddHeader>&amp;LOFFICE OF HEALTH CARE ACCESS&amp;CTWELVE MONTHS ACTUAL FILING&amp;RTHE HOSPITAL OF CENTRAL CONNECTICUT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596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597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886</v>
      </c>
      <c r="B5" s="712"/>
      <c r="C5" s="712"/>
      <c r="D5" s="712"/>
      <c r="E5" s="712"/>
      <c r="F5" s="713"/>
    </row>
    <row r="6" spans="1:14" ht="15.75" customHeight="1" x14ac:dyDescent="0.25">
      <c r="A6" s="711" t="s">
        <v>887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602</v>
      </c>
      <c r="D9" s="35" t="s">
        <v>603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888</v>
      </c>
      <c r="D10" s="35" t="s">
        <v>888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889</v>
      </c>
      <c r="D11" s="605" t="s">
        <v>889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890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325</v>
      </c>
      <c r="C15" s="51">
        <v>284611249</v>
      </c>
      <c r="D15" s="51">
        <v>276564149</v>
      </c>
      <c r="E15" s="51">
        <f>+D15-C15</f>
        <v>-8047100</v>
      </c>
      <c r="F15" s="70">
        <f>+E15/C15</f>
        <v>-2.8274005431176755E-2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507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891</v>
      </c>
      <c r="C17" s="51">
        <v>125059244</v>
      </c>
      <c r="D17" s="51">
        <v>108421746</v>
      </c>
      <c r="E17" s="51">
        <f>+D17-C17</f>
        <v>-16637498</v>
      </c>
      <c r="F17" s="70">
        <f>+E17/C17</f>
        <v>-0.13303693088053531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892</v>
      </c>
      <c r="C19" s="27">
        <f>+C15-C17</f>
        <v>159552005</v>
      </c>
      <c r="D19" s="27">
        <f>+D15-D17</f>
        <v>168142403</v>
      </c>
      <c r="E19" s="27">
        <f>+D19-C19</f>
        <v>8590398</v>
      </c>
      <c r="F19" s="28">
        <f>+E19/C19</f>
        <v>5.3840739889166545E-2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893</v>
      </c>
      <c r="C21" s="628">
        <f>+C17/C15</f>
        <v>0.43940372855747523</v>
      </c>
      <c r="D21" s="628">
        <f>+D17/D15</f>
        <v>0.3920310943845437</v>
      </c>
      <c r="E21" s="628">
        <f>+D21-C21</f>
        <v>-4.7372634172931527E-2</v>
      </c>
      <c r="F21" s="28">
        <f>+E21/C21</f>
        <v>-0.10781117931896442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507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507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507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507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894</v>
      </c>
      <c r="B26" s="715"/>
      <c r="C26" s="715"/>
      <c r="D26" s="715"/>
      <c r="E26" s="715"/>
      <c r="F26" s="716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90" orientation="landscape" horizontalDpi="1200" verticalDpi="1200"/>
  <headerFooter>
    <oddHeader>&amp;L&amp;12OFFICE OF HEALTH CARE ACCESS&amp;C&amp;12TWELVE MONTHS ACTUAL FILING&amp;R&amp;12THE HOSPITAL OF CENTRAL CONNECTICUT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workbookViewId="0">
      <selection sqref="A1:E1"/>
    </sheetView>
  </sheetViews>
  <sheetFormatPr defaultRowHeight="12.75" x14ac:dyDescent="0.2"/>
  <cols>
    <col min="1" max="1" width="9.42578125" customWidth="1"/>
    <col min="2" max="2" width="83.5703125" customWidth="1"/>
    <col min="3" max="5" width="18.28515625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895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896</v>
      </c>
      <c r="B6" s="632" t="s">
        <v>897</v>
      </c>
      <c r="C6" s="632" t="s">
        <v>898</v>
      </c>
      <c r="D6" s="632" t="s">
        <v>899</v>
      </c>
      <c r="E6" s="632" t="s">
        <v>900</v>
      </c>
    </row>
    <row r="7" spans="1:6" ht="37.5" customHeight="1" x14ac:dyDescent="0.25">
      <c r="A7" s="633" t="s">
        <v>8</v>
      </c>
      <c r="B7" s="634" t="s">
        <v>901</v>
      </c>
      <c r="C7" s="631" t="s">
        <v>902</v>
      </c>
      <c r="D7" s="631" t="s">
        <v>903</v>
      </c>
      <c r="E7" s="631" t="s">
        <v>904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905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906</v>
      </c>
      <c r="C10" s="641">
        <v>430799767</v>
      </c>
      <c r="D10" s="641">
        <v>416962565</v>
      </c>
      <c r="E10" s="641">
        <v>443279640</v>
      </c>
    </row>
    <row r="11" spans="1:6" ht="26.1" customHeight="1" x14ac:dyDescent="0.25">
      <c r="A11" s="639">
        <v>2</v>
      </c>
      <c r="B11" s="640" t="s">
        <v>907</v>
      </c>
      <c r="C11" s="641">
        <v>396091858</v>
      </c>
      <c r="D11" s="641">
        <v>383777484</v>
      </c>
      <c r="E11" s="641">
        <v>398568079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826891625</v>
      </c>
      <c r="D12" s="641">
        <f>+D11+D10</f>
        <v>800740049</v>
      </c>
      <c r="E12" s="641">
        <f>+E11+E10</f>
        <v>841847719</v>
      </c>
    </row>
    <row r="13" spans="1:6" ht="26.1" customHeight="1" x14ac:dyDescent="0.25">
      <c r="A13" s="639">
        <v>4</v>
      </c>
      <c r="B13" s="640" t="s">
        <v>484</v>
      </c>
      <c r="C13" s="641">
        <v>367733027</v>
      </c>
      <c r="D13" s="641">
        <v>364911931</v>
      </c>
      <c r="E13" s="641">
        <v>383316464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324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908</v>
      </c>
      <c r="C16" s="641">
        <v>371908113</v>
      </c>
      <c r="D16" s="641">
        <v>381476536</v>
      </c>
      <c r="E16" s="641">
        <v>368573386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909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372</v>
      </c>
      <c r="C19" s="644">
        <v>86498</v>
      </c>
      <c r="D19" s="644">
        <v>81872</v>
      </c>
      <c r="E19" s="644">
        <v>83137</v>
      </c>
    </row>
    <row r="20" spans="1:5" ht="26.1" customHeight="1" x14ac:dyDescent="0.25">
      <c r="A20" s="639">
        <v>2</v>
      </c>
      <c r="B20" s="640" t="s">
        <v>373</v>
      </c>
      <c r="C20" s="645">
        <v>20067</v>
      </c>
      <c r="D20" s="645">
        <v>19517</v>
      </c>
      <c r="E20" s="645">
        <v>20546</v>
      </c>
    </row>
    <row r="21" spans="1:5" ht="26.1" customHeight="1" x14ac:dyDescent="0.25">
      <c r="A21" s="639">
        <v>3</v>
      </c>
      <c r="B21" s="640" t="s">
        <v>910</v>
      </c>
      <c r="C21" s="646">
        <f>IF(C20=0,0,+C19/C20)</f>
        <v>4.3104599591368915</v>
      </c>
      <c r="D21" s="646">
        <f>IF(D20=0,0,+D19/D20)</f>
        <v>4.1949070041502283</v>
      </c>
      <c r="E21" s="646">
        <f>IF(E20=0,0,+E19/E20)</f>
        <v>4.0463837243259029</v>
      </c>
    </row>
    <row r="22" spans="1:5" ht="26.1" customHeight="1" x14ac:dyDescent="0.25">
      <c r="A22" s="639">
        <v>4</v>
      </c>
      <c r="B22" s="640" t="s">
        <v>911</v>
      </c>
      <c r="C22" s="645">
        <f>IF(C10=0,0,C19*(C12/C10))</f>
        <v>166027.18306310041</v>
      </c>
      <c r="D22" s="645">
        <f>IF(D10=0,0,D19*(D12/D10))</f>
        <v>157227.99789407474</v>
      </c>
      <c r="E22" s="645">
        <f>IF(E10=0,0,E19*(E12/E10))</f>
        <v>157888.35646614179</v>
      </c>
    </row>
    <row r="23" spans="1:5" ht="26.1" customHeight="1" x14ac:dyDescent="0.25">
      <c r="A23" s="639">
        <v>0</v>
      </c>
      <c r="B23" s="640" t="s">
        <v>912</v>
      </c>
      <c r="C23" s="645">
        <f>IF(C10=0,0,C20*(C12/C10))</f>
        <v>38517.277654133461</v>
      </c>
      <c r="D23" s="645">
        <f>IF(D10=0,0,D20*(D12/D10))</f>
        <v>37480.687352191919</v>
      </c>
      <c r="E23" s="645">
        <f>IF(E10=0,0,E20*(E12/E10))</f>
        <v>39019.620288840699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321</v>
      </c>
      <c r="B25" s="642" t="s">
        <v>913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422</v>
      </c>
      <c r="C26" s="647">
        <v>1.1726925848407836</v>
      </c>
      <c r="D26" s="647">
        <v>1.1864045498795921</v>
      </c>
      <c r="E26" s="647">
        <v>1.1699751484473864</v>
      </c>
    </row>
    <row r="27" spans="1:5" ht="26.1" customHeight="1" x14ac:dyDescent="0.25">
      <c r="A27" s="639">
        <v>2</v>
      </c>
      <c r="B27" s="640" t="s">
        <v>914</v>
      </c>
      <c r="C27" s="645">
        <f>C19*C26</f>
        <v>101435.56320355811</v>
      </c>
      <c r="D27" s="645">
        <f>D19*D26</f>
        <v>97133.313307741962</v>
      </c>
      <c r="E27" s="645">
        <f>E19*E26</f>
        <v>97268.223916470364</v>
      </c>
    </row>
    <row r="28" spans="1:5" ht="26.1" customHeight="1" x14ac:dyDescent="0.25">
      <c r="A28" s="639">
        <v>3</v>
      </c>
      <c r="B28" s="640" t="s">
        <v>915</v>
      </c>
      <c r="C28" s="645">
        <f>C20*C26</f>
        <v>23532.422100000007</v>
      </c>
      <c r="D28" s="645">
        <f>D20*D26</f>
        <v>23155.0576</v>
      </c>
      <c r="E28" s="645">
        <f>E20*E26</f>
        <v>24038.309400000002</v>
      </c>
    </row>
    <row r="29" spans="1:5" ht="26.1" customHeight="1" x14ac:dyDescent="0.25">
      <c r="A29" s="639">
        <v>4</v>
      </c>
      <c r="B29" s="640" t="s">
        <v>916</v>
      </c>
      <c r="C29" s="645">
        <f>C22*C26</f>
        <v>194698.84646010119</v>
      </c>
      <c r="D29" s="645">
        <f>D22*D26</f>
        <v>186536.0120699892</v>
      </c>
      <c r="E29" s="645">
        <f>E22*E26</f>
        <v>184725.45329458811</v>
      </c>
    </row>
    <row r="30" spans="1:5" ht="26.1" customHeight="1" x14ac:dyDescent="0.25">
      <c r="A30" s="639">
        <v>5</v>
      </c>
      <c r="B30" s="640" t="s">
        <v>917</v>
      </c>
      <c r="C30" s="645">
        <f>C23*C26</f>
        <v>45168.925893255924</v>
      </c>
      <c r="D30" s="645">
        <f>D23*D26</f>
        <v>44467.258007254975</v>
      </c>
      <c r="E30" s="645">
        <f>E23*E26</f>
        <v>45651.986039797048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342</v>
      </c>
      <c r="B32" s="634" t="s">
        <v>918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919</v>
      </c>
      <c r="C33" s="641">
        <f>IF(C19=0,0,C12/C19)</f>
        <v>9559.6617840874933</v>
      </c>
      <c r="D33" s="641">
        <f>IF(D19=0,0,D12/D19)</f>
        <v>9780.3894982411566</v>
      </c>
      <c r="E33" s="641">
        <f>IF(E19=0,0,E12/E19)</f>
        <v>10126.029553628348</v>
      </c>
    </row>
    <row r="34" spans="1:5" ht="26.1" customHeight="1" x14ac:dyDescent="0.25">
      <c r="A34" s="639">
        <v>2</v>
      </c>
      <c r="B34" s="640" t="s">
        <v>920</v>
      </c>
      <c r="C34" s="641">
        <f>IF(C20=0,0,C12/C20)</f>
        <v>41206.539343200282</v>
      </c>
      <c r="D34" s="641">
        <f>IF(D20=0,0,D12/D20)</f>
        <v>41027.824409489163</v>
      </c>
      <c r="E34" s="641">
        <f>IF(E20=0,0,E12/E20)</f>
        <v>40973.801177844834</v>
      </c>
    </row>
    <row r="35" spans="1:5" ht="26.1" customHeight="1" x14ac:dyDescent="0.25">
      <c r="A35" s="639">
        <v>3</v>
      </c>
      <c r="B35" s="640" t="s">
        <v>921</v>
      </c>
      <c r="C35" s="641">
        <f>IF(C22=0,0,C12/C22)</f>
        <v>4980.4592822955437</v>
      </c>
      <c r="D35" s="641">
        <f>IF(D22=0,0,D12/D22)</f>
        <v>5092.8591581981627</v>
      </c>
      <c r="E35" s="641">
        <f>IF(E22=0,0,E12/E22)</f>
        <v>5331.9176780494845</v>
      </c>
    </row>
    <row r="36" spans="1:5" ht="26.1" customHeight="1" x14ac:dyDescent="0.25">
      <c r="A36" s="639">
        <v>4</v>
      </c>
      <c r="B36" s="640" t="s">
        <v>922</v>
      </c>
      <c r="C36" s="641">
        <f>IF(C23=0,0,C12/C23)</f>
        <v>21468.070314446602</v>
      </c>
      <c r="D36" s="641">
        <f>IF(D23=0,0,D12/D23)</f>
        <v>21364.070553876107</v>
      </c>
      <c r="E36" s="641">
        <f>IF(E23=0,0,E12/E23)</f>
        <v>21574.984911904994</v>
      </c>
    </row>
    <row r="37" spans="1:5" ht="26.1" customHeight="1" x14ac:dyDescent="0.25">
      <c r="A37" s="639">
        <v>5</v>
      </c>
      <c r="B37" s="640" t="s">
        <v>923</v>
      </c>
      <c r="C37" s="641">
        <f>IF(C29=0,0,C12/C29)</f>
        <v>4247.0288860671362</v>
      </c>
      <c r="D37" s="641">
        <f>IF(D29=0,0,D12/D29)</f>
        <v>4292.6834347651784</v>
      </c>
      <c r="E37" s="641">
        <f>IF(E29=0,0,E12/E29)</f>
        <v>4557.2913964242716</v>
      </c>
    </row>
    <row r="38" spans="1:5" ht="26.1" customHeight="1" x14ac:dyDescent="0.25">
      <c r="A38" s="639">
        <v>6</v>
      </c>
      <c r="B38" s="640" t="s">
        <v>924</v>
      </c>
      <c r="C38" s="641">
        <f>IF(C30=0,0,C12/C30)</f>
        <v>18306.647958690144</v>
      </c>
      <c r="D38" s="641">
        <f>IF(D30=0,0,D12/D30)</f>
        <v>18007.407807096104</v>
      </c>
      <c r="E38" s="641">
        <f>IF(E30=0,0,E12/E30)</f>
        <v>18440.549733501641</v>
      </c>
    </row>
    <row r="39" spans="1:5" ht="26.1" customHeight="1" x14ac:dyDescent="0.25">
      <c r="A39" s="639">
        <v>7</v>
      </c>
      <c r="B39" s="640" t="s">
        <v>925</v>
      </c>
      <c r="C39" s="641">
        <f>IF(C22=0,0,C10/C22)</f>
        <v>2594.7544194390744</v>
      </c>
      <c r="D39" s="641">
        <f>IF(D22=0,0,D10/D22)</f>
        <v>2651.9612956014976</v>
      </c>
      <c r="E39" s="641">
        <f>IF(E22=0,0,E10/E22)</f>
        <v>2807.5511704693604</v>
      </c>
    </row>
    <row r="40" spans="1:5" ht="26.1" customHeight="1" x14ac:dyDescent="0.25">
      <c r="A40" s="639">
        <v>8</v>
      </c>
      <c r="B40" s="640" t="s">
        <v>926</v>
      </c>
      <c r="C40" s="641">
        <f>IF(C23=0,0,C10/C23)</f>
        <v>11184.585028785619</v>
      </c>
      <c r="D40" s="641">
        <f>IF(D23=0,0,D10/D23)</f>
        <v>11124.731013654036</v>
      </c>
      <c r="E40" s="641">
        <f>IF(E23=0,0,E10/E23)</f>
        <v>11360.42936139936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354</v>
      </c>
      <c r="B42" s="634" t="s">
        <v>927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928</v>
      </c>
      <c r="C43" s="641">
        <f>IF(C19=0,0,C13/C19)</f>
        <v>4251.3471640962798</v>
      </c>
      <c r="D43" s="641">
        <f>IF(D19=0,0,D13/D19)</f>
        <v>4457.1029289622829</v>
      </c>
      <c r="E43" s="641">
        <f>IF(E19=0,0,E13/E19)</f>
        <v>4610.6602836282282</v>
      </c>
    </row>
    <row r="44" spans="1:5" ht="26.1" customHeight="1" x14ac:dyDescent="0.25">
      <c r="A44" s="639">
        <v>2</v>
      </c>
      <c r="B44" s="640" t="s">
        <v>929</v>
      </c>
      <c r="C44" s="641">
        <f>IF(C20=0,0,C13/C20)</f>
        <v>18325.261723227188</v>
      </c>
      <c r="D44" s="641">
        <f>IF(D20=0,0,D13/D20)</f>
        <v>18697.132294922376</v>
      </c>
      <c r="E44" s="641">
        <f>IF(E20=0,0,E13/E20)</f>
        <v>18656.500730069114</v>
      </c>
    </row>
    <row r="45" spans="1:5" ht="26.1" customHeight="1" x14ac:dyDescent="0.25">
      <c r="A45" s="639">
        <v>3</v>
      </c>
      <c r="B45" s="640" t="s">
        <v>930</v>
      </c>
      <c r="C45" s="641">
        <f>IF(C22=0,0,C13/C22)</f>
        <v>2214.8965019796733</v>
      </c>
      <c r="D45" s="641">
        <f>IF(D22=0,0,D13/D22)</f>
        <v>2320.9093538533953</v>
      </c>
      <c r="E45" s="641">
        <f>IF(E22=0,0,E13/E22)</f>
        <v>2427.7690425018764</v>
      </c>
    </row>
    <row r="46" spans="1:5" ht="26.1" customHeight="1" x14ac:dyDescent="0.25">
      <c r="A46" s="639">
        <v>4</v>
      </c>
      <c r="B46" s="640" t="s">
        <v>931</v>
      </c>
      <c r="C46" s="641">
        <f>IF(C23=0,0,C13/C23)</f>
        <v>9547.222685415747</v>
      </c>
      <c r="D46" s="641">
        <f>IF(D23=0,0,D13/D23)</f>
        <v>9735.9989044773884</v>
      </c>
      <c r="E46" s="641">
        <f>IF(E23=0,0,E13/E23)</f>
        <v>9823.6851400018732</v>
      </c>
    </row>
    <row r="47" spans="1:5" ht="26.1" customHeight="1" x14ac:dyDescent="0.25">
      <c r="A47" s="639">
        <v>5</v>
      </c>
      <c r="B47" s="640" t="s">
        <v>932</v>
      </c>
      <c r="C47" s="641">
        <f>IF(C29=0,0,C13/C29)</f>
        <v>1888.7273021176218</v>
      </c>
      <c r="D47" s="641">
        <f>IF(D29=0,0,D13/D29)</f>
        <v>1956.2545963676082</v>
      </c>
      <c r="E47" s="641">
        <f>IF(E29=0,0,E13/E29)</f>
        <v>2075.0603512592925</v>
      </c>
    </row>
    <row r="48" spans="1:5" ht="26.1" customHeight="1" x14ac:dyDescent="0.25">
      <c r="A48" s="639">
        <v>6</v>
      </c>
      <c r="B48" s="640" t="s">
        <v>933</v>
      </c>
      <c r="C48" s="641">
        <f>IF(C30=0,0,C13/C30)</f>
        <v>8141.2834095066546</v>
      </c>
      <c r="D48" s="641">
        <f>IF(D30=0,0,D13/D30)</f>
        <v>8206.3061082035565</v>
      </c>
      <c r="E48" s="641">
        <f>IF(E30=0,0,E13/E30)</f>
        <v>8396.4904323295923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366</v>
      </c>
      <c r="B50" s="634" t="s">
        <v>934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935</v>
      </c>
      <c r="C51" s="641">
        <f>IF(C19=0,0,C16/C19)</f>
        <v>4299.6151702929546</v>
      </c>
      <c r="D51" s="641">
        <f>IF(D19=0,0,D16/D19)</f>
        <v>4659.4261285909715</v>
      </c>
      <c r="E51" s="641">
        <f>IF(E19=0,0,E16/E19)</f>
        <v>4433.3255469887054</v>
      </c>
    </row>
    <row r="52" spans="1:6" ht="26.1" customHeight="1" x14ac:dyDescent="0.25">
      <c r="A52" s="639">
        <v>2</v>
      </c>
      <c r="B52" s="640" t="s">
        <v>936</v>
      </c>
      <c r="C52" s="641">
        <f>IF(C20=0,0,C16/C20)</f>
        <v>18533.31903124533</v>
      </c>
      <c r="D52" s="641">
        <f>IF(D20=0,0,D16/D20)</f>
        <v>19545.859302146848</v>
      </c>
      <c r="E52" s="641">
        <f>IF(E20=0,0,E16/E20)</f>
        <v>17938.93633797333</v>
      </c>
    </row>
    <row r="53" spans="1:6" ht="26.1" customHeight="1" x14ac:dyDescent="0.25">
      <c r="A53" s="639">
        <v>3</v>
      </c>
      <c r="B53" s="640" t="s">
        <v>937</v>
      </c>
      <c r="C53" s="641">
        <f>IF(C22=0,0,C16/C22)</f>
        <v>2240.0435045546265</v>
      </c>
      <c r="D53" s="641">
        <f>IF(D22=0,0,D16/D22)</f>
        <v>2426.2633952573929</v>
      </c>
      <c r="E53" s="641">
        <f>IF(E22=0,0,E16/E22)</f>
        <v>2334.392441909029</v>
      </c>
    </row>
    <row r="54" spans="1:6" ht="26.1" customHeight="1" x14ac:dyDescent="0.25">
      <c r="A54" s="639">
        <v>4</v>
      </c>
      <c r="B54" s="640" t="s">
        <v>938</v>
      </c>
      <c r="C54" s="641">
        <f>IF(C23=0,0,C16/C23)</f>
        <v>9655.6178331073952</v>
      </c>
      <c r="D54" s="641">
        <f>IF(D23=0,0,D16/D23)</f>
        <v>10177.94931067855</v>
      </c>
      <c r="E54" s="641">
        <f>IF(E23=0,0,E16/E23)</f>
        <v>9445.8475831300966</v>
      </c>
    </row>
    <row r="55" spans="1:6" ht="26.1" customHeight="1" x14ac:dyDescent="0.25">
      <c r="A55" s="639">
        <v>5</v>
      </c>
      <c r="B55" s="640" t="s">
        <v>939</v>
      </c>
      <c r="C55" s="641">
        <f>IF(C29=0,0,C16/C29)</f>
        <v>1910.1711168905849</v>
      </c>
      <c r="D55" s="641">
        <f>IF(D29=0,0,D16/D29)</f>
        <v>2045.0557067600876</v>
      </c>
      <c r="E55" s="641">
        <f>IF(E29=0,0,E16/E29)</f>
        <v>1995.2495956917383</v>
      </c>
    </row>
    <row r="56" spans="1:6" ht="26.1" customHeight="1" x14ac:dyDescent="0.25">
      <c r="A56" s="639">
        <v>6</v>
      </c>
      <c r="B56" s="640" t="s">
        <v>940</v>
      </c>
      <c r="C56" s="641">
        <f>IF(C30=0,0,C16/C30)</f>
        <v>8233.7161144566599</v>
      </c>
      <c r="D56" s="641">
        <f>IF(D30=0,0,D16/D30)</f>
        <v>8578.8185081652864</v>
      </c>
      <c r="E56" s="641">
        <f>IF(E30=0,0,E16/E30)</f>
        <v>8073.5454899748884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370</v>
      </c>
      <c r="B58" s="642" t="s">
        <v>941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942</v>
      </c>
      <c r="C59" s="649">
        <v>50992421</v>
      </c>
      <c r="D59" s="649">
        <v>50879413</v>
      </c>
      <c r="E59" s="649">
        <v>51622907</v>
      </c>
    </row>
    <row r="60" spans="1:6" ht="26.1" customHeight="1" x14ac:dyDescent="0.25">
      <c r="A60" s="639">
        <v>2</v>
      </c>
      <c r="B60" s="640" t="s">
        <v>943</v>
      </c>
      <c r="C60" s="649">
        <v>15207538</v>
      </c>
      <c r="D60" s="649">
        <v>18188771</v>
      </c>
      <c r="E60" s="649">
        <v>17765212</v>
      </c>
    </row>
    <row r="61" spans="1:6" ht="26.1" customHeight="1" x14ac:dyDescent="0.25">
      <c r="A61" s="650">
        <v>3</v>
      </c>
      <c r="B61" s="651" t="s">
        <v>944</v>
      </c>
      <c r="C61" s="652">
        <f>C59+C60</f>
        <v>66199959</v>
      </c>
      <c r="D61" s="652">
        <f>D59+D60</f>
        <v>69068184</v>
      </c>
      <c r="E61" s="652">
        <f>E59+E60</f>
        <v>69388119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945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946</v>
      </c>
      <c r="C64" s="641">
        <v>21902358</v>
      </c>
      <c r="D64" s="641">
        <v>22602893</v>
      </c>
      <c r="E64" s="649">
        <v>22878615</v>
      </c>
      <c r="F64" s="653"/>
    </row>
    <row r="65" spans="1:6" ht="26.1" customHeight="1" x14ac:dyDescent="0.25">
      <c r="A65" s="639">
        <v>2</v>
      </c>
      <c r="B65" s="640" t="s">
        <v>947</v>
      </c>
      <c r="C65" s="649">
        <v>6531970</v>
      </c>
      <c r="D65" s="649">
        <v>8080259</v>
      </c>
      <c r="E65" s="649">
        <v>7724018</v>
      </c>
      <c r="F65" s="653"/>
    </row>
    <row r="66" spans="1:6" ht="26.1" customHeight="1" x14ac:dyDescent="0.25">
      <c r="A66" s="650">
        <v>3</v>
      </c>
      <c r="B66" s="651" t="s">
        <v>948</v>
      </c>
      <c r="C66" s="654">
        <f>C64+C65</f>
        <v>28434328</v>
      </c>
      <c r="D66" s="654">
        <f>D64+D65</f>
        <v>30683152</v>
      </c>
      <c r="E66" s="654">
        <f>E64+E65</f>
        <v>30602633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396</v>
      </c>
      <c r="B68" s="642" t="s">
        <v>949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950</v>
      </c>
      <c r="C69" s="649">
        <v>71621671</v>
      </c>
      <c r="D69" s="649">
        <v>71923201</v>
      </c>
      <c r="E69" s="649">
        <v>78660567</v>
      </c>
    </row>
    <row r="70" spans="1:6" ht="26.1" customHeight="1" x14ac:dyDescent="0.25">
      <c r="A70" s="639">
        <v>2</v>
      </c>
      <c r="B70" s="640" t="s">
        <v>951</v>
      </c>
      <c r="C70" s="649">
        <v>21359827</v>
      </c>
      <c r="D70" s="649">
        <v>25711669</v>
      </c>
      <c r="E70" s="649">
        <v>26670431</v>
      </c>
    </row>
    <row r="71" spans="1:6" ht="26.1" customHeight="1" x14ac:dyDescent="0.25">
      <c r="A71" s="650">
        <v>3</v>
      </c>
      <c r="B71" s="651" t="s">
        <v>952</v>
      </c>
      <c r="C71" s="652">
        <f>C69+C70</f>
        <v>92981498</v>
      </c>
      <c r="D71" s="652">
        <f>D69+D70</f>
        <v>97634870</v>
      </c>
      <c r="E71" s="652">
        <f>E69+E70</f>
        <v>105330998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412</v>
      </c>
      <c r="B74" s="642" t="s">
        <v>953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954</v>
      </c>
      <c r="C75" s="641">
        <f t="shared" ref="C75:E76" si="0">+C59+C64+C69</f>
        <v>144516450</v>
      </c>
      <c r="D75" s="641">
        <f t="shared" si="0"/>
        <v>145405507</v>
      </c>
      <c r="E75" s="641">
        <f t="shared" si="0"/>
        <v>153162089</v>
      </c>
    </row>
    <row r="76" spans="1:6" ht="26.1" customHeight="1" x14ac:dyDescent="0.25">
      <c r="A76" s="639">
        <v>2</v>
      </c>
      <c r="B76" s="640" t="s">
        <v>955</v>
      </c>
      <c r="C76" s="641">
        <f t="shared" si="0"/>
        <v>43099335</v>
      </c>
      <c r="D76" s="641">
        <f t="shared" si="0"/>
        <v>51980699</v>
      </c>
      <c r="E76" s="641">
        <f t="shared" si="0"/>
        <v>52159661</v>
      </c>
    </row>
    <row r="77" spans="1:6" ht="26.1" customHeight="1" x14ac:dyDescent="0.25">
      <c r="A77" s="650">
        <v>3</v>
      </c>
      <c r="B77" s="651" t="s">
        <v>953</v>
      </c>
      <c r="C77" s="654">
        <f>C75+C76</f>
        <v>187615785</v>
      </c>
      <c r="D77" s="654">
        <f>D75+D76</f>
        <v>197386206</v>
      </c>
      <c r="E77" s="654">
        <f>E75+E76</f>
        <v>205321750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421</v>
      </c>
      <c r="B79" s="642" t="s">
        <v>956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583</v>
      </c>
      <c r="C80" s="646">
        <v>647.5</v>
      </c>
      <c r="D80" s="646">
        <v>634.29999999999995</v>
      </c>
      <c r="E80" s="646">
        <v>627.5</v>
      </c>
    </row>
    <row r="81" spans="1:5" ht="26.1" customHeight="1" x14ac:dyDescent="0.25">
      <c r="A81" s="639">
        <v>2</v>
      </c>
      <c r="B81" s="640" t="s">
        <v>584</v>
      </c>
      <c r="C81" s="646">
        <v>111.9</v>
      </c>
      <c r="D81" s="646">
        <v>111</v>
      </c>
      <c r="E81" s="646">
        <v>109.6</v>
      </c>
    </row>
    <row r="82" spans="1:5" ht="26.1" customHeight="1" x14ac:dyDescent="0.25">
      <c r="A82" s="639">
        <v>3</v>
      </c>
      <c r="B82" s="640" t="s">
        <v>957</v>
      </c>
      <c r="C82" s="646">
        <v>1464.8</v>
      </c>
      <c r="D82" s="646">
        <v>1420.8</v>
      </c>
      <c r="E82" s="646">
        <v>1434.9</v>
      </c>
    </row>
    <row r="83" spans="1:5" ht="26.1" customHeight="1" x14ac:dyDescent="0.25">
      <c r="A83" s="650">
        <v>4</v>
      </c>
      <c r="B83" s="651" t="s">
        <v>956</v>
      </c>
      <c r="C83" s="656">
        <f>C80+C81+C82</f>
        <v>2224.1999999999998</v>
      </c>
      <c r="D83" s="656">
        <f>D80+D81+D82</f>
        <v>2166.1</v>
      </c>
      <c r="E83" s="656">
        <f>E80+E81+E82</f>
        <v>2172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424</v>
      </c>
      <c r="B85" s="642" t="s">
        <v>958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959</v>
      </c>
      <c r="C86" s="649">
        <f>IF(C80=0,0,C59/C80)</f>
        <v>78752.773745173748</v>
      </c>
      <c r="D86" s="649">
        <f>IF(D80=0,0,D59/D80)</f>
        <v>80213.484155762257</v>
      </c>
      <c r="E86" s="649">
        <f>IF(E80=0,0,E59/E80)</f>
        <v>82267.58087649403</v>
      </c>
    </row>
    <row r="87" spans="1:5" ht="26.1" customHeight="1" x14ac:dyDescent="0.25">
      <c r="A87" s="639">
        <v>2</v>
      </c>
      <c r="B87" s="640" t="s">
        <v>960</v>
      </c>
      <c r="C87" s="649">
        <f>IF(C80=0,0,C60/C80)</f>
        <v>23486.545173745173</v>
      </c>
      <c r="D87" s="649">
        <f>IF(D80=0,0,D60/D80)</f>
        <v>28675.344474223555</v>
      </c>
      <c r="E87" s="649">
        <f>IF(E80=0,0,E60/E80)</f>
        <v>28311.094820717131</v>
      </c>
    </row>
    <row r="88" spans="1:5" ht="26.1" customHeight="1" x14ac:dyDescent="0.25">
      <c r="A88" s="650">
        <v>3</v>
      </c>
      <c r="B88" s="651" t="s">
        <v>961</v>
      </c>
      <c r="C88" s="652">
        <f>+C86+C87</f>
        <v>102239.31891891893</v>
      </c>
      <c r="D88" s="652">
        <f>+D86+D87</f>
        <v>108888.82862998582</v>
      </c>
      <c r="E88" s="652">
        <f>+E86+E87</f>
        <v>110578.67569721116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581</v>
      </c>
      <c r="B90" s="642" t="s">
        <v>962</v>
      </c>
    </row>
    <row r="91" spans="1:5" ht="26.1" customHeight="1" x14ac:dyDescent="0.25">
      <c r="A91" s="639">
        <v>1</v>
      </c>
      <c r="B91" s="640" t="s">
        <v>963</v>
      </c>
      <c r="C91" s="641">
        <f>IF(C81=0,0,C64/C81)</f>
        <v>195731.52815013405</v>
      </c>
      <c r="D91" s="641">
        <f>IF(D81=0,0,D64/D81)</f>
        <v>203629.66666666666</v>
      </c>
      <c r="E91" s="641">
        <f>IF(E81=0,0,E64/E81)</f>
        <v>208746.48722627739</v>
      </c>
    </row>
    <row r="92" spans="1:5" ht="26.1" customHeight="1" x14ac:dyDescent="0.25">
      <c r="A92" s="639">
        <v>2</v>
      </c>
      <c r="B92" s="640" t="s">
        <v>964</v>
      </c>
      <c r="C92" s="641">
        <f>IF(C81=0,0,C65/C81)</f>
        <v>58373.279714030381</v>
      </c>
      <c r="D92" s="641">
        <f>IF(D81=0,0,D65/D81)</f>
        <v>72795.126126126124</v>
      </c>
      <c r="E92" s="641">
        <f>IF(E81=0,0,E65/E81)</f>
        <v>70474.616788321175</v>
      </c>
    </row>
    <row r="93" spans="1:5" ht="26.1" customHeight="1" x14ac:dyDescent="0.25">
      <c r="A93" s="650">
        <v>3</v>
      </c>
      <c r="B93" s="651" t="s">
        <v>965</v>
      </c>
      <c r="C93" s="654">
        <f>+C91+C92</f>
        <v>254104.80786416444</v>
      </c>
      <c r="D93" s="654">
        <f>+D91+D92</f>
        <v>276424.79279279278</v>
      </c>
      <c r="E93" s="654">
        <f>+E91+E92</f>
        <v>279221.10401459853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966</v>
      </c>
      <c r="B95" s="642" t="s">
        <v>967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968</v>
      </c>
      <c r="C96" s="649">
        <f>IF(C82=0,0,C69/C82)</f>
        <v>48895.187738940469</v>
      </c>
      <c r="D96" s="649">
        <f>IF(D82=0,0,D69/D82)</f>
        <v>50621.622325450451</v>
      </c>
      <c r="E96" s="649">
        <f>IF(E82=0,0,E69/E82)</f>
        <v>54819.54630984737</v>
      </c>
    </row>
    <row r="97" spans="1:5" ht="26.1" customHeight="1" x14ac:dyDescent="0.25">
      <c r="A97" s="639">
        <v>2</v>
      </c>
      <c r="B97" s="640" t="s">
        <v>969</v>
      </c>
      <c r="C97" s="649">
        <f>IF(C82=0,0,C70/C82)</f>
        <v>14582.07741671218</v>
      </c>
      <c r="D97" s="649">
        <f>IF(D82=0,0,D70/D82)</f>
        <v>18096.613879504504</v>
      </c>
      <c r="E97" s="649">
        <f>IF(E82=0,0,E70/E82)</f>
        <v>18586.96146072897</v>
      </c>
    </row>
    <row r="98" spans="1:5" ht="26.1" customHeight="1" x14ac:dyDescent="0.25">
      <c r="A98" s="650">
        <v>3</v>
      </c>
      <c r="B98" s="651" t="s">
        <v>970</v>
      </c>
      <c r="C98" s="654">
        <f>+C96+C97</f>
        <v>63477.265155652647</v>
      </c>
      <c r="D98" s="654">
        <f>+D96+D97</f>
        <v>68718.236204954956</v>
      </c>
      <c r="E98" s="654">
        <f>+E96+E97</f>
        <v>73406.50777057634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971</v>
      </c>
      <c r="B100" s="642" t="s">
        <v>972</v>
      </c>
    </row>
    <row r="101" spans="1:5" ht="26.1" customHeight="1" x14ac:dyDescent="0.25">
      <c r="A101" s="639">
        <v>1</v>
      </c>
      <c r="B101" s="640" t="s">
        <v>973</v>
      </c>
      <c r="C101" s="641">
        <f>IF(C83=0,0,C75/C83)</f>
        <v>64974.575128135963</v>
      </c>
      <c r="D101" s="641">
        <f>IF(D83=0,0,D75/D83)</f>
        <v>67127.790499053604</v>
      </c>
      <c r="E101" s="641">
        <f>IF(E83=0,0,E75/E83)</f>
        <v>70516.615561694285</v>
      </c>
    </row>
    <row r="102" spans="1:5" ht="26.1" customHeight="1" x14ac:dyDescent="0.25">
      <c r="A102" s="639">
        <v>2</v>
      </c>
      <c r="B102" s="640" t="s">
        <v>974</v>
      </c>
      <c r="C102" s="658">
        <f>IF(C83=0,0,C76/C83)</f>
        <v>19377.45481521446</v>
      </c>
      <c r="D102" s="658">
        <f>IF(D83=0,0,D76/D83)</f>
        <v>23997.368080882694</v>
      </c>
      <c r="E102" s="658">
        <f>IF(E83=0,0,E76/E83)</f>
        <v>24014.57688766114</v>
      </c>
    </row>
    <row r="103" spans="1:5" ht="26.1" customHeight="1" x14ac:dyDescent="0.25">
      <c r="A103" s="650">
        <v>3</v>
      </c>
      <c r="B103" s="651" t="s">
        <v>972</v>
      </c>
      <c r="C103" s="654">
        <f>+C101+C102</f>
        <v>84352.029943350426</v>
      </c>
      <c r="D103" s="654">
        <f>+D101+D102</f>
        <v>91125.158579936295</v>
      </c>
      <c r="E103" s="654">
        <f>+E101+E102</f>
        <v>94531.192449355425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975</v>
      </c>
      <c r="B107" s="634" t="s">
        <v>976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977</v>
      </c>
      <c r="C108" s="641">
        <f>IF(C19=0,0,C77/C19)</f>
        <v>2169.018763439617</v>
      </c>
      <c r="D108" s="641">
        <f>IF(D19=0,0,D77/D19)</f>
        <v>2410.9122288450262</v>
      </c>
      <c r="E108" s="641">
        <f>IF(E19=0,0,E77/E19)</f>
        <v>2469.6795650552704</v>
      </c>
    </row>
    <row r="109" spans="1:5" ht="26.1" customHeight="1" x14ac:dyDescent="0.25">
      <c r="A109" s="639">
        <v>2</v>
      </c>
      <c r="B109" s="640" t="s">
        <v>978</v>
      </c>
      <c r="C109" s="641">
        <f>IF(C20=0,0,C77/C20)</f>
        <v>9349.4685304230825</v>
      </c>
      <c r="D109" s="641">
        <f>IF(D20=0,0,D77/D20)</f>
        <v>10113.552595173438</v>
      </c>
      <c r="E109" s="641">
        <f>IF(E20=0,0,E77/E20)</f>
        <v>9993.2711963399197</v>
      </c>
    </row>
    <row r="110" spans="1:5" ht="26.1" customHeight="1" x14ac:dyDescent="0.25">
      <c r="A110" s="639">
        <v>3</v>
      </c>
      <c r="B110" s="640" t="s">
        <v>979</v>
      </c>
      <c r="C110" s="641">
        <f>IF(C22=0,0,C77/C22)</f>
        <v>1130.0305259572742</v>
      </c>
      <c r="D110" s="641">
        <f>IF(D22=0,0,D77/D22)</f>
        <v>1255.413848956978</v>
      </c>
      <c r="E110" s="641">
        <f>IF(E22=0,0,E77/E22)</f>
        <v>1300.4236322140071</v>
      </c>
    </row>
    <row r="111" spans="1:5" ht="26.1" customHeight="1" x14ac:dyDescent="0.25">
      <c r="A111" s="639">
        <v>4</v>
      </c>
      <c r="B111" s="640" t="s">
        <v>980</v>
      </c>
      <c r="C111" s="641">
        <f>IF(C23=0,0,C77/C23)</f>
        <v>4870.9513347412321</v>
      </c>
      <c r="D111" s="641">
        <f>IF(D23=0,0,D77/D23)</f>
        <v>5266.3443480968235</v>
      </c>
      <c r="E111" s="641">
        <f>IF(E23=0,0,E77/E23)</f>
        <v>5262.0130201195316</v>
      </c>
    </row>
    <row r="112" spans="1:5" ht="26.1" customHeight="1" x14ac:dyDescent="0.25">
      <c r="A112" s="639">
        <v>5</v>
      </c>
      <c r="B112" s="640" t="s">
        <v>981</v>
      </c>
      <c r="C112" s="641">
        <f>IF(C29=0,0,C77/C29)</f>
        <v>963.62042411200059</v>
      </c>
      <c r="D112" s="641">
        <f>IF(D29=0,0,D77/D29)</f>
        <v>1058.166751875985</v>
      </c>
      <c r="E112" s="641">
        <f>IF(E29=0,0,E77/E29)</f>
        <v>1111.4967988334897</v>
      </c>
    </row>
    <row r="113" spans="1:7" ht="25.5" customHeight="1" x14ac:dyDescent="0.25">
      <c r="A113" s="639">
        <v>6</v>
      </c>
      <c r="B113" s="640" t="s">
        <v>982</v>
      </c>
      <c r="C113" s="641">
        <f>IF(C30=0,0,C77/C30)</f>
        <v>4153.647253941288</v>
      </c>
      <c r="D113" s="641">
        <f>IF(D30=0,0,D77/D30)</f>
        <v>4438.9111190034655</v>
      </c>
      <c r="E113" s="641">
        <f>IF(E30=0,0,E77/E30)</f>
        <v>4497.5425564401748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/>
  <headerFooter>
    <oddHeader>&amp;L&amp;12OFFICE OF HEALTH CARE ACCESS&amp;C&amp;12TWELVE MONTHS ACTUAL FILING&amp;R&amp;12THE HOSPITAL OF CENTRAL CONNECTICUT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activeCell="C1" sqref="C1"/>
    </sheetView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809324847</v>
      </c>
      <c r="D12" s="51">
        <v>850595830</v>
      </c>
      <c r="E12" s="51">
        <f t="shared" ref="E12:E19" si="0">D12-C12</f>
        <v>41270983</v>
      </c>
      <c r="F12" s="70">
        <f t="shared" ref="F12:F19" si="1">IF(C12=0,0,E12/C12)</f>
        <v>5.0994335776274519E-2</v>
      </c>
    </row>
    <row r="13" spans="1:8" ht="23.1" customHeight="1" x14ac:dyDescent="0.2">
      <c r="A13" s="25">
        <v>2</v>
      </c>
      <c r="B13" s="48" t="s">
        <v>72</v>
      </c>
      <c r="C13" s="51">
        <v>435992445</v>
      </c>
      <c r="D13" s="51">
        <v>453266693</v>
      </c>
      <c r="E13" s="51">
        <f t="shared" si="0"/>
        <v>17274248</v>
      </c>
      <c r="F13" s="70">
        <f t="shared" si="1"/>
        <v>3.9620521406053266E-2</v>
      </c>
    </row>
    <row r="14" spans="1:8" ht="23.1" customHeight="1" x14ac:dyDescent="0.2">
      <c r="A14" s="25">
        <v>3</v>
      </c>
      <c r="B14" s="48" t="s">
        <v>73</v>
      </c>
      <c r="C14" s="51">
        <v>8420471</v>
      </c>
      <c r="D14" s="51">
        <v>17262086</v>
      </c>
      <c r="E14" s="51">
        <f t="shared" si="0"/>
        <v>8841615</v>
      </c>
      <c r="F14" s="70">
        <f t="shared" si="1"/>
        <v>1.0500143044254888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-3249413</v>
      </c>
      <c r="E15" s="51">
        <f t="shared" si="0"/>
        <v>-3249413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364911931</v>
      </c>
      <c r="D16" s="27">
        <f>D12-D13-D14-D15</f>
        <v>383316464</v>
      </c>
      <c r="E16" s="27">
        <f t="shared" si="0"/>
        <v>18404533</v>
      </c>
      <c r="F16" s="28">
        <f t="shared" si="1"/>
        <v>5.043554741979648E-2</v>
      </c>
    </row>
    <row r="17" spans="1:7" ht="23.1" customHeight="1" x14ac:dyDescent="0.2">
      <c r="A17" s="25">
        <v>5</v>
      </c>
      <c r="B17" s="48" t="s">
        <v>76</v>
      </c>
      <c r="C17" s="51">
        <v>13664442</v>
      </c>
      <c r="D17" s="51">
        <v>8533251</v>
      </c>
      <c r="E17" s="51">
        <f t="shared" si="0"/>
        <v>-5131191</v>
      </c>
      <c r="F17" s="70">
        <f t="shared" si="1"/>
        <v>-0.37551412637266857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1144549</v>
      </c>
      <c r="D18" s="51">
        <v>747896</v>
      </c>
      <c r="E18" s="51">
        <f t="shared" si="0"/>
        <v>-396653</v>
      </c>
      <c r="F18" s="70">
        <f t="shared" si="1"/>
        <v>-0.34655833869934793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379720922</v>
      </c>
      <c r="D19" s="27">
        <f>SUM(D16:D18)</f>
        <v>392597611</v>
      </c>
      <c r="E19" s="27">
        <f t="shared" si="0"/>
        <v>12876689</v>
      </c>
      <c r="F19" s="28">
        <f t="shared" si="1"/>
        <v>3.3910928405467215E-2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145405507</v>
      </c>
      <c r="D22" s="51">
        <v>153162089</v>
      </c>
      <c r="E22" s="51">
        <f t="shared" ref="E22:E31" si="2">D22-C22</f>
        <v>7756582</v>
      </c>
      <c r="F22" s="70">
        <f t="shared" ref="F22:F31" si="3">IF(C22=0,0,E22/C22)</f>
        <v>5.3344485776594418E-2</v>
      </c>
    </row>
    <row r="23" spans="1:7" ht="23.1" customHeight="1" x14ac:dyDescent="0.2">
      <c r="A23" s="25">
        <v>2</v>
      </c>
      <c r="B23" s="48" t="s">
        <v>81</v>
      </c>
      <c r="C23" s="51">
        <v>51980699</v>
      </c>
      <c r="D23" s="51">
        <v>52159661</v>
      </c>
      <c r="E23" s="51">
        <f t="shared" si="2"/>
        <v>178962</v>
      </c>
      <c r="F23" s="70">
        <f t="shared" si="3"/>
        <v>3.442854818093154E-3</v>
      </c>
    </row>
    <row r="24" spans="1:7" ht="23.1" customHeight="1" x14ac:dyDescent="0.2">
      <c r="A24" s="25">
        <v>3</v>
      </c>
      <c r="B24" s="48" t="s">
        <v>82</v>
      </c>
      <c r="C24" s="51">
        <v>9990396</v>
      </c>
      <c r="D24" s="51">
        <v>11127118</v>
      </c>
      <c r="E24" s="51">
        <f t="shared" si="2"/>
        <v>1136722</v>
      </c>
      <c r="F24" s="70">
        <f t="shared" si="3"/>
        <v>0.11378147572929041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54167261</v>
      </c>
      <c r="D25" s="51">
        <v>52279921</v>
      </c>
      <c r="E25" s="51">
        <f t="shared" si="2"/>
        <v>-1887340</v>
      </c>
      <c r="F25" s="70">
        <f t="shared" si="3"/>
        <v>-3.4842817693883393E-2</v>
      </c>
    </row>
    <row r="26" spans="1:7" ht="23.1" customHeight="1" x14ac:dyDescent="0.2">
      <c r="A26" s="25">
        <v>5</v>
      </c>
      <c r="B26" s="48" t="s">
        <v>84</v>
      </c>
      <c r="C26" s="51">
        <v>17496832</v>
      </c>
      <c r="D26" s="51">
        <v>18679687</v>
      </c>
      <c r="E26" s="51">
        <f t="shared" si="2"/>
        <v>1182855</v>
      </c>
      <c r="F26" s="70">
        <f t="shared" si="3"/>
        <v>6.7603952532664199E-2</v>
      </c>
    </row>
    <row r="27" spans="1:7" ht="23.1" customHeight="1" x14ac:dyDescent="0.2">
      <c r="A27" s="25">
        <v>6</v>
      </c>
      <c r="B27" s="48" t="s">
        <v>85</v>
      </c>
      <c r="C27" s="51">
        <v>9548336</v>
      </c>
      <c r="D27" s="51">
        <v>1140529</v>
      </c>
      <c r="E27" s="51">
        <f t="shared" si="2"/>
        <v>-8407807</v>
      </c>
      <c r="F27" s="70">
        <f t="shared" si="3"/>
        <v>-0.88055206687322274</v>
      </c>
    </row>
    <row r="28" spans="1:7" ht="23.1" customHeight="1" x14ac:dyDescent="0.2">
      <c r="A28" s="25">
        <v>7</v>
      </c>
      <c r="B28" s="48" t="s">
        <v>86</v>
      </c>
      <c r="C28" s="51">
        <v>1545904</v>
      </c>
      <c r="D28" s="51">
        <v>837138</v>
      </c>
      <c r="E28" s="51">
        <f t="shared" si="2"/>
        <v>-708766</v>
      </c>
      <c r="F28" s="70">
        <f t="shared" si="3"/>
        <v>-0.45847995735828356</v>
      </c>
    </row>
    <row r="29" spans="1:7" ht="23.1" customHeight="1" x14ac:dyDescent="0.2">
      <c r="A29" s="25">
        <v>8</v>
      </c>
      <c r="B29" s="48" t="s">
        <v>87</v>
      </c>
      <c r="C29" s="51">
        <v>7398814</v>
      </c>
      <c r="D29" s="51">
        <v>6815328</v>
      </c>
      <c r="E29" s="51">
        <f t="shared" si="2"/>
        <v>-583486</v>
      </c>
      <c r="F29" s="70">
        <f t="shared" si="3"/>
        <v>-7.8862098709333681E-2</v>
      </c>
    </row>
    <row r="30" spans="1:7" ht="23.1" customHeight="1" x14ac:dyDescent="0.2">
      <c r="A30" s="25">
        <v>9</v>
      </c>
      <c r="B30" s="48" t="s">
        <v>88</v>
      </c>
      <c r="C30" s="51">
        <v>83942787</v>
      </c>
      <c r="D30" s="51">
        <v>72371915</v>
      </c>
      <c r="E30" s="51">
        <f t="shared" si="2"/>
        <v>-11570872</v>
      </c>
      <c r="F30" s="70">
        <f t="shared" si="3"/>
        <v>-0.13784236160755539</v>
      </c>
    </row>
    <row r="31" spans="1:7" ht="23.1" customHeight="1" x14ac:dyDescent="0.25">
      <c r="A31" s="29"/>
      <c r="B31" s="71" t="s">
        <v>89</v>
      </c>
      <c r="C31" s="27">
        <f>SUM(C22:C30)</f>
        <v>381476536</v>
      </c>
      <c r="D31" s="27">
        <f>SUM(D22:D30)</f>
        <v>368573386</v>
      </c>
      <c r="E31" s="27">
        <f t="shared" si="2"/>
        <v>-12903150</v>
      </c>
      <c r="F31" s="28">
        <f t="shared" si="3"/>
        <v>-3.3824229755509784E-2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-1755614</v>
      </c>
      <c r="D33" s="27">
        <f>+D19-D31</f>
        <v>24024225</v>
      </c>
      <c r="E33" s="27">
        <f>D33-C33</f>
        <v>25779839</v>
      </c>
      <c r="F33" s="28">
        <f>IF(C33=0,0,E33/C33)</f>
        <v>-14.684229562990497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7343204</v>
      </c>
      <c r="D36" s="51">
        <v>1563435</v>
      </c>
      <c r="E36" s="51">
        <f>D36-C36</f>
        <v>-5779769</v>
      </c>
      <c r="F36" s="70">
        <f>IF(C36=0,0,E36/C36)</f>
        <v>-0.78709089383871123</v>
      </c>
    </row>
    <row r="37" spans="1:6" ht="23.1" customHeight="1" x14ac:dyDescent="0.2">
      <c r="A37" s="44">
        <v>2</v>
      </c>
      <c r="B37" s="48" t="s">
        <v>93</v>
      </c>
      <c r="C37" s="51">
        <v>1195945</v>
      </c>
      <c r="D37" s="51">
        <v>204893</v>
      </c>
      <c r="E37" s="51">
        <f>D37-C37</f>
        <v>-991052</v>
      </c>
      <c r="F37" s="70">
        <f>IF(C37=0,0,E37/C37)</f>
        <v>-0.82867690403822913</v>
      </c>
    </row>
    <row r="38" spans="1:6" ht="23.1" customHeight="1" x14ac:dyDescent="0.2">
      <c r="A38" s="44">
        <v>3</v>
      </c>
      <c r="B38" s="48" t="s">
        <v>94</v>
      </c>
      <c r="C38" s="51">
        <v>-1343101</v>
      </c>
      <c r="D38" s="51">
        <v>-1742303</v>
      </c>
      <c r="E38" s="51">
        <f>D38-C38</f>
        <v>-399202</v>
      </c>
      <c r="F38" s="70">
        <f>IF(C38=0,0,E38/C38)</f>
        <v>0.29722411047270458</v>
      </c>
    </row>
    <row r="39" spans="1:6" ht="23.1" customHeight="1" x14ac:dyDescent="0.25">
      <c r="A39" s="20"/>
      <c r="B39" s="71" t="s">
        <v>95</v>
      </c>
      <c r="C39" s="27">
        <f>SUM(C36:C38)</f>
        <v>7196048</v>
      </c>
      <c r="D39" s="27">
        <f>SUM(D36:D38)</f>
        <v>26025</v>
      </c>
      <c r="E39" s="27">
        <f>D39-C39</f>
        <v>-7170023</v>
      </c>
      <c r="F39" s="28">
        <f>IF(C39=0,0,E39/C39)</f>
        <v>-0.99638343157244091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5440434</v>
      </c>
      <c r="D41" s="27">
        <f>D33+D39</f>
        <v>24050250</v>
      </c>
      <c r="E41" s="27">
        <f>D41-C41</f>
        <v>18609816</v>
      </c>
      <c r="F41" s="28">
        <f>IF(C41=0,0,E41/C41)</f>
        <v>3.4206491614455761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5440434</v>
      </c>
      <c r="D48" s="27">
        <f>D41+D46</f>
        <v>24050250</v>
      </c>
      <c r="E48" s="27">
        <f>D48-C48</f>
        <v>18609816</v>
      </c>
      <c r="F48" s="28">
        <f>IF(C48=0,0,E48/C48)</f>
        <v>3.4206491614455761</v>
      </c>
    </row>
    <row r="49" spans="1:6" ht="23.1" customHeight="1" x14ac:dyDescent="0.2">
      <c r="A49" s="44"/>
      <c r="B49" s="48" t="s">
        <v>102</v>
      </c>
      <c r="C49" s="51">
        <v>3670857</v>
      </c>
      <c r="D49" s="51">
        <v>3889577</v>
      </c>
      <c r="E49" s="51">
        <f>D49-C49</f>
        <v>218720</v>
      </c>
      <c r="F49" s="70">
        <f>IF(C49=0,0,E49/C49)</f>
        <v>5.9582816764586578E-2</v>
      </c>
    </row>
  </sheetData>
  <printOptions gridLines="1"/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FILING&amp;RTHE HOSPITAL OF CENTRAL CONNECTICUT</oddHeader>
    <oddFooter>&amp;LREPORT 150&amp;CPAGE &amp;P of &amp;N&amp;R&amp;D,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workbookViewId="0"/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18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60" t="s">
        <v>0</v>
      </c>
      <c r="B2" s="660"/>
      <c r="C2" s="660"/>
      <c r="D2" s="660"/>
      <c r="E2" s="660"/>
      <c r="F2" s="660"/>
    </row>
    <row r="3" spans="1:6" ht="18" customHeight="1" x14ac:dyDescent="0.25">
      <c r="A3" s="660" t="s">
        <v>1</v>
      </c>
      <c r="B3" s="660"/>
      <c r="C3" s="660"/>
      <c r="D3" s="660"/>
      <c r="E3" s="660"/>
      <c r="F3" s="660"/>
    </row>
    <row r="4" spans="1:6" ht="18" customHeight="1" x14ac:dyDescent="0.25">
      <c r="A4" s="660" t="s">
        <v>2</v>
      </c>
      <c r="B4" s="660"/>
      <c r="C4" s="660"/>
      <c r="D4" s="660"/>
      <c r="E4" s="660"/>
      <c r="F4" s="660"/>
    </row>
    <row r="5" spans="1:6" ht="18" customHeight="1" x14ac:dyDescent="0.25">
      <c r="A5" s="660" t="s">
        <v>103</v>
      </c>
      <c r="B5" s="660"/>
      <c r="C5" s="660"/>
      <c r="D5" s="660"/>
      <c r="E5" s="660"/>
      <c r="F5" s="66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61"/>
      <c r="D9" s="662"/>
      <c r="E9" s="662"/>
      <c r="F9" s="663"/>
    </row>
    <row r="10" spans="1:6" ht="18" customHeight="1" x14ac:dyDescent="0.25">
      <c r="A10" s="664" t="s">
        <v>12</v>
      </c>
      <c r="B10" s="666" t="s">
        <v>109</v>
      </c>
      <c r="C10" s="668"/>
      <c r="D10" s="669"/>
      <c r="E10" s="669"/>
      <c r="F10" s="670"/>
    </row>
    <row r="11" spans="1:6" ht="18" customHeight="1" x14ac:dyDescent="0.25">
      <c r="A11" s="665"/>
      <c r="B11" s="667"/>
      <c r="C11" s="671"/>
      <c r="D11" s="672"/>
      <c r="E11" s="672"/>
      <c r="F11" s="673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186858245</v>
      </c>
      <c r="D14" s="97">
        <v>203275677</v>
      </c>
      <c r="E14" s="97">
        <f t="shared" ref="E14:E25" si="0">D14-C14</f>
        <v>16417432</v>
      </c>
      <c r="F14" s="98">
        <f t="shared" ref="F14:F25" si="1">IF(C14=0,0,E14/C14)</f>
        <v>8.786035638941167E-2</v>
      </c>
    </row>
    <row r="15" spans="1:6" ht="18" customHeight="1" x14ac:dyDescent="0.25">
      <c r="A15" s="99">
        <v>2</v>
      </c>
      <c r="B15" s="100" t="s">
        <v>113</v>
      </c>
      <c r="C15" s="97">
        <v>43083820</v>
      </c>
      <c r="D15" s="97">
        <v>51512007</v>
      </c>
      <c r="E15" s="97">
        <f t="shared" si="0"/>
        <v>8428187</v>
      </c>
      <c r="F15" s="98">
        <f t="shared" si="1"/>
        <v>0.19562302042855068</v>
      </c>
    </row>
    <row r="16" spans="1:6" ht="18" customHeight="1" x14ac:dyDescent="0.25">
      <c r="A16" s="99">
        <v>3</v>
      </c>
      <c r="B16" s="100" t="s">
        <v>114</v>
      </c>
      <c r="C16" s="97">
        <v>33963456</v>
      </c>
      <c r="D16" s="97">
        <v>51919038</v>
      </c>
      <c r="E16" s="97">
        <f t="shared" si="0"/>
        <v>17955582</v>
      </c>
      <c r="F16" s="98">
        <f t="shared" si="1"/>
        <v>0.5286735837483677</v>
      </c>
    </row>
    <row r="17" spans="1:6" ht="18" customHeight="1" x14ac:dyDescent="0.25">
      <c r="A17" s="99">
        <v>4</v>
      </c>
      <c r="B17" s="100" t="s">
        <v>115</v>
      </c>
      <c r="C17" s="97">
        <v>24622008</v>
      </c>
      <c r="D17" s="97">
        <v>26866087</v>
      </c>
      <c r="E17" s="97">
        <f t="shared" si="0"/>
        <v>2244079</v>
      </c>
      <c r="F17" s="98">
        <f t="shared" si="1"/>
        <v>9.1141185560495316E-2</v>
      </c>
    </row>
    <row r="18" spans="1:6" ht="18" customHeight="1" x14ac:dyDescent="0.25">
      <c r="A18" s="99">
        <v>5</v>
      </c>
      <c r="B18" s="100" t="s">
        <v>116</v>
      </c>
      <c r="C18" s="97">
        <v>754937</v>
      </c>
      <c r="D18" s="97">
        <v>513067</v>
      </c>
      <c r="E18" s="97">
        <f t="shared" si="0"/>
        <v>-241870</v>
      </c>
      <c r="F18" s="98">
        <f t="shared" si="1"/>
        <v>-0.32038434995238013</v>
      </c>
    </row>
    <row r="19" spans="1:6" ht="18" customHeight="1" x14ac:dyDescent="0.25">
      <c r="A19" s="99">
        <v>6</v>
      </c>
      <c r="B19" s="100" t="s">
        <v>117</v>
      </c>
      <c r="C19" s="97">
        <v>3683404</v>
      </c>
      <c r="D19" s="97">
        <v>2902329</v>
      </c>
      <c r="E19" s="97">
        <f t="shared" si="0"/>
        <v>-781075</v>
      </c>
      <c r="F19" s="98">
        <f t="shared" si="1"/>
        <v>-0.21205249274855542</v>
      </c>
    </row>
    <row r="20" spans="1:6" ht="18" customHeight="1" x14ac:dyDescent="0.25">
      <c r="A20" s="99">
        <v>7</v>
      </c>
      <c r="B20" s="100" t="s">
        <v>118</v>
      </c>
      <c r="C20" s="97">
        <v>103543373</v>
      </c>
      <c r="D20" s="97">
        <v>100822050</v>
      </c>
      <c r="E20" s="97">
        <f t="shared" si="0"/>
        <v>-2721323</v>
      </c>
      <c r="F20" s="98">
        <f t="shared" si="1"/>
        <v>-2.628196205275252E-2</v>
      </c>
    </row>
    <row r="21" spans="1:6" ht="18" customHeight="1" x14ac:dyDescent="0.25">
      <c r="A21" s="99">
        <v>8</v>
      </c>
      <c r="B21" s="100" t="s">
        <v>119</v>
      </c>
      <c r="C21" s="97">
        <v>1568922</v>
      </c>
      <c r="D21" s="97">
        <v>2151029</v>
      </c>
      <c r="E21" s="97">
        <f t="shared" si="0"/>
        <v>582107</v>
      </c>
      <c r="F21" s="98">
        <f t="shared" si="1"/>
        <v>0.3710235435541091</v>
      </c>
    </row>
    <row r="22" spans="1:6" ht="18" customHeight="1" x14ac:dyDescent="0.25">
      <c r="A22" s="99">
        <v>9</v>
      </c>
      <c r="B22" s="100" t="s">
        <v>120</v>
      </c>
      <c r="C22" s="97">
        <v>5651953</v>
      </c>
      <c r="D22" s="97">
        <v>3318356</v>
      </c>
      <c r="E22" s="97">
        <f t="shared" si="0"/>
        <v>-2333597</v>
      </c>
      <c r="F22" s="98">
        <f t="shared" si="1"/>
        <v>-0.4128832989233987</v>
      </c>
    </row>
    <row r="23" spans="1:6" ht="18" customHeight="1" x14ac:dyDescent="0.25">
      <c r="A23" s="99">
        <v>10</v>
      </c>
      <c r="B23" s="100" t="s">
        <v>121</v>
      </c>
      <c r="C23" s="97">
        <v>13232447</v>
      </c>
      <c r="D23" s="97">
        <v>0</v>
      </c>
      <c r="E23" s="97">
        <f t="shared" si="0"/>
        <v>-13232447</v>
      </c>
      <c r="F23" s="98">
        <f t="shared" si="1"/>
        <v>-1</v>
      </c>
    </row>
    <row r="24" spans="1:6" ht="18" customHeight="1" x14ac:dyDescent="0.25">
      <c r="A24" s="99">
        <v>11</v>
      </c>
      <c r="B24" s="100" t="s">
        <v>122</v>
      </c>
      <c r="C24" s="97">
        <v>0</v>
      </c>
      <c r="D24" s="97">
        <v>0</v>
      </c>
      <c r="E24" s="97">
        <f t="shared" si="0"/>
        <v>0</v>
      </c>
      <c r="F24" s="98">
        <f t="shared" si="1"/>
        <v>0</v>
      </c>
    </row>
    <row r="25" spans="1:6" ht="18" customHeight="1" x14ac:dyDescent="0.25">
      <c r="A25" s="101"/>
      <c r="B25" s="102" t="s">
        <v>123</v>
      </c>
      <c r="C25" s="103">
        <f>SUM(C14:C24)</f>
        <v>416962565</v>
      </c>
      <c r="D25" s="103">
        <f>SUM(D14:D24)</f>
        <v>443279640</v>
      </c>
      <c r="E25" s="103">
        <f t="shared" si="0"/>
        <v>26317075</v>
      </c>
      <c r="F25" s="104">
        <f t="shared" si="1"/>
        <v>6.3116157681925231E-2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100704943</v>
      </c>
      <c r="D27" s="97">
        <v>101916607</v>
      </c>
      <c r="E27" s="97">
        <f t="shared" ref="E27:E38" si="2">D27-C27</f>
        <v>1211664</v>
      </c>
      <c r="F27" s="98">
        <f t="shared" ref="F27:F38" si="3">IF(C27=0,0,E27/C27)</f>
        <v>1.2031822509447227E-2</v>
      </c>
    </row>
    <row r="28" spans="1:6" ht="18" customHeight="1" x14ac:dyDescent="0.25">
      <c r="A28" s="99">
        <v>2</v>
      </c>
      <c r="B28" s="100" t="s">
        <v>113</v>
      </c>
      <c r="C28" s="97">
        <v>24772725</v>
      </c>
      <c r="D28" s="97">
        <v>28482396</v>
      </c>
      <c r="E28" s="97">
        <f t="shared" si="2"/>
        <v>3709671</v>
      </c>
      <c r="F28" s="98">
        <f t="shared" si="3"/>
        <v>0.14974820089433036</v>
      </c>
    </row>
    <row r="29" spans="1:6" ht="18" customHeight="1" x14ac:dyDescent="0.25">
      <c r="A29" s="99">
        <v>3</v>
      </c>
      <c r="B29" s="100" t="s">
        <v>114</v>
      </c>
      <c r="C29" s="97">
        <v>25269391</v>
      </c>
      <c r="D29" s="97">
        <v>45536663</v>
      </c>
      <c r="E29" s="97">
        <f t="shared" si="2"/>
        <v>20267272</v>
      </c>
      <c r="F29" s="98">
        <f t="shared" si="3"/>
        <v>0.80204829629649566</v>
      </c>
    </row>
    <row r="30" spans="1:6" ht="18" customHeight="1" x14ac:dyDescent="0.25">
      <c r="A30" s="99">
        <v>4</v>
      </c>
      <c r="B30" s="100" t="s">
        <v>115</v>
      </c>
      <c r="C30" s="97">
        <v>45485258</v>
      </c>
      <c r="D30" s="97">
        <v>47877448</v>
      </c>
      <c r="E30" s="97">
        <f t="shared" si="2"/>
        <v>2392190</v>
      </c>
      <c r="F30" s="98">
        <f t="shared" si="3"/>
        <v>5.2592644412394009E-2</v>
      </c>
    </row>
    <row r="31" spans="1:6" ht="18" customHeight="1" x14ac:dyDescent="0.25">
      <c r="A31" s="99">
        <v>5</v>
      </c>
      <c r="B31" s="100" t="s">
        <v>116</v>
      </c>
      <c r="C31" s="97">
        <v>669381</v>
      </c>
      <c r="D31" s="97">
        <v>719632</v>
      </c>
      <c r="E31" s="97">
        <f t="shared" si="2"/>
        <v>50251</v>
      </c>
      <c r="F31" s="98">
        <f t="shared" si="3"/>
        <v>7.5070849038141207E-2</v>
      </c>
    </row>
    <row r="32" spans="1:6" ht="18" customHeight="1" x14ac:dyDescent="0.25">
      <c r="A32" s="99">
        <v>6</v>
      </c>
      <c r="B32" s="100" t="s">
        <v>117</v>
      </c>
      <c r="C32" s="97">
        <v>3520322</v>
      </c>
      <c r="D32" s="97">
        <v>3195424</v>
      </c>
      <c r="E32" s="97">
        <f t="shared" si="2"/>
        <v>-324898</v>
      </c>
      <c r="F32" s="98">
        <f t="shared" si="3"/>
        <v>-9.2292125549878673E-2</v>
      </c>
    </row>
    <row r="33" spans="1:6" ht="18" customHeight="1" x14ac:dyDescent="0.25">
      <c r="A33" s="99">
        <v>7</v>
      </c>
      <c r="B33" s="100" t="s">
        <v>118</v>
      </c>
      <c r="C33" s="97">
        <v>153282237</v>
      </c>
      <c r="D33" s="97">
        <v>152073144</v>
      </c>
      <c r="E33" s="97">
        <f t="shared" si="2"/>
        <v>-1209093</v>
      </c>
      <c r="F33" s="98">
        <f t="shared" si="3"/>
        <v>-7.8880177094492691E-3</v>
      </c>
    </row>
    <row r="34" spans="1:6" ht="18" customHeight="1" x14ac:dyDescent="0.25">
      <c r="A34" s="99">
        <v>8</v>
      </c>
      <c r="B34" s="100" t="s">
        <v>119</v>
      </c>
      <c r="C34" s="97">
        <v>4568741</v>
      </c>
      <c r="D34" s="97">
        <v>4513919</v>
      </c>
      <c r="E34" s="97">
        <f t="shared" si="2"/>
        <v>-54822</v>
      </c>
      <c r="F34" s="98">
        <f t="shared" si="3"/>
        <v>-1.1999367002857024E-2</v>
      </c>
    </row>
    <row r="35" spans="1:6" ht="18" customHeight="1" x14ac:dyDescent="0.25">
      <c r="A35" s="99">
        <v>9</v>
      </c>
      <c r="B35" s="100" t="s">
        <v>120</v>
      </c>
      <c r="C35" s="97">
        <v>14929960</v>
      </c>
      <c r="D35" s="97">
        <v>14252846</v>
      </c>
      <c r="E35" s="97">
        <f t="shared" si="2"/>
        <v>-677114</v>
      </c>
      <c r="F35" s="98">
        <f t="shared" si="3"/>
        <v>-4.5352700208172024E-2</v>
      </c>
    </row>
    <row r="36" spans="1:6" ht="18" customHeight="1" x14ac:dyDescent="0.25">
      <c r="A36" s="99">
        <v>10</v>
      </c>
      <c r="B36" s="100" t="s">
        <v>121</v>
      </c>
      <c r="C36" s="97">
        <v>10574526</v>
      </c>
      <c r="D36" s="97">
        <v>0</v>
      </c>
      <c r="E36" s="97">
        <f t="shared" si="2"/>
        <v>-10574526</v>
      </c>
      <c r="F36" s="98">
        <f t="shared" si="3"/>
        <v>-1</v>
      </c>
    </row>
    <row r="37" spans="1:6" ht="18" customHeight="1" x14ac:dyDescent="0.25">
      <c r="A37" s="99">
        <v>11</v>
      </c>
      <c r="B37" s="100" t="s">
        <v>122</v>
      </c>
      <c r="C37" s="97">
        <v>0</v>
      </c>
      <c r="D37" s="97">
        <v>0</v>
      </c>
      <c r="E37" s="97">
        <f t="shared" si="2"/>
        <v>0</v>
      </c>
      <c r="F37" s="98">
        <f t="shared" si="3"/>
        <v>0</v>
      </c>
    </row>
    <row r="38" spans="1:6" ht="18" customHeight="1" x14ac:dyDescent="0.25">
      <c r="A38" s="101"/>
      <c r="B38" s="102" t="s">
        <v>126</v>
      </c>
      <c r="C38" s="103">
        <f>SUM(C27:C37)</f>
        <v>383777484</v>
      </c>
      <c r="D38" s="103">
        <f>SUM(D27:D37)</f>
        <v>398568079</v>
      </c>
      <c r="E38" s="103">
        <f t="shared" si="2"/>
        <v>14790595</v>
      </c>
      <c r="F38" s="104">
        <f t="shared" si="3"/>
        <v>3.8539506919066671E-2</v>
      </c>
    </row>
    <row r="39" spans="1:6" ht="18" customHeight="1" x14ac:dyDescent="0.25">
      <c r="A39" s="664" t="s">
        <v>127</v>
      </c>
      <c r="B39" s="666" t="s">
        <v>128</v>
      </c>
      <c r="C39" s="668"/>
      <c r="D39" s="669"/>
      <c r="E39" s="669"/>
      <c r="F39" s="670"/>
    </row>
    <row r="40" spans="1:6" ht="18" customHeight="1" x14ac:dyDescent="0.25">
      <c r="A40" s="665"/>
      <c r="B40" s="667"/>
      <c r="C40" s="671"/>
      <c r="D40" s="672"/>
      <c r="E40" s="672"/>
      <c r="F40" s="673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287563188</v>
      </c>
      <c r="D41" s="103">
        <f t="shared" si="4"/>
        <v>305192284</v>
      </c>
      <c r="E41" s="107">
        <f t="shared" ref="E41:E52" si="5">D41-C41</f>
        <v>17629096</v>
      </c>
      <c r="F41" s="108">
        <f t="shared" ref="F41:F52" si="6">IF(C41=0,0,E41/C41)</f>
        <v>6.130512087659843E-2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67856545</v>
      </c>
      <c r="D42" s="103">
        <f t="shared" si="4"/>
        <v>79994403</v>
      </c>
      <c r="E42" s="107">
        <f t="shared" si="5"/>
        <v>12137858</v>
      </c>
      <c r="F42" s="108">
        <f t="shared" si="6"/>
        <v>0.17887527282740376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59232847</v>
      </c>
      <c r="D43" s="103">
        <f t="shared" si="4"/>
        <v>97455701</v>
      </c>
      <c r="E43" s="107">
        <f t="shared" si="5"/>
        <v>38222854</v>
      </c>
      <c r="F43" s="108">
        <f t="shared" si="6"/>
        <v>0.64529827512765003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70107266</v>
      </c>
      <c r="D44" s="103">
        <f t="shared" si="4"/>
        <v>74743535</v>
      </c>
      <c r="E44" s="107">
        <f t="shared" si="5"/>
        <v>4636269</v>
      </c>
      <c r="F44" s="108">
        <f t="shared" si="6"/>
        <v>6.6131076912912284E-2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1424318</v>
      </c>
      <c r="D45" s="103">
        <f t="shared" si="4"/>
        <v>1232699</v>
      </c>
      <c r="E45" s="107">
        <f t="shared" si="5"/>
        <v>-191619</v>
      </c>
      <c r="F45" s="108">
        <f t="shared" si="6"/>
        <v>-0.13453386111809301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7203726</v>
      </c>
      <c r="D46" s="103">
        <f t="shared" si="4"/>
        <v>6097753</v>
      </c>
      <c r="E46" s="107">
        <f t="shared" si="5"/>
        <v>-1105973</v>
      </c>
      <c r="F46" s="108">
        <f t="shared" si="6"/>
        <v>-0.15352791041747008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256825610</v>
      </c>
      <c r="D47" s="103">
        <f t="shared" si="4"/>
        <v>252895194</v>
      </c>
      <c r="E47" s="107">
        <f t="shared" si="5"/>
        <v>-3930416</v>
      </c>
      <c r="F47" s="108">
        <f t="shared" si="6"/>
        <v>-1.5303832043852637E-2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6137663</v>
      </c>
      <c r="D48" s="103">
        <f t="shared" si="4"/>
        <v>6664948</v>
      </c>
      <c r="E48" s="107">
        <f t="shared" si="5"/>
        <v>527285</v>
      </c>
      <c r="F48" s="108">
        <f t="shared" si="6"/>
        <v>8.5909734698695575E-2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20581913</v>
      </c>
      <c r="D49" s="103">
        <f t="shared" si="4"/>
        <v>17571202</v>
      </c>
      <c r="E49" s="107">
        <f t="shared" si="5"/>
        <v>-3010711</v>
      </c>
      <c r="F49" s="108">
        <f t="shared" si="6"/>
        <v>-0.14627945419845084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23806973</v>
      </c>
      <c r="D50" s="103">
        <f t="shared" si="4"/>
        <v>0</v>
      </c>
      <c r="E50" s="107">
        <f t="shared" si="5"/>
        <v>-23806973</v>
      </c>
      <c r="F50" s="108">
        <f t="shared" si="6"/>
        <v>-1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0</v>
      </c>
      <c r="D51" s="103">
        <f t="shared" si="4"/>
        <v>0</v>
      </c>
      <c r="E51" s="107">
        <f t="shared" si="5"/>
        <v>0</v>
      </c>
      <c r="F51" s="108">
        <f t="shared" si="6"/>
        <v>0</v>
      </c>
    </row>
    <row r="52" spans="1:6" ht="18.75" customHeight="1" thickBot="1" x14ac:dyDescent="0.3">
      <c r="A52" s="109"/>
      <c r="B52" s="110" t="s">
        <v>128</v>
      </c>
      <c r="C52" s="111">
        <f>SUM(C41:C51)</f>
        <v>800740049</v>
      </c>
      <c r="D52" s="112">
        <f>SUM(D41:D51)</f>
        <v>841847719</v>
      </c>
      <c r="E52" s="111">
        <f t="shared" si="5"/>
        <v>41107670</v>
      </c>
      <c r="F52" s="113">
        <f t="shared" si="6"/>
        <v>5.1337097540377928E-2</v>
      </c>
    </row>
    <row r="53" spans="1:6" ht="18" customHeight="1" x14ac:dyDescent="0.25">
      <c r="A53" s="664" t="s">
        <v>44</v>
      </c>
      <c r="B53" s="666" t="s">
        <v>129</v>
      </c>
      <c r="C53" s="668"/>
      <c r="D53" s="669"/>
      <c r="E53" s="669"/>
      <c r="F53" s="670"/>
    </row>
    <row r="54" spans="1:6" ht="18" customHeight="1" x14ac:dyDescent="0.25">
      <c r="A54" s="665"/>
      <c r="B54" s="667"/>
      <c r="C54" s="671"/>
      <c r="D54" s="672"/>
      <c r="E54" s="672"/>
      <c r="F54" s="673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76322787</v>
      </c>
      <c r="D57" s="97">
        <v>85005535</v>
      </c>
      <c r="E57" s="97">
        <f t="shared" ref="E57:E68" si="7">D57-C57</f>
        <v>8682748</v>
      </c>
      <c r="F57" s="98">
        <f t="shared" ref="F57:F68" si="8">IF(C57=0,0,E57/C57)</f>
        <v>0.11376350813813967</v>
      </c>
    </row>
    <row r="58" spans="1:6" ht="18" customHeight="1" x14ac:dyDescent="0.25">
      <c r="A58" s="99">
        <v>2</v>
      </c>
      <c r="B58" s="100" t="s">
        <v>113</v>
      </c>
      <c r="C58" s="97">
        <v>16457392</v>
      </c>
      <c r="D58" s="97">
        <v>19099024</v>
      </c>
      <c r="E58" s="97">
        <f t="shared" si="7"/>
        <v>2641632</v>
      </c>
      <c r="F58" s="98">
        <f t="shared" si="8"/>
        <v>0.16051340333875502</v>
      </c>
    </row>
    <row r="59" spans="1:6" ht="18" customHeight="1" x14ac:dyDescent="0.25">
      <c r="A59" s="99">
        <v>3</v>
      </c>
      <c r="B59" s="100" t="s">
        <v>114</v>
      </c>
      <c r="C59" s="97">
        <v>11671280</v>
      </c>
      <c r="D59" s="97">
        <v>16962576</v>
      </c>
      <c r="E59" s="97">
        <f t="shared" si="7"/>
        <v>5291296</v>
      </c>
      <c r="F59" s="98">
        <f t="shared" si="8"/>
        <v>0.45336038549327923</v>
      </c>
    </row>
    <row r="60" spans="1:6" ht="18" customHeight="1" x14ac:dyDescent="0.25">
      <c r="A60" s="99">
        <v>4</v>
      </c>
      <c r="B60" s="100" t="s">
        <v>115</v>
      </c>
      <c r="C60" s="97">
        <v>8746883</v>
      </c>
      <c r="D60" s="97">
        <v>9252670</v>
      </c>
      <c r="E60" s="97">
        <f t="shared" si="7"/>
        <v>505787</v>
      </c>
      <c r="F60" s="98">
        <f t="shared" si="8"/>
        <v>5.7824827427096027E-2</v>
      </c>
    </row>
    <row r="61" spans="1:6" ht="18" customHeight="1" x14ac:dyDescent="0.25">
      <c r="A61" s="99">
        <v>5</v>
      </c>
      <c r="B61" s="100" t="s">
        <v>116</v>
      </c>
      <c r="C61" s="97">
        <v>182086</v>
      </c>
      <c r="D61" s="97">
        <v>267040</v>
      </c>
      <c r="E61" s="97">
        <f t="shared" si="7"/>
        <v>84954</v>
      </c>
      <c r="F61" s="98">
        <f t="shared" si="8"/>
        <v>0.46655975747723605</v>
      </c>
    </row>
    <row r="62" spans="1:6" ht="18" customHeight="1" x14ac:dyDescent="0.25">
      <c r="A62" s="99">
        <v>6</v>
      </c>
      <c r="B62" s="100" t="s">
        <v>117</v>
      </c>
      <c r="C62" s="97">
        <v>1322177</v>
      </c>
      <c r="D62" s="97">
        <v>964370</v>
      </c>
      <c r="E62" s="97">
        <f t="shared" si="7"/>
        <v>-357807</v>
      </c>
      <c r="F62" s="98">
        <f t="shared" si="8"/>
        <v>-0.27061959177931549</v>
      </c>
    </row>
    <row r="63" spans="1:6" ht="18" customHeight="1" x14ac:dyDescent="0.25">
      <c r="A63" s="99">
        <v>7</v>
      </c>
      <c r="B63" s="100" t="s">
        <v>118</v>
      </c>
      <c r="C63" s="97">
        <v>56424606</v>
      </c>
      <c r="D63" s="97">
        <v>65467381</v>
      </c>
      <c r="E63" s="97">
        <f t="shared" si="7"/>
        <v>9042775</v>
      </c>
      <c r="F63" s="98">
        <f t="shared" si="8"/>
        <v>0.16026297108747201</v>
      </c>
    </row>
    <row r="64" spans="1:6" ht="18" customHeight="1" x14ac:dyDescent="0.25">
      <c r="A64" s="99">
        <v>8</v>
      </c>
      <c r="B64" s="100" t="s">
        <v>119</v>
      </c>
      <c r="C64" s="97">
        <v>1568922</v>
      </c>
      <c r="D64" s="97">
        <v>2151029</v>
      </c>
      <c r="E64" s="97">
        <f t="shared" si="7"/>
        <v>582107</v>
      </c>
      <c r="F64" s="98">
        <f t="shared" si="8"/>
        <v>0.3710235435541091</v>
      </c>
    </row>
    <row r="65" spans="1:6" ht="18" customHeight="1" x14ac:dyDescent="0.25">
      <c r="A65" s="99">
        <v>9</v>
      </c>
      <c r="B65" s="100" t="s">
        <v>120</v>
      </c>
      <c r="C65" s="97">
        <v>583493</v>
      </c>
      <c r="D65" s="97">
        <v>516899</v>
      </c>
      <c r="E65" s="97">
        <f t="shared" si="7"/>
        <v>-66594</v>
      </c>
      <c r="F65" s="98">
        <f t="shared" si="8"/>
        <v>-0.11412990387202589</v>
      </c>
    </row>
    <row r="66" spans="1:6" ht="18" customHeight="1" x14ac:dyDescent="0.25">
      <c r="A66" s="99">
        <v>10</v>
      </c>
      <c r="B66" s="100" t="s">
        <v>121</v>
      </c>
      <c r="C66" s="97">
        <v>2694797</v>
      </c>
      <c r="D66" s="97">
        <v>0</v>
      </c>
      <c r="E66" s="97">
        <f t="shared" si="7"/>
        <v>-2694797</v>
      </c>
      <c r="F66" s="98">
        <f t="shared" si="8"/>
        <v>-1</v>
      </c>
    </row>
    <row r="67" spans="1:6" ht="18" customHeight="1" x14ac:dyDescent="0.25">
      <c r="A67" s="99">
        <v>11</v>
      </c>
      <c r="B67" s="100" t="s">
        <v>122</v>
      </c>
      <c r="C67" s="97">
        <v>0</v>
      </c>
      <c r="D67" s="97">
        <v>0</v>
      </c>
      <c r="E67" s="97">
        <f t="shared" si="7"/>
        <v>0</v>
      </c>
      <c r="F67" s="98">
        <f t="shared" si="8"/>
        <v>0</v>
      </c>
    </row>
    <row r="68" spans="1:6" ht="18" customHeight="1" x14ac:dyDescent="0.25">
      <c r="A68" s="101"/>
      <c r="B68" s="102" t="s">
        <v>131</v>
      </c>
      <c r="C68" s="103">
        <f>SUM(C57:C67)</f>
        <v>175974423</v>
      </c>
      <c r="D68" s="103">
        <f>SUM(D57:D67)</f>
        <v>199686524</v>
      </c>
      <c r="E68" s="103">
        <f t="shared" si="7"/>
        <v>23712101</v>
      </c>
      <c r="F68" s="104">
        <f t="shared" si="8"/>
        <v>0.13474742860784944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28882178</v>
      </c>
      <c r="D70" s="97">
        <v>25924094</v>
      </c>
      <c r="E70" s="97">
        <f t="shared" ref="E70:E81" si="9">D70-C70</f>
        <v>-2958084</v>
      </c>
      <c r="F70" s="98">
        <f t="shared" ref="F70:F81" si="10">IF(C70=0,0,E70/C70)</f>
        <v>-0.10241900732001583</v>
      </c>
    </row>
    <row r="71" spans="1:6" ht="18" customHeight="1" x14ac:dyDescent="0.25">
      <c r="A71" s="99">
        <v>2</v>
      </c>
      <c r="B71" s="100" t="s">
        <v>113</v>
      </c>
      <c r="C71" s="97">
        <v>7233636</v>
      </c>
      <c r="D71" s="97">
        <v>7720876</v>
      </c>
      <c r="E71" s="97">
        <f t="shared" si="9"/>
        <v>487240</v>
      </c>
      <c r="F71" s="98">
        <f t="shared" si="10"/>
        <v>6.7357550200203606E-2</v>
      </c>
    </row>
    <row r="72" spans="1:6" ht="18" customHeight="1" x14ac:dyDescent="0.25">
      <c r="A72" s="99">
        <v>3</v>
      </c>
      <c r="B72" s="100" t="s">
        <v>114</v>
      </c>
      <c r="C72" s="97">
        <v>8392795</v>
      </c>
      <c r="D72" s="97">
        <v>13251449</v>
      </c>
      <c r="E72" s="97">
        <f t="shared" si="9"/>
        <v>4858654</v>
      </c>
      <c r="F72" s="98">
        <f t="shared" si="10"/>
        <v>0.57890774169987469</v>
      </c>
    </row>
    <row r="73" spans="1:6" ht="18" customHeight="1" x14ac:dyDescent="0.25">
      <c r="A73" s="99">
        <v>4</v>
      </c>
      <c r="B73" s="100" t="s">
        <v>115</v>
      </c>
      <c r="C73" s="97">
        <v>20482012</v>
      </c>
      <c r="D73" s="97">
        <v>19914148</v>
      </c>
      <c r="E73" s="97">
        <f t="shared" si="9"/>
        <v>-567864</v>
      </c>
      <c r="F73" s="98">
        <f t="shared" si="10"/>
        <v>-2.7725010609309281E-2</v>
      </c>
    </row>
    <row r="74" spans="1:6" ht="18" customHeight="1" x14ac:dyDescent="0.25">
      <c r="A74" s="99">
        <v>5</v>
      </c>
      <c r="B74" s="100" t="s">
        <v>116</v>
      </c>
      <c r="C74" s="97">
        <v>201216</v>
      </c>
      <c r="D74" s="97">
        <v>196963</v>
      </c>
      <c r="E74" s="97">
        <f t="shared" si="9"/>
        <v>-4253</v>
      </c>
      <c r="F74" s="98">
        <f t="shared" si="10"/>
        <v>-2.1136490139949109E-2</v>
      </c>
    </row>
    <row r="75" spans="1:6" ht="18" customHeight="1" x14ac:dyDescent="0.25">
      <c r="A75" s="99">
        <v>6</v>
      </c>
      <c r="B75" s="100" t="s">
        <v>117</v>
      </c>
      <c r="C75" s="97">
        <v>1511953</v>
      </c>
      <c r="D75" s="97">
        <v>1559209</v>
      </c>
      <c r="E75" s="97">
        <f t="shared" si="9"/>
        <v>47256</v>
      </c>
      <c r="F75" s="98">
        <f t="shared" si="10"/>
        <v>3.1254939803022977E-2</v>
      </c>
    </row>
    <row r="76" spans="1:6" ht="18" customHeight="1" x14ac:dyDescent="0.25">
      <c r="A76" s="99">
        <v>7</v>
      </c>
      <c r="B76" s="100" t="s">
        <v>118</v>
      </c>
      <c r="C76" s="97">
        <v>94209503</v>
      </c>
      <c r="D76" s="97">
        <v>96619352</v>
      </c>
      <c r="E76" s="97">
        <f t="shared" si="9"/>
        <v>2409849</v>
      </c>
      <c r="F76" s="98">
        <f t="shared" si="10"/>
        <v>2.5579680640073009E-2</v>
      </c>
    </row>
    <row r="77" spans="1:6" ht="18" customHeight="1" x14ac:dyDescent="0.25">
      <c r="A77" s="99">
        <v>8</v>
      </c>
      <c r="B77" s="100" t="s">
        <v>119</v>
      </c>
      <c r="C77" s="97">
        <v>4568741</v>
      </c>
      <c r="D77" s="97">
        <v>4513919</v>
      </c>
      <c r="E77" s="97">
        <f t="shared" si="9"/>
        <v>-54822</v>
      </c>
      <c r="F77" s="98">
        <f t="shared" si="10"/>
        <v>-1.1999367002857024E-2</v>
      </c>
    </row>
    <row r="78" spans="1:6" ht="18" customHeight="1" x14ac:dyDescent="0.25">
      <c r="A78" s="99">
        <v>9</v>
      </c>
      <c r="B78" s="100" t="s">
        <v>120</v>
      </c>
      <c r="C78" s="97">
        <v>5500273</v>
      </c>
      <c r="D78" s="97">
        <v>3015191</v>
      </c>
      <c r="E78" s="97">
        <f t="shared" si="9"/>
        <v>-2485082</v>
      </c>
      <c r="F78" s="98">
        <f t="shared" si="10"/>
        <v>-0.45181066467064451</v>
      </c>
    </row>
    <row r="79" spans="1:6" ht="18" customHeight="1" x14ac:dyDescent="0.25">
      <c r="A79" s="99">
        <v>10</v>
      </c>
      <c r="B79" s="100" t="s">
        <v>121</v>
      </c>
      <c r="C79" s="97">
        <v>1756436</v>
      </c>
      <c r="D79" s="97">
        <v>0</v>
      </c>
      <c r="E79" s="97">
        <f t="shared" si="9"/>
        <v>-1756436</v>
      </c>
      <c r="F79" s="98">
        <f t="shared" si="10"/>
        <v>-1</v>
      </c>
    </row>
    <row r="80" spans="1:6" ht="18" customHeight="1" x14ac:dyDescent="0.25">
      <c r="A80" s="99">
        <v>11</v>
      </c>
      <c r="B80" s="100" t="s">
        <v>122</v>
      </c>
      <c r="C80" s="97">
        <v>0</v>
      </c>
      <c r="D80" s="97">
        <v>0</v>
      </c>
      <c r="E80" s="97">
        <f t="shared" si="9"/>
        <v>0</v>
      </c>
      <c r="F80" s="98">
        <f t="shared" si="10"/>
        <v>0</v>
      </c>
    </row>
    <row r="81" spans="1:6" ht="18" customHeight="1" x14ac:dyDescent="0.25">
      <c r="A81" s="101"/>
      <c r="B81" s="102" t="s">
        <v>133</v>
      </c>
      <c r="C81" s="103">
        <f>SUM(C70:C80)</f>
        <v>172738743</v>
      </c>
      <c r="D81" s="103">
        <f>SUM(D70:D80)</f>
        <v>172715201</v>
      </c>
      <c r="E81" s="103">
        <f t="shared" si="9"/>
        <v>-23542</v>
      </c>
      <c r="F81" s="104">
        <f t="shared" si="10"/>
        <v>-1.3628673910171964E-4</v>
      </c>
    </row>
    <row r="82" spans="1:6" ht="18" customHeight="1" x14ac:dyDescent="0.25">
      <c r="A82" s="664" t="s">
        <v>127</v>
      </c>
      <c r="B82" s="666" t="s">
        <v>134</v>
      </c>
      <c r="C82" s="668"/>
      <c r="D82" s="669"/>
      <c r="E82" s="669"/>
      <c r="F82" s="670"/>
    </row>
    <row r="83" spans="1:6" ht="18" customHeight="1" x14ac:dyDescent="0.25">
      <c r="A83" s="665"/>
      <c r="B83" s="667"/>
      <c r="C83" s="671"/>
      <c r="D83" s="672"/>
      <c r="E83" s="672"/>
      <c r="F83" s="673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105204965</v>
      </c>
      <c r="D84" s="103">
        <f t="shared" si="11"/>
        <v>110929629</v>
      </c>
      <c r="E84" s="103">
        <f t="shared" ref="E84:E95" si="12">D84-C84</f>
        <v>5724664</v>
      </c>
      <c r="F84" s="104">
        <f t="shared" ref="F84:F95" si="13">IF(C84=0,0,E84/C84)</f>
        <v>5.4414390043283606E-2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23691028</v>
      </c>
      <c r="D85" s="103">
        <f t="shared" si="11"/>
        <v>26819900</v>
      </c>
      <c r="E85" s="103">
        <f t="shared" si="12"/>
        <v>3128872</v>
      </c>
      <c r="F85" s="104">
        <f t="shared" si="13"/>
        <v>0.13206991271125931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20064075</v>
      </c>
      <c r="D86" s="103">
        <f t="shared" si="11"/>
        <v>30214025</v>
      </c>
      <c r="E86" s="103">
        <f t="shared" si="12"/>
        <v>10149950</v>
      </c>
      <c r="F86" s="104">
        <f t="shared" si="13"/>
        <v>0.50587679721093548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29228895</v>
      </c>
      <c r="D87" s="103">
        <f t="shared" si="11"/>
        <v>29166818</v>
      </c>
      <c r="E87" s="103">
        <f t="shared" si="12"/>
        <v>-62077</v>
      </c>
      <c r="F87" s="104">
        <f t="shared" si="13"/>
        <v>-2.1238230182837907E-3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383302</v>
      </c>
      <c r="D88" s="103">
        <f t="shared" si="11"/>
        <v>464003</v>
      </c>
      <c r="E88" s="103">
        <f t="shared" si="12"/>
        <v>80701</v>
      </c>
      <c r="F88" s="104">
        <f t="shared" si="13"/>
        <v>0.21054155730990184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2834130</v>
      </c>
      <c r="D89" s="103">
        <f t="shared" si="11"/>
        <v>2523579</v>
      </c>
      <c r="E89" s="103">
        <f t="shared" si="12"/>
        <v>-310551</v>
      </c>
      <c r="F89" s="104">
        <f t="shared" si="13"/>
        <v>-0.10957542526277905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150634109</v>
      </c>
      <c r="D90" s="103">
        <f t="shared" si="11"/>
        <v>162086733</v>
      </c>
      <c r="E90" s="103">
        <f t="shared" si="12"/>
        <v>11452624</v>
      </c>
      <c r="F90" s="104">
        <f t="shared" si="13"/>
        <v>7.6029420401723224E-2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6137663</v>
      </c>
      <c r="D91" s="103">
        <f t="shared" si="11"/>
        <v>6664948</v>
      </c>
      <c r="E91" s="103">
        <f t="shared" si="12"/>
        <v>527285</v>
      </c>
      <c r="F91" s="104">
        <f t="shared" si="13"/>
        <v>8.5909734698695575E-2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6083766</v>
      </c>
      <c r="D92" s="103">
        <f t="shared" si="11"/>
        <v>3532090</v>
      </c>
      <c r="E92" s="103">
        <f t="shared" si="12"/>
        <v>-2551676</v>
      </c>
      <c r="F92" s="104">
        <f t="shared" si="13"/>
        <v>-0.41942375824448214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4451233</v>
      </c>
      <c r="D93" s="103">
        <f t="shared" si="11"/>
        <v>0</v>
      </c>
      <c r="E93" s="103">
        <f t="shared" si="12"/>
        <v>-4451233</v>
      </c>
      <c r="F93" s="104">
        <f t="shared" si="13"/>
        <v>-1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0</v>
      </c>
      <c r="D94" s="103">
        <f t="shared" si="11"/>
        <v>0</v>
      </c>
      <c r="E94" s="103">
        <f t="shared" si="12"/>
        <v>0</v>
      </c>
      <c r="F94" s="104">
        <f t="shared" si="13"/>
        <v>0</v>
      </c>
    </row>
    <row r="95" spans="1:6" ht="18.75" customHeight="1" thickBot="1" x14ac:dyDescent="0.3">
      <c r="A95" s="115"/>
      <c r="B95" s="116" t="s">
        <v>134</v>
      </c>
      <c r="C95" s="112">
        <f>SUM(C84:C94)</f>
        <v>348713166</v>
      </c>
      <c r="D95" s="112">
        <f>SUM(D84:D94)</f>
        <v>372401725</v>
      </c>
      <c r="E95" s="112">
        <f t="shared" si="12"/>
        <v>23688559</v>
      </c>
      <c r="F95" s="113">
        <f t="shared" si="13"/>
        <v>6.7931358232685715E-2</v>
      </c>
    </row>
    <row r="96" spans="1:6" ht="18" customHeight="1" x14ac:dyDescent="0.25">
      <c r="A96" s="664" t="s">
        <v>135</v>
      </c>
      <c r="B96" s="666" t="s">
        <v>136</v>
      </c>
      <c r="C96" s="668"/>
      <c r="D96" s="669"/>
      <c r="E96" s="669"/>
      <c r="F96" s="670"/>
    </row>
    <row r="97" spans="1:6" ht="18" customHeight="1" x14ac:dyDescent="0.25">
      <c r="A97" s="665"/>
      <c r="B97" s="667"/>
      <c r="C97" s="671"/>
      <c r="D97" s="672"/>
      <c r="E97" s="672"/>
      <c r="F97" s="673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7120</v>
      </c>
      <c r="D100" s="117">
        <v>7745</v>
      </c>
      <c r="E100" s="117">
        <f t="shared" ref="E100:E111" si="14">D100-C100</f>
        <v>625</v>
      </c>
      <c r="F100" s="98">
        <f t="shared" ref="F100:F111" si="15">IF(C100=0,0,E100/C100)</f>
        <v>8.7780898876404501E-2</v>
      </c>
    </row>
    <row r="101" spans="1:6" ht="18" customHeight="1" x14ac:dyDescent="0.25">
      <c r="A101" s="99">
        <v>2</v>
      </c>
      <c r="B101" s="100" t="s">
        <v>113</v>
      </c>
      <c r="C101" s="117">
        <v>1618</v>
      </c>
      <c r="D101" s="117">
        <v>1906</v>
      </c>
      <c r="E101" s="117">
        <f t="shared" si="14"/>
        <v>288</v>
      </c>
      <c r="F101" s="98">
        <f t="shared" si="15"/>
        <v>0.17799752781211373</v>
      </c>
    </row>
    <row r="102" spans="1:6" ht="18" customHeight="1" x14ac:dyDescent="0.25">
      <c r="A102" s="99">
        <v>3</v>
      </c>
      <c r="B102" s="100" t="s">
        <v>114</v>
      </c>
      <c r="C102" s="117">
        <v>1632</v>
      </c>
      <c r="D102" s="117">
        <v>2430</v>
      </c>
      <c r="E102" s="117">
        <f t="shared" si="14"/>
        <v>798</v>
      </c>
      <c r="F102" s="98">
        <f t="shared" si="15"/>
        <v>0.4889705882352941</v>
      </c>
    </row>
    <row r="103" spans="1:6" ht="18" customHeight="1" x14ac:dyDescent="0.25">
      <c r="A103" s="99">
        <v>4</v>
      </c>
      <c r="B103" s="100" t="s">
        <v>115</v>
      </c>
      <c r="C103" s="117">
        <v>2410</v>
      </c>
      <c r="D103" s="117">
        <v>2386</v>
      </c>
      <c r="E103" s="117">
        <f t="shared" si="14"/>
        <v>-24</v>
      </c>
      <c r="F103" s="98">
        <f t="shared" si="15"/>
        <v>-9.9585062240663894E-3</v>
      </c>
    </row>
    <row r="104" spans="1:6" ht="18" customHeight="1" x14ac:dyDescent="0.25">
      <c r="A104" s="99">
        <v>5</v>
      </c>
      <c r="B104" s="100" t="s">
        <v>116</v>
      </c>
      <c r="C104" s="117">
        <v>37</v>
      </c>
      <c r="D104" s="117">
        <v>46</v>
      </c>
      <c r="E104" s="117">
        <f t="shared" si="14"/>
        <v>9</v>
      </c>
      <c r="F104" s="98">
        <f t="shared" si="15"/>
        <v>0.24324324324324326</v>
      </c>
    </row>
    <row r="105" spans="1:6" ht="18" customHeight="1" x14ac:dyDescent="0.25">
      <c r="A105" s="99">
        <v>6</v>
      </c>
      <c r="B105" s="100" t="s">
        <v>117</v>
      </c>
      <c r="C105" s="117">
        <v>150</v>
      </c>
      <c r="D105" s="117">
        <v>141</v>
      </c>
      <c r="E105" s="117">
        <f t="shared" si="14"/>
        <v>-9</v>
      </c>
      <c r="F105" s="98">
        <f t="shared" si="15"/>
        <v>-0.06</v>
      </c>
    </row>
    <row r="106" spans="1:6" ht="18" customHeight="1" x14ac:dyDescent="0.25">
      <c r="A106" s="99">
        <v>7</v>
      </c>
      <c r="B106" s="100" t="s">
        <v>118</v>
      </c>
      <c r="C106" s="117">
        <v>5664</v>
      </c>
      <c r="D106" s="117">
        <v>5633</v>
      </c>
      <c r="E106" s="117">
        <f t="shared" si="14"/>
        <v>-31</v>
      </c>
      <c r="F106" s="98">
        <f t="shared" si="15"/>
        <v>-5.4731638418079095E-3</v>
      </c>
    </row>
    <row r="107" spans="1:6" ht="18" customHeight="1" x14ac:dyDescent="0.25">
      <c r="A107" s="99">
        <v>8</v>
      </c>
      <c r="B107" s="100" t="s">
        <v>119</v>
      </c>
      <c r="C107" s="117">
        <v>59</v>
      </c>
      <c r="D107" s="117">
        <v>72</v>
      </c>
      <c r="E107" s="117">
        <f t="shared" si="14"/>
        <v>13</v>
      </c>
      <c r="F107" s="98">
        <f t="shared" si="15"/>
        <v>0.22033898305084745</v>
      </c>
    </row>
    <row r="108" spans="1:6" ht="18" customHeight="1" x14ac:dyDescent="0.25">
      <c r="A108" s="99">
        <v>9</v>
      </c>
      <c r="B108" s="100" t="s">
        <v>120</v>
      </c>
      <c r="C108" s="117">
        <v>334</v>
      </c>
      <c r="D108" s="117">
        <v>187</v>
      </c>
      <c r="E108" s="117">
        <f t="shared" si="14"/>
        <v>-147</v>
      </c>
      <c r="F108" s="98">
        <f t="shared" si="15"/>
        <v>-0.44011976047904194</v>
      </c>
    </row>
    <row r="109" spans="1:6" ht="18" customHeight="1" x14ac:dyDescent="0.25">
      <c r="A109" s="99">
        <v>10</v>
      </c>
      <c r="B109" s="100" t="s">
        <v>121</v>
      </c>
      <c r="C109" s="117">
        <v>493</v>
      </c>
      <c r="D109" s="117">
        <v>0</v>
      </c>
      <c r="E109" s="117">
        <f t="shared" si="14"/>
        <v>-493</v>
      </c>
      <c r="F109" s="98">
        <f t="shared" si="15"/>
        <v>-1</v>
      </c>
    </row>
    <row r="110" spans="1:6" ht="18" customHeight="1" x14ac:dyDescent="0.25">
      <c r="A110" s="99">
        <v>11</v>
      </c>
      <c r="B110" s="100" t="s">
        <v>122</v>
      </c>
      <c r="C110" s="117">
        <v>0</v>
      </c>
      <c r="D110" s="117">
        <v>0</v>
      </c>
      <c r="E110" s="117">
        <f t="shared" si="14"/>
        <v>0</v>
      </c>
      <c r="F110" s="98">
        <f t="shared" si="15"/>
        <v>0</v>
      </c>
    </row>
    <row r="111" spans="1:6" ht="18" customHeight="1" x14ac:dyDescent="0.25">
      <c r="A111" s="101"/>
      <c r="B111" s="102" t="s">
        <v>138</v>
      </c>
      <c r="C111" s="118">
        <f>SUM(C100:C110)</f>
        <v>19517</v>
      </c>
      <c r="D111" s="118">
        <f>SUM(D100:D110)</f>
        <v>20546</v>
      </c>
      <c r="E111" s="118">
        <f t="shared" si="14"/>
        <v>1029</v>
      </c>
      <c r="F111" s="104">
        <f t="shared" si="15"/>
        <v>5.2723266895526977E-2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35022</v>
      </c>
      <c r="D113" s="117">
        <v>36724</v>
      </c>
      <c r="E113" s="117">
        <f t="shared" ref="E113:E124" si="16">D113-C113</f>
        <v>1702</v>
      </c>
      <c r="F113" s="98">
        <f t="shared" ref="F113:F124" si="17">IF(C113=0,0,E113/C113)</f>
        <v>4.8598024099137688E-2</v>
      </c>
    </row>
    <row r="114" spans="1:6" ht="18" customHeight="1" x14ac:dyDescent="0.25">
      <c r="A114" s="99">
        <v>2</v>
      </c>
      <c r="B114" s="100" t="s">
        <v>113</v>
      </c>
      <c r="C114" s="117">
        <v>7337</v>
      </c>
      <c r="D114" s="117">
        <v>8654</v>
      </c>
      <c r="E114" s="117">
        <f t="shared" si="16"/>
        <v>1317</v>
      </c>
      <c r="F114" s="98">
        <f t="shared" si="17"/>
        <v>0.17950115851165327</v>
      </c>
    </row>
    <row r="115" spans="1:6" ht="18" customHeight="1" x14ac:dyDescent="0.25">
      <c r="A115" s="99">
        <v>3</v>
      </c>
      <c r="B115" s="100" t="s">
        <v>114</v>
      </c>
      <c r="C115" s="117">
        <v>7840</v>
      </c>
      <c r="D115" s="117">
        <v>10822</v>
      </c>
      <c r="E115" s="117">
        <f t="shared" si="16"/>
        <v>2982</v>
      </c>
      <c r="F115" s="98">
        <f t="shared" si="17"/>
        <v>0.38035714285714284</v>
      </c>
    </row>
    <row r="116" spans="1:6" ht="18" customHeight="1" x14ac:dyDescent="0.25">
      <c r="A116" s="99">
        <v>4</v>
      </c>
      <c r="B116" s="100" t="s">
        <v>115</v>
      </c>
      <c r="C116" s="117">
        <v>6639</v>
      </c>
      <c r="D116" s="117">
        <v>7169</v>
      </c>
      <c r="E116" s="117">
        <f t="shared" si="16"/>
        <v>530</v>
      </c>
      <c r="F116" s="98">
        <f t="shared" si="17"/>
        <v>7.9831299894562432E-2</v>
      </c>
    </row>
    <row r="117" spans="1:6" ht="18" customHeight="1" x14ac:dyDescent="0.25">
      <c r="A117" s="99">
        <v>5</v>
      </c>
      <c r="B117" s="100" t="s">
        <v>116</v>
      </c>
      <c r="C117" s="117">
        <v>185</v>
      </c>
      <c r="D117" s="117">
        <v>129</v>
      </c>
      <c r="E117" s="117">
        <f t="shared" si="16"/>
        <v>-56</v>
      </c>
      <c r="F117" s="98">
        <f t="shared" si="17"/>
        <v>-0.30270270270270272</v>
      </c>
    </row>
    <row r="118" spans="1:6" ht="18" customHeight="1" x14ac:dyDescent="0.25">
      <c r="A118" s="99">
        <v>6</v>
      </c>
      <c r="B118" s="100" t="s">
        <v>117</v>
      </c>
      <c r="C118" s="117">
        <v>700</v>
      </c>
      <c r="D118" s="117">
        <v>582</v>
      </c>
      <c r="E118" s="117">
        <f t="shared" si="16"/>
        <v>-118</v>
      </c>
      <c r="F118" s="98">
        <f t="shared" si="17"/>
        <v>-0.16857142857142857</v>
      </c>
    </row>
    <row r="119" spans="1:6" ht="18" customHeight="1" x14ac:dyDescent="0.25">
      <c r="A119" s="99">
        <v>7</v>
      </c>
      <c r="B119" s="100" t="s">
        <v>118</v>
      </c>
      <c r="C119" s="117">
        <v>20290</v>
      </c>
      <c r="D119" s="117">
        <v>18280</v>
      </c>
      <c r="E119" s="117">
        <f t="shared" si="16"/>
        <v>-2010</v>
      </c>
      <c r="F119" s="98">
        <f t="shared" si="17"/>
        <v>-9.9063578117299156E-2</v>
      </c>
    </row>
    <row r="120" spans="1:6" ht="18" customHeight="1" x14ac:dyDescent="0.25">
      <c r="A120" s="99">
        <v>8</v>
      </c>
      <c r="B120" s="100" t="s">
        <v>119</v>
      </c>
      <c r="C120" s="117">
        <v>176</v>
      </c>
      <c r="D120" s="117">
        <v>229</v>
      </c>
      <c r="E120" s="117">
        <f t="shared" si="16"/>
        <v>53</v>
      </c>
      <c r="F120" s="98">
        <f t="shared" si="17"/>
        <v>0.30113636363636365</v>
      </c>
    </row>
    <row r="121" spans="1:6" ht="18" customHeight="1" x14ac:dyDescent="0.25">
      <c r="A121" s="99">
        <v>9</v>
      </c>
      <c r="B121" s="100" t="s">
        <v>120</v>
      </c>
      <c r="C121" s="117">
        <v>1083</v>
      </c>
      <c r="D121" s="117">
        <v>548</v>
      </c>
      <c r="E121" s="117">
        <f t="shared" si="16"/>
        <v>-535</v>
      </c>
      <c r="F121" s="98">
        <f t="shared" si="17"/>
        <v>-0.49399815327793167</v>
      </c>
    </row>
    <row r="122" spans="1:6" ht="18" customHeight="1" x14ac:dyDescent="0.25">
      <c r="A122" s="99">
        <v>10</v>
      </c>
      <c r="B122" s="100" t="s">
        <v>121</v>
      </c>
      <c r="C122" s="117">
        <v>2600</v>
      </c>
      <c r="D122" s="117">
        <v>0</v>
      </c>
      <c r="E122" s="117">
        <f t="shared" si="16"/>
        <v>-2600</v>
      </c>
      <c r="F122" s="98">
        <f t="shared" si="17"/>
        <v>-1</v>
      </c>
    </row>
    <row r="123" spans="1:6" ht="18" customHeight="1" x14ac:dyDescent="0.25">
      <c r="A123" s="99">
        <v>11</v>
      </c>
      <c r="B123" s="100" t="s">
        <v>122</v>
      </c>
      <c r="C123" s="117">
        <v>0</v>
      </c>
      <c r="D123" s="117">
        <v>0</v>
      </c>
      <c r="E123" s="117">
        <f t="shared" si="16"/>
        <v>0</v>
      </c>
      <c r="F123" s="98">
        <f t="shared" si="17"/>
        <v>0</v>
      </c>
    </row>
    <row r="124" spans="1:6" ht="18" customHeight="1" x14ac:dyDescent="0.25">
      <c r="A124" s="101"/>
      <c r="B124" s="102" t="s">
        <v>140</v>
      </c>
      <c r="C124" s="118">
        <f>SUM(C113:C123)</f>
        <v>81872</v>
      </c>
      <c r="D124" s="118">
        <f>SUM(D113:D123)</f>
        <v>83137</v>
      </c>
      <c r="E124" s="118">
        <f t="shared" si="16"/>
        <v>1265</v>
      </c>
      <c r="F124" s="104">
        <f t="shared" si="17"/>
        <v>1.545094782098886E-2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65986</v>
      </c>
      <c r="D126" s="117">
        <v>65822</v>
      </c>
      <c r="E126" s="117">
        <f t="shared" ref="E126:E137" si="18">D126-C126</f>
        <v>-164</v>
      </c>
      <c r="F126" s="98">
        <f t="shared" ref="F126:F137" si="19">IF(C126=0,0,E126/C126)</f>
        <v>-2.485375685751523E-3</v>
      </c>
    </row>
    <row r="127" spans="1:6" ht="18" customHeight="1" x14ac:dyDescent="0.25">
      <c r="A127" s="99">
        <v>2</v>
      </c>
      <c r="B127" s="100" t="s">
        <v>113</v>
      </c>
      <c r="C127" s="117">
        <v>17453</v>
      </c>
      <c r="D127" s="117">
        <v>19304</v>
      </c>
      <c r="E127" s="117">
        <f t="shared" si="18"/>
        <v>1851</v>
      </c>
      <c r="F127" s="98">
        <f t="shared" si="19"/>
        <v>0.10605626539849883</v>
      </c>
    </row>
    <row r="128" spans="1:6" ht="18" customHeight="1" x14ac:dyDescent="0.25">
      <c r="A128" s="99">
        <v>3</v>
      </c>
      <c r="B128" s="100" t="s">
        <v>114</v>
      </c>
      <c r="C128" s="117">
        <v>19187</v>
      </c>
      <c r="D128" s="117">
        <v>32194</v>
      </c>
      <c r="E128" s="117">
        <f t="shared" si="18"/>
        <v>13007</v>
      </c>
      <c r="F128" s="98">
        <f t="shared" si="19"/>
        <v>0.67790691614113718</v>
      </c>
    </row>
    <row r="129" spans="1:6" ht="18" customHeight="1" x14ac:dyDescent="0.25">
      <c r="A129" s="99">
        <v>4</v>
      </c>
      <c r="B129" s="100" t="s">
        <v>115</v>
      </c>
      <c r="C129" s="117">
        <v>38935</v>
      </c>
      <c r="D129" s="117">
        <v>38064</v>
      </c>
      <c r="E129" s="117">
        <f t="shared" si="18"/>
        <v>-871</v>
      </c>
      <c r="F129" s="98">
        <f t="shared" si="19"/>
        <v>-2.2370617696160267E-2</v>
      </c>
    </row>
    <row r="130" spans="1:6" ht="18" customHeight="1" x14ac:dyDescent="0.25">
      <c r="A130" s="99">
        <v>5</v>
      </c>
      <c r="B130" s="100" t="s">
        <v>116</v>
      </c>
      <c r="C130" s="117">
        <v>513</v>
      </c>
      <c r="D130" s="117">
        <v>512</v>
      </c>
      <c r="E130" s="117">
        <f t="shared" si="18"/>
        <v>-1</v>
      </c>
      <c r="F130" s="98">
        <f t="shared" si="19"/>
        <v>-1.9493177387914229E-3</v>
      </c>
    </row>
    <row r="131" spans="1:6" ht="18" customHeight="1" x14ac:dyDescent="0.25">
      <c r="A131" s="99">
        <v>6</v>
      </c>
      <c r="B131" s="100" t="s">
        <v>117</v>
      </c>
      <c r="C131" s="117">
        <v>3063</v>
      </c>
      <c r="D131" s="117">
        <v>2754</v>
      </c>
      <c r="E131" s="117">
        <f t="shared" si="18"/>
        <v>-309</v>
      </c>
      <c r="F131" s="98">
        <f t="shared" si="19"/>
        <v>-0.10088148873653281</v>
      </c>
    </row>
    <row r="132" spans="1:6" ht="18" customHeight="1" x14ac:dyDescent="0.25">
      <c r="A132" s="99">
        <v>7</v>
      </c>
      <c r="B132" s="100" t="s">
        <v>118</v>
      </c>
      <c r="C132" s="117">
        <v>110097</v>
      </c>
      <c r="D132" s="117">
        <v>101155</v>
      </c>
      <c r="E132" s="117">
        <f t="shared" si="18"/>
        <v>-8942</v>
      </c>
      <c r="F132" s="98">
        <f t="shared" si="19"/>
        <v>-8.1219288445643384E-2</v>
      </c>
    </row>
    <row r="133" spans="1:6" ht="18" customHeight="1" x14ac:dyDescent="0.25">
      <c r="A133" s="99">
        <v>8</v>
      </c>
      <c r="B133" s="100" t="s">
        <v>119</v>
      </c>
      <c r="C133" s="117">
        <v>1928</v>
      </c>
      <c r="D133" s="117">
        <v>1850</v>
      </c>
      <c r="E133" s="117">
        <f t="shared" si="18"/>
        <v>-78</v>
      </c>
      <c r="F133" s="98">
        <f t="shared" si="19"/>
        <v>-4.0456431535269712E-2</v>
      </c>
    </row>
    <row r="134" spans="1:6" ht="18" customHeight="1" x14ac:dyDescent="0.25">
      <c r="A134" s="99">
        <v>9</v>
      </c>
      <c r="B134" s="100" t="s">
        <v>120</v>
      </c>
      <c r="C134" s="117">
        <v>9925</v>
      </c>
      <c r="D134" s="117">
        <v>8891</v>
      </c>
      <c r="E134" s="117">
        <f t="shared" si="18"/>
        <v>-1034</v>
      </c>
      <c r="F134" s="98">
        <f t="shared" si="19"/>
        <v>-0.10418136020151134</v>
      </c>
    </row>
    <row r="135" spans="1:6" ht="18" customHeight="1" x14ac:dyDescent="0.25">
      <c r="A135" s="99">
        <v>10</v>
      </c>
      <c r="B135" s="100" t="s">
        <v>121</v>
      </c>
      <c r="C135" s="117">
        <v>6334</v>
      </c>
      <c r="D135" s="117">
        <v>0</v>
      </c>
      <c r="E135" s="117">
        <f t="shared" si="18"/>
        <v>-6334</v>
      </c>
      <c r="F135" s="98">
        <f t="shared" si="19"/>
        <v>-1</v>
      </c>
    </row>
    <row r="136" spans="1:6" ht="18" customHeight="1" x14ac:dyDescent="0.25">
      <c r="A136" s="99">
        <v>11</v>
      </c>
      <c r="B136" s="100" t="s">
        <v>122</v>
      </c>
      <c r="C136" s="117">
        <v>0</v>
      </c>
      <c r="D136" s="117">
        <v>0</v>
      </c>
      <c r="E136" s="117">
        <f t="shared" si="18"/>
        <v>0</v>
      </c>
      <c r="F136" s="98">
        <f t="shared" si="19"/>
        <v>0</v>
      </c>
    </row>
    <row r="137" spans="1:6" ht="18" customHeight="1" x14ac:dyDescent="0.25">
      <c r="A137" s="101"/>
      <c r="B137" s="102" t="s">
        <v>143</v>
      </c>
      <c r="C137" s="118">
        <f>SUM(C126:C136)</f>
        <v>273421</v>
      </c>
      <c r="D137" s="118">
        <f>SUM(D126:D136)</f>
        <v>270546</v>
      </c>
      <c r="E137" s="118">
        <f t="shared" si="18"/>
        <v>-2875</v>
      </c>
      <c r="F137" s="104">
        <f t="shared" si="19"/>
        <v>-1.0514920214614093E-2</v>
      </c>
    </row>
    <row r="138" spans="1:6" ht="18" customHeight="1" x14ac:dyDescent="0.25">
      <c r="A138" s="664" t="s">
        <v>144</v>
      </c>
      <c r="B138" s="666" t="s">
        <v>145</v>
      </c>
      <c r="C138" s="668"/>
      <c r="D138" s="669"/>
      <c r="E138" s="669"/>
      <c r="F138" s="670"/>
    </row>
    <row r="139" spans="1:6" ht="18" customHeight="1" x14ac:dyDescent="0.25">
      <c r="A139" s="665"/>
      <c r="B139" s="667"/>
      <c r="C139" s="671"/>
      <c r="D139" s="672"/>
      <c r="E139" s="672"/>
      <c r="F139" s="673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19024985</v>
      </c>
      <c r="D142" s="97">
        <v>21717090</v>
      </c>
      <c r="E142" s="97">
        <f t="shared" ref="E142:E153" si="20">D142-C142</f>
        <v>2692105</v>
      </c>
      <c r="F142" s="98">
        <f t="shared" ref="F142:F153" si="21">IF(C142=0,0,E142/C142)</f>
        <v>0.14150365952982355</v>
      </c>
    </row>
    <row r="143" spans="1:6" ht="18" customHeight="1" x14ac:dyDescent="0.25">
      <c r="A143" s="99">
        <v>2</v>
      </c>
      <c r="B143" s="100" t="s">
        <v>113</v>
      </c>
      <c r="C143" s="97">
        <v>4213977</v>
      </c>
      <c r="D143" s="97">
        <v>5729721</v>
      </c>
      <c r="E143" s="97">
        <f t="shared" si="20"/>
        <v>1515744</v>
      </c>
      <c r="F143" s="98">
        <f t="shared" si="21"/>
        <v>0.35969441693677967</v>
      </c>
    </row>
    <row r="144" spans="1:6" ht="18" customHeight="1" x14ac:dyDescent="0.25">
      <c r="A144" s="99">
        <v>3</v>
      </c>
      <c r="B144" s="100" t="s">
        <v>114</v>
      </c>
      <c r="C144" s="97">
        <v>12713481</v>
      </c>
      <c r="D144" s="97">
        <v>23819381</v>
      </c>
      <c r="E144" s="97">
        <f t="shared" si="20"/>
        <v>11105900</v>
      </c>
      <c r="F144" s="98">
        <f t="shared" si="21"/>
        <v>0.87355304184589566</v>
      </c>
    </row>
    <row r="145" spans="1:6" ht="18" customHeight="1" x14ac:dyDescent="0.25">
      <c r="A145" s="99">
        <v>4</v>
      </c>
      <c r="B145" s="100" t="s">
        <v>115</v>
      </c>
      <c r="C145" s="97">
        <v>26445296</v>
      </c>
      <c r="D145" s="97">
        <v>30126717</v>
      </c>
      <c r="E145" s="97">
        <f t="shared" si="20"/>
        <v>3681421</v>
      </c>
      <c r="F145" s="98">
        <f t="shared" si="21"/>
        <v>0.13920891639859126</v>
      </c>
    </row>
    <row r="146" spans="1:6" ht="18" customHeight="1" x14ac:dyDescent="0.25">
      <c r="A146" s="99">
        <v>5</v>
      </c>
      <c r="B146" s="100" t="s">
        <v>116</v>
      </c>
      <c r="C146" s="97">
        <v>293897</v>
      </c>
      <c r="D146" s="97">
        <v>368099</v>
      </c>
      <c r="E146" s="97">
        <f t="shared" si="20"/>
        <v>74202</v>
      </c>
      <c r="F146" s="98">
        <f t="shared" si="21"/>
        <v>0.25247620765097978</v>
      </c>
    </row>
    <row r="147" spans="1:6" ht="18" customHeight="1" x14ac:dyDescent="0.25">
      <c r="A147" s="99">
        <v>6</v>
      </c>
      <c r="B147" s="100" t="s">
        <v>117</v>
      </c>
      <c r="C147" s="97">
        <v>1460982</v>
      </c>
      <c r="D147" s="97">
        <v>1564978</v>
      </c>
      <c r="E147" s="97">
        <f t="shared" si="20"/>
        <v>103996</v>
      </c>
      <c r="F147" s="98">
        <f t="shared" si="21"/>
        <v>7.1182259603472187E-2</v>
      </c>
    </row>
    <row r="148" spans="1:6" ht="18" customHeight="1" x14ac:dyDescent="0.25">
      <c r="A148" s="99">
        <v>7</v>
      </c>
      <c r="B148" s="100" t="s">
        <v>118</v>
      </c>
      <c r="C148" s="97">
        <v>33005675</v>
      </c>
      <c r="D148" s="97">
        <v>35726501</v>
      </c>
      <c r="E148" s="97">
        <f t="shared" si="20"/>
        <v>2720826</v>
      </c>
      <c r="F148" s="98">
        <f t="shared" si="21"/>
        <v>8.2435096388727092E-2</v>
      </c>
    </row>
    <row r="149" spans="1:6" ht="18" customHeight="1" x14ac:dyDescent="0.25">
      <c r="A149" s="99">
        <v>8</v>
      </c>
      <c r="B149" s="100" t="s">
        <v>119</v>
      </c>
      <c r="C149" s="97">
        <v>1550679</v>
      </c>
      <c r="D149" s="97">
        <v>1803707</v>
      </c>
      <c r="E149" s="97">
        <f t="shared" si="20"/>
        <v>253028</v>
      </c>
      <c r="F149" s="98">
        <f t="shared" si="21"/>
        <v>0.16317239093326213</v>
      </c>
    </row>
    <row r="150" spans="1:6" ht="18" customHeight="1" x14ac:dyDescent="0.25">
      <c r="A150" s="99">
        <v>9</v>
      </c>
      <c r="B150" s="100" t="s">
        <v>120</v>
      </c>
      <c r="C150" s="97">
        <v>9344754</v>
      </c>
      <c r="D150" s="97">
        <v>9487407</v>
      </c>
      <c r="E150" s="97">
        <f t="shared" si="20"/>
        <v>142653</v>
      </c>
      <c r="F150" s="98">
        <f t="shared" si="21"/>
        <v>1.5265570393827381E-2</v>
      </c>
    </row>
    <row r="151" spans="1:6" ht="18" customHeight="1" x14ac:dyDescent="0.25">
      <c r="A151" s="99">
        <v>10</v>
      </c>
      <c r="B151" s="100" t="s">
        <v>121</v>
      </c>
      <c r="C151" s="97">
        <v>6471856</v>
      </c>
      <c r="D151" s="97">
        <v>0</v>
      </c>
      <c r="E151" s="97">
        <f t="shared" si="20"/>
        <v>-6471856</v>
      </c>
      <c r="F151" s="98">
        <f t="shared" si="21"/>
        <v>-1</v>
      </c>
    </row>
    <row r="152" spans="1:6" ht="18" customHeight="1" x14ac:dyDescent="0.25">
      <c r="A152" s="99">
        <v>11</v>
      </c>
      <c r="B152" s="100" t="s">
        <v>122</v>
      </c>
      <c r="C152" s="97">
        <v>0</v>
      </c>
      <c r="D152" s="97">
        <v>0</v>
      </c>
      <c r="E152" s="97">
        <f t="shared" si="20"/>
        <v>0</v>
      </c>
      <c r="F152" s="98">
        <f t="shared" si="21"/>
        <v>0</v>
      </c>
    </row>
    <row r="153" spans="1:6" ht="33.75" customHeight="1" x14ac:dyDescent="0.25">
      <c r="A153" s="101"/>
      <c r="B153" s="102" t="s">
        <v>147</v>
      </c>
      <c r="C153" s="103">
        <f>SUM(C142:C152)</f>
        <v>114525582</v>
      </c>
      <c r="D153" s="103">
        <f>SUM(D142:D152)</f>
        <v>130343601</v>
      </c>
      <c r="E153" s="103">
        <f t="shared" si="20"/>
        <v>15818019</v>
      </c>
      <c r="F153" s="104">
        <f t="shared" si="21"/>
        <v>0.13811777878587861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5070115</v>
      </c>
      <c r="D155" s="97">
        <v>5282010</v>
      </c>
      <c r="E155" s="97">
        <f t="shared" ref="E155:E166" si="22">D155-C155</f>
        <v>211895</v>
      </c>
      <c r="F155" s="98">
        <f t="shared" ref="F155:F166" si="23">IF(C155=0,0,E155/C155)</f>
        <v>4.1792937635536868E-2</v>
      </c>
    </row>
    <row r="156" spans="1:6" ht="18" customHeight="1" x14ac:dyDescent="0.25">
      <c r="A156" s="99">
        <v>2</v>
      </c>
      <c r="B156" s="100" t="s">
        <v>113</v>
      </c>
      <c r="C156" s="97">
        <v>1191207</v>
      </c>
      <c r="D156" s="97">
        <v>1397784</v>
      </c>
      <c r="E156" s="97">
        <f t="shared" si="22"/>
        <v>206577</v>
      </c>
      <c r="F156" s="98">
        <f t="shared" si="23"/>
        <v>0.17341822202186521</v>
      </c>
    </row>
    <row r="157" spans="1:6" ht="18" customHeight="1" x14ac:dyDescent="0.25">
      <c r="A157" s="99">
        <v>3</v>
      </c>
      <c r="B157" s="100" t="s">
        <v>114</v>
      </c>
      <c r="C157" s="97">
        <v>2909998</v>
      </c>
      <c r="D157" s="97">
        <v>4819493</v>
      </c>
      <c r="E157" s="97">
        <f t="shared" si="22"/>
        <v>1909495</v>
      </c>
      <c r="F157" s="98">
        <f t="shared" si="23"/>
        <v>0.65618429978302395</v>
      </c>
    </row>
    <row r="158" spans="1:6" ht="18" customHeight="1" x14ac:dyDescent="0.25">
      <c r="A158" s="99">
        <v>4</v>
      </c>
      <c r="B158" s="100" t="s">
        <v>115</v>
      </c>
      <c r="C158" s="97">
        <v>10399625</v>
      </c>
      <c r="D158" s="97">
        <v>11585593</v>
      </c>
      <c r="E158" s="97">
        <f t="shared" si="22"/>
        <v>1185968</v>
      </c>
      <c r="F158" s="98">
        <f t="shared" si="23"/>
        <v>0.11403949661646454</v>
      </c>
    </row>
    <row r="159" spans="1:6" ht="18" customHeight="1" x14ac:dyDescent="0.25">
      <c r="A159" s="99">
        <v>5</v>
      </c>
      <c r="B159" s="100" t="s">
        <v>116</v>
      </c>
      <c r="C159" s="97">
        <v>94677</v>
      </c>
      <c r="D159" s="97">
        <v>102357</v>
      </c>
      <c r="E159" s="97">
        <f t="shared" si="22"/>
        <v>7680</v>
      </c>
      <c r="F159" s="98">
        <f t="shared" si="23"/>
        <v>8.1117906144047652E-2</v>
      </c>
    </row>
    <row r="160" spans="1:6" ht="18" customHeight="1" x14ac:dyDescent="0.25">
      <c r="A160" s="99">
        <v>6</v>
      </c>
      <c r="B160" s="100" t="s">
        <v>117</v>
      </c>
      <c r="C160" s="97">
        <v>660516</v>
      </c>
      <c r="D160" s="97">
        <v>780670</v>
      </c>
      <c r="E160" s="97">
        <f t="shared" si="22"/>
        <v>120154</v>
      </c>
      <c r="F160" s="98">
        <f t="shared" si="23"/>
        <v>0.18190929515711959</v>
      </c>
    </row>
    <row r="161" spans="1:6" ht="18" customHeight="1" x14ac:dyDescent="0.25">
      <c r="A161" s="99">
        <v>7</v>
      </c>
      <c r="B161" s="100" t="s">
        <v>118</v>
      </c>
      <c r="C161" s="97">
        <v>25955249</v>
      </c>
      <c r="D161" s="97">
        <v>27289753</v>
      </c>
      <c r="E161" s="97">
        <f t="shared" si="22"/>
        <v>1334504</v>
      </c>
      <c r="F161" s="98">
        <f t="shared" si="23"/>
        <v>5.1415573011840493E-2</v>
      </c>
    </row>
    <row r="162" spans="1:6" ht="18" customHeight="1" x14ac:dyDescent="0.25">
      <c r="A162" s="99">
        <v>8</v>
      </c>
      <c r="B162" s="100" t="s">
        <v>119</v>
      </c>
      <c r="C162" s="97">
        <v>959255</v>
      </c>
      <c r="D162" s="97">
        <v>1158129</v>
      </c>
      <c r="E162" s="97">
        <f t="shared" si="22"/>
        <v>198874</v>
      </c>
      <c r="F162" s="98">
        <f t="shared" si="23"/>
        <v>0.2073213066390063</v>
      </c>
    </row>
    <row r="163" spans="1:6" ht="18" customHeight="1" x14ac:dyDescent="0.25">
      <c r="A163" s="99">
        <v>9</v>
      </c>
      <c r="B163" s="100" t="s">
        <v>120</v>
      </c>
      <c r="C163" s="97">
        <v>1147313</v>
      </c>
      <c r="D163" s="97">
        <v>1819403</v>
      </c>
      <c r="E163" s="97">
        <f t="shared" si="22"/>
        <v>672090</v>
      </c>
      <c r="F163" s="98">
        <f t="shared" si="23"/>
        <v>0.58579480926303462</v>
      </c>
    </row>
    <row r="164" spans="1:6" ht="18" customHeight="1" x14ac:dyDescent="0.25">
      <c r="A164" s="99">
        <v>10</v>
      </c>
      <c r="B164" s="100" t="s">
        <v>121</v>
      </c>
      <c r="C164" s="97">
        <v>1090861</v>
      </c>
      <c r="D164" s="97">
        <v>0</v>
      </c>
      <c r="E164" s="97">
        <f t="shared" si="22"/>
        <v>-1090861</v>
      </c>
      <c r="F164" s="98">
        <f t="shared" si="23"/>
        <v>-1</v>
      </c>
    </row>
    <row r="165" spans="1:6" ht="18" customHeight="1" x14ac:dyDescent="0.25">
      <c r="A165" s="99">
        <v>11</v>
      </c>
      <c r="B165" s="100" t="s">
        <v>122</v>
      </c>
      <c r="C165" s="97">
        <v>0</v>
      </c>
      <c r="D165" s="97">
        <v>0</v>
      </c>
      <c r="E165" s="97">
        <f t="shared" si="22"/>
        <v>0</v>
      </c>
      <c r="F165" s="98">
        <f t="shared" si="23"/>
        <v>0</v>
      </c>
    </row>
    <row r="166" spans="1:6" ht="33.75" customHeight="1" x14ac:dyDescent="0.25">
      <c r="A166" s="101"/>
      <c r="B166" s="102" t="s">
        <v>149</v>
      </c>
      <c r="C166" s="103">
        <f>SUM(C155:C165)</f>
        <v>49478816</v>
      </c>
      <c r="D166" s="103">
        <f>SUM(D155:D165)</f>
        <v>54235192</v>
      </c>
      <c r="E166" s="103">
        <f t="shared" si="22"/>
        <v>4756376</v>
      </c>
      <c r="F166" s="104">
        <f t="shared" si="23"/>
        <v>9.6129543601043324E-2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10870</v>
      </c>
      <c r="D168" s="117">
        <v>11641</v>
      </c>
      <c r="E168" s="117">
        <f t="shared" ref="E168:E179" si="24">D168-C168</f>
        <v>771</v>
      </c>
      <c r="F168" s="98">
        <f t="shared" ref="F168:F179" si="25">IF(C168=0,0,E168/C168)</f>
        <v>7.0929162833486659E-2</v>
      </c>
    </row>
    <row r="169" spans="1:6" ht="18" customHeight="1" x14ac:dyDescent="0.25">
      <c r="A169" s="99">
        <v>2</v>
      </c>
      <c r="B169" s="100" t="s">
        <v>113</v>
      </c>
      <c r="C169" s="117">
        <v>2260</v>
      </c>
      <c r="D169" s="117">
        <v>2805</v>
      </c>
      <c r="E169" s="117">
        <f t="shared" si="24"/>
        <v>545</v>
      </c>
      <c r="F169" s="98">
        <f t="shared" si="25"/>
        <v>0.24115044247787609</v>
      </c>
    </row>
    <row r="170" spans="1:6" ht="18" customHeight="1" x14ac:dyDescent="0.25">
      <c r="A170" s="99">
        <v>3</v>
      </c>
      <c r="B170" s="100" t="s">
        <v>114</v>
      </c>
      <c r="C170" s="117">
        <v>10318</v>
      </c>
      <c r="D170" s="117">
        <v>18521</v>
      </c>
      <c r="E170" s="117">
        <f t="shared" si="24"/>
        <v>8203</v>
      </c>
      <c r="F170" s="98">
        <f t="shared" si="25"/>
        <v>0.79501841442139953</v>
      </c>
    </row>
    <row r="171" spans="1:6" ht="18" customHeight="1" x14ac:dyDescent="0.25">
      <c r="A171" s="99">
        <v>4</v>
      </c>
      <c r="B171" s="100" t="s">
        <v>115</v>
      </c>
      <c r="C171" s="117">
        <v>27812</v>
      </c>
      <c r="D171" s="117">
        <v>29227</v>
      </c>
      <c r="E171" s="117">
        <f t="shared" si="24"/>
        <v>1415</v>
      </c>
      <c r="F171" s="98">
        <f t="shared" si="25"/>
        <v>5.0877319142816048E-2</v>
      </c>
    </row>
    <row r="172" spans="1:6" ht="18" customHeight="1" x14ac:dyDescent="0.25">
      <c r="A172" s="99">
        <v>5</v>
      </c>
      <c r="B172" s="100" t="s">
        <v>116</v>
      </c>
      <c r="C172" s="117">
        <v>260</v>
      </c>
      <c r="D172" s="117">
        <v>284</v>
      </c>
      <c r="E172" s="117">
        <f t="shared" si="24"/>
        <v>24</v>
      </c>
      <c r="F172" s="98">
        <f t="shared" si="25"/>
        <v>9.2307692307692313E-2</v>
      </c>
    </row>
    <row r="173" spans="1:6" ht="18" customHeight="1" x14ac:dyDescent="0.25">
      <c r="A173" s="99">
        <v>6</v>
      </c>
      <c r="B173" s="100" t="s">
        <v>117</v>
      </c>
      <c r="C173" s="117">
        <v>908</v>
      </c>
      <c r="D173" s="117">
        <v>946</v>
      </c>
      <c r="E173" s="117">
        <f t="shared" si="24"/>
        <v>38</v>
      </c>
      <c r="F173" s="98">
        <f t="shared" si="25"/>
        <v>4.185022026431718E-2</v>
      </c>
    </row>
    <row r="174" spans="1:6" ht="18" customHeight="1" x14ac:dyDescent="0.25">
      <c r="A174" s="99">
        <v>7</v>
      </c>
      <c r="B174" s="100" t="s">
        <v>118</v>
      </c>
      <c r="C174" s="117">
        <v>22732</v>
      </c>
      <c r="D174" s="117">
        <v>22613</v>
      </c>
      <c r="E174" s="117">
        <f t="shared" si="24"/>
        <v>-119</v>
      </c>
      <c r="F174" s="98">
        <f t="shared" si="25"/>
        <v>-5.2349111384831955E-3</v>
      </c>
    </row>
    <row r="175" spans="1:6" ht="18" customHeight="1" x14ac:dyDescent="0.25">
      <c r="A175" s="99">
        <v>8</v>
      </c>
      <c r="B175" s="100" t="s">
        <v>119</v>
      </c>
      <c r="C175" s="117">
        <v>1542</v>
      </c>
      <c r="D175" s="117">
        <v>1470</v>
      </c>
      <c r="E175" s="117">
        <f t="shared" si="24"/>
        <v>-72</v>
      </c>
      <c r="F175" s="98">
        <f t="shared" si="25"/>
        <v>-4.6692607003891051E-2</v>
      </c>
    </row>
    <row r="176" spans="1:6" ht="18" customHeight="1" x14ac:dyDescent="0.25">
      <c r="A176" s="99">
        <v>9</v>
      </c>
      <c r="B176" s="100" t="s">
        <v>120</v>
      </c>
      <c r="C176" s="117">
        <v>8239</v>
      </c>
      <c r="D176" s="117">
        <v>7328</v>
      </c>
      <c r="E176" s="117">
        <f t="shared" si="24"/>
        <v>-911</v>
      </c>
      <c r="F176" s="98">
        <f t="shared" si="25"/>
        <v>-0.11057167131933487</v>
      </c>
    </row>
    <row r="177" spans="1:6" ht="18" customHeight="1" x14ac:dyDescent="0.25">
      <c r="A177" s="99">
        <v>10</v>
      </c>
      <c r="B177" s="100" t="s">
        <v>121</v>
      </c>
      <c r="C177" s="117">
        <v>5670</v>
      </c>
      <c r="D177" s="117">
        <v>0</v>
      </c>
      <c r="E177" s="117">
        <f t="shared" si="24"/>
        <v>-5670</v>
      </c>
      <c r="F177" s="98">
        <f t="shared" si="25"/>
        <v>-1</v>
      </c>
    </row>
    <row r="178" spans="1:6" ht="18" customHeight="1" x14ac:dyDescent="0.25">
      <c r="A178" s="99">
        <v>11</v>
      </c>
      <c r="B178" s="100" t="s">
        <v>122</v>
      </c>
      <c r="C178" s="117">
        <v>0</v>
      </c>
      <c r="D178" s="117">
        <v>0</v>
      </c>
      <c r="E178" s="117">
        <f t="shared" si="24"/>
        <v>0</v>
      </c>
      <c r="F178" s="98">
        <f t="shared" si="25"/>
        <v>0</v>
      </c>
    </row>
    <row r="179" spans="1:6" ht="33.75" customHeight="1" x14ac:dyDescent="0.25">
      <c r="A179" s="101"/>
      <c r="B179" s="102" t="s">
        <v>151</v>
      </c>
      <c r="C179" s="118">
        <f>SUM(C168:C178)</f>
        <v>90611</v>
      </c>
      <c r="D179" s="118">
        <f>SUM(D168:D178)</f>
        <v>94835</v>
      </c>
      <c r="E179" s="118">
        <f t="shared" si="24"/>
        <v>4224</v>
      </c>
      <c r="F179" s="104">
        <f t="shared" si="25"/>
        <v>4.6616856673030865E-2</v>
      </c>
    </row>
  </sheetData>
  <mergeCells count="23"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10:A11"/>
    <mergeCell ref="B10:B11"/>
    <mergeCell ref="C10:F11"/>
    <mergeCell ref="A39:A40"/>
    <mergeCell ref="B39:B40"/>
    <mergeCell ref="C39:F40"/>
    <mergeCell ref="A2:F2"/>
    <mergeCell ref="A3:F3"/>
    <mergeCell ref="A4:F4"/>
    <mergeCell ref="A5:F5"/>
    <mergeCell ref="C9:F9"/>
  </mergeCells>
  <printOptions horizontalCentered="1"/>
  <pageMargins left="0.25" right="0.25" top="0.5" bottom="0.5" header="0.25" footer="0.25"/>
  <pageSetup paperSize="9" scale="65" fitToHeight="2" orientation="portrait" horizontalDpi="1200" verticalDpi="1200" r:id="rId1"/>
  <headerFooter>
    <oddHeader>&amp;LOFFICE OF HEALTH CARE ACCESS&amp;CTWELVE MONTHS ACTUAL FILING&amp;RTHE HOSPITAL OF CENTRAL CONNECTICUT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zoomScale="75" workbookViewId="0"/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7.425781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50879413</v>
      </c>
      <c r="D15" s="146">
        <v>51622907</v>
      </c>
      <c r="E15" s="146">
        <f>+D15-C15</f>
        <v>743494</v>
      </c>
      <c r="F15" s="150">
        <f>IF(C15=0,0,E15/C15)</f>
        <v>1.4612865128770256E-2</v>
      </c>
    </row>
    <row r="16" spans="1:7" ht="15" customHeight="1" x14ac:dyDescent="0.2">
      <c r="A16" s="141">
        <v>2</v>
      </c>
      <c r="B16" s="149" t="s">
        <v>158</v>
      </c>
      <c r="C16" s="146">
        <v>22602893</v>
      </c>
      <c r="D16" s="146">
        <v>22878615</v>
      </c>
      <c r="E16" s="146">
        <f>+D16-C16</f>
        <v>275722</v>
      </c>
      <c r="F16" s="150">
        <f>IF(C16=0,0,E16/C16)</f>
        <v>1.2198526976170704E-2</v>
      </c>
    </row>
    <row r="17" spans="1:7" ht="15" customHeight="1" x14ac:dyDescent="0.2">
      <c r="A17" s="141">
        <v>3</v>
      </c>
      <c r="B17" s="149" t="s">
        <v>159</v>
      </c>
      <c r="C17" s="146">
        <v>71923201</v>
      </c>
      <c r="D17" s="146">
        <v>78660567</v>
      </c>
      <c r="E17" s="146">
        <f>+D17-C17</f>
        <v>6737366</v>
      </c>
      <c r="F17" s="150">
        <f>IF(C17=0,0,E17/C17)</f>
        <v>9.3674445885688545E-2</v>
      </c>
    </row>
    <row r="18" spans="1:7" ht="15.75" customHeight="1" x14ac:dyDescent="0.25">
      <c r="A18" s="141"/>
      <c r="B18" s="151" t="s">
        <v>160</v>
      </c>
      <c r="C18" s="147">
        <f>SUM(C15:C17)</f>
        <v>145405507</v>
      </c>
      <c r="D18" s="147">
        <f>SUM(D15:D17)</f>
        <v>153162089</v>
      </c>
      <c r="E18" s="147">
        <f>+D18-C18</f>
        <v>7756582</v>
      </c>
      <c r="F18" s="148">
        <f>IF(C18=0,0,E18/C18)</f>
        <v>5.3344485776594418E-2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18188771</v>
      </c>
      <c r="D21" s="146">
        <v>17765212</v>
      </c>
      <c r="E21" s="146">
        <f>+D21-C21</f>
        <v>-423559</v>
      </c>
      <c r="F21" s="150">
        <f>IF(C21=0,0,E21/C21)</f>
        <v>-2.3286839995951349E-2</v>
      </c>
    </row>
    <row r="22" spans="1:7" ht="15" customHeight="1" x14ac:dyDescent="0.2">
      <c r="A22" s="141">
        <v>2</v>
      </c>
      <c r="B22" s="149" t="s">
        <v>163</v>
      </c>
      <c r="C22" s="146">
        <v>8080259</v>
      </c>
      <c r="D22" s="146">
        <v>7724018</v>
      </c>
      <c r="E22" s="146">
        <f>+D22-C22</f>
        <v>-356241</v>
      </c>
      <c r="F22" s="150">
        <f>IF(C22=0,0,E22/C22)</f>
        <v>-4.4087819462222684E-2</v>
      </c>
    </row>
    <row r="23" spans="1:7" ht="15" customHeight="1" x14ac:dyDescent="0.2">
      <c r="A23" s="141">
        <v>3</v>
      </c>
      <c r="B23" s="149" t="s">
        <v>164</v>
      </c>
      <c r="C23" s="146">
        <v>25711669</v>
      </c>
      <c r="D23" s="146">
        <v>26670431</v>
      </c>
      <c r="E23" s="146">
        <f>+D23-C23</f>
        <v>958762</v>
      </c>
      <c r="F23" s="150">
        <f>IF(C23=0,0,E23/C23)</f>
        <v>3.7288983457277707E-2</v>
      </c>
    </row>
    <row r="24" spans="1:7" ht="15.75" customHeight="1" x14ac:dyDescent="0.25">
      <c r="A24" s="141"/>
      <c r="B24" s="151" t="s">
        <v>165</v>
      </c>
      <c r="C24" s="147">
        <f>SUM(C21:C23)</f>
        <v>51980699</v>
      </c>
      <c r="D24" s="147">
        <f>SUM(D21:D23)</f>
        <v>52159661</v>
      </c>
      <c r="E24" s="147">
        <f>+D24-C24</f>
        <v>178962</v>
      </c>
      <c r="F24" s="148">
        <f>IF(C24=0,0,E24/C24)</f>
        <v>3.442854818093154E-3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305670</v>
      </c>
      <c r="D27" s="146">
        <v>610686</v>
      </c>
      <c r="E27" s="146">
        <f>+D27-C27</f>
        <v>305016</v>
      </c>
      <c r="F27" s="150">
        <f>IF(C27=0,0,E27/C27)</f>
        <v>0.99786043772696043</v>
      </c>
    </row>
    <row r="28" spans="1:7" ht="15" customHeight="1" x14ac:dyDescent="0.2">
      <c r="A28" s="141">
        <v>2</v>
      </c>
      <c r="B28" s="149" t="s">
        <v>168</v>
      </c>
      <c r="C28" s="146">
        <v>9990396</v>
      </c>
      <c r="D28" s="146">
        <v>11127118</v>
      </c>
      <c r="E28" s="146">
        <f>+D28-C28</f>
        <v>1136722</v>
      </c>
      <c r="F28" s="150">
        <f>IF(C28=0,0,E28/C28)</f>
        <v>0.11378147572929041</v>
      </c>
    </row>
    <row r="29" spans="1:7" ht="15" customHeight="1" x14ac:dyDescent="0.2">
      <c r="A29" s="141">
        <v>3</v>
      </c>
      <c r="B29" s="149" t="s">
        <v>169</v>
      </c>
      <c r="C29" s="146">
        <v>8818919</v>
      </c>
      <c r="D29" s="146">
        <v>8265109</v>
      </c>
      <c r="E29" s="146">
        <f>+D29-C29</f>
        <v>-553810</v>
      </c>
      <c r="F29" s="150">
        <f>IF(C29=0,0,E29/C29)</f>
        <v>-6.2797946097475216E-2</v>
      </c>
    </row>
    <row r="30" spans="1:7" ht="15.75" customHeight="1" x14ac:dyDescent="0.25">
      <c r="A30" s="141"/>
      <c r="B30" s="151" t="s">
        <v>170</v>
      </c>
      <c r="C30" s="147">
        <f>SUM(C27:C29)</f>
        <v>19114985</v>
      </c>
      <c r="D30" s="147">
        <f>SUM(D27:D29)</f>
        <v>20002913</v>
      </c>
      <c r="E30" s="147">
        <f>+D30-C30</f>
        <v>887928</v>
      </c>
      <c r="F30" s="148">
        <f>IF(C30=0,0,E30/C30)</f>
        <v>4.6451932868375255E-2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41501554</v>
      </c>
      <c r="D33" s="146">
        <v>40061390</v>
      </c>
      <c r="E33" s="146">
        <f>+D33-C33</f>
        <v>-1440164</v>
      </c>
      <c r="F33" s="150">
        <f>IF(C33=0,0,E33/C33)</f>
        <v>-3.4701447565071902E-2</v>
      </c>
    </row>
    <row r="34" spans="1:7" ht="15" customHeight="1" x14ac:dyDescent="0.2">
      <c r="A34" s="141">
        <v>2</v>
      </c>
      <c r="B34" s="149" t="s">
        <v>174</v>
      </c>
      <c r="C34" s="146">
        <v>12665707</v>
      </c>
      <c r="D34" s="146">
        <v>12218531</v>
      </c>
      <c r="E34" s="146">
        <f>+D34-C34</f>
        <v>-447176</v>
      </c>
      <c r="F34" s="150">
        <f>IF(C34=0,0,E34/C34)</f>
        <v>-3.5306043318387201E-2</v>
      </c>
    </row>
    <row r="35" spans="1:7" ht="15.75" customHeight="1" x14ac:dyDescent="0.25">
      <c r="A35" s="141"/>
      <c r="B35" s="151" t="s">
        <v>175</v>
      </c>
      <c r="C35" s="147">
        <f>SUM(C33:C34)</f>
        <v>54167261</v>
      </c>
      <c r="D35" s="147">
        <f>SUM(D33:D34)</f>
        <v>52279921</v>
      </c>
      <c r="E35" s="147">
        <f>+D35-C35</f>
        <v>-1887340</v>
      </c>
      <c r="F35" s="148">
        <f>IF(C35=0,0,E35/C35)</f>
        <v>-3.4842817693883393E-2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7005610</v>
      </c>
      <c r="D38" s="146">
        <v>8029450</v>
      </c>
      <c r="E38" s="146">
        <f>+D38-C38</f>
        <v>1023840</v>
      </c>
      <c r="F38" s="150">
        <f>IF(C38=0,0,E38/C38)</f>
        <v>0.14614573177781806</v>
      </c>
    </row>
    <row r="39" spans="1:7" ht="15" customHeight="1" x14ac:dyDescent="0.2">
      <c r="A39" s="141">
        <v>2</v>
      </c>
      <c r="B39" s="149" t="s">
        <v>179</v>
      </c>
      <c r="C39" s="146">
        <v>10440685</v>
      </c>
      <c r="D39" s="146">
        <v>10650237</v>
      </c>
      <c r="E39" s="146">
        <f>+D39-C39</f>
        <v>209552</v>
      </c>
      <c r="F39" s="150">
        <f>IF(C39=0,0,E39/C39)</f>
        <v>2.0070713751061352E-2</v>
      </c>
    </row>
    <row r="40" spans="1:7" ht="15" customHeight="1" x14ac:dyDescent="0.2">
      <c r="A40" s="141">
        <v>3</v>
      </c>
      <c r="B40" s="149" t="s">
        <v>180</v>
      </c>
      <c r="C40" s="146">
        <v>50537</v>
      </c>
      <c r="D40" s="146">
        <v>0</v>
      </c>
      <c r="E40" s="146">
        <f>+D40-C40</f>
        <v>-50537</v>
      </c>
      <c r="F40" s="150">
        <f>IF(C40=0,0,E40/C40)</f>
        <v>-1</v>
      </c>
    </row>
    <row r="41" spans="1:7" ht="15.75" customHeight="1" x14ac:dyDescent="0.25">
      <c r="A41" s="141"/>
      <c r="B41" s="151" t="s">
        <v>181</v>
      </c>
      <c r="C41" s="147">
        <f>SUM(C38:C40)</f>
        <v>17496832</v>
      </c>
      <c r="D41" s="147">
        <f>SUM(D38:D40)</f>
        <v>18679687</v>
      </c>
      <c r="E41" s="147">
        <f>+D41-C41</f>
        <v>1182855</v>
      </c>
      <c r="F41" s="148">
        <f>IF(C41=0,0,E41/C41)</f>
        <v>6.7603952532664199E-2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9548336</v>
      </c>
      <c r="D44" s="146">
        <v>1140529</v>
      </c>
      <c r="E44" s="146">
        <f>+D44-C44</f>
        <v>-8407807</v>
      </c>
      <c r="F44" s="150">
        <f>IF(C44=0,0,E44/C44)</f>
        <v>-0.88055206687322274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1545904</v>
      </c>
      <c r="D47" s="146">
        <v>837138</v>
      </c>
      <c r="E47" s="146">
        <f>+D47-C47</f>
        <v>-708766</v>
      </c>
      <c r="F47" s="150">
        <f>IF(C47=0,0,E47/C47)</f>
        <v>-0.45847995735828356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7398814</v>
      </c>
      <c r="D50" s="146">
        <v>6815328</v>
      </c>
      <c r="E50" s="146">
        <f>+D50-C50</f>
        <v>-583486</v>
      </c>
      <c r="F50" s="150">
        <f>IF(C50=0,0,E50/C50)</f>
        <v>-7.8862098709333681E-2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190287</v>
      </c>
      <c r="D53" s="146">
        <v>197189</v>
      </c>
      <c r="E53" s="146">
        <f t="shared" ref="E53:E59" si="0">+D53-C53</f>
        <v>6902</v>
      </c>
      <c r="F53" s="150">
        <f t="shared" ref="F53:F59" si="1">IF(C53=0,0,E53/C53)</f>
        <v>3.6271526693888702E-2</v>
      </c>
    </row>
    <row r="54" spans="1:7" ht="15" customHeight="1" x14ac:dyDescent="0.2">
      <c r="A54" s="141">
        <v>2</v>
      </c>
      <c r="B54" s="149" t="s">
        <v>193</v>
      </c>
      <c r="C54" s="146">
        <v>1180467</v>
      </c>
      <c r="D54" s="146">
        <v>1463904</v>
      </c>
      <c r="E54" s="146">
        <f t="shared" si="0"/>
        <v>283437</v>
      </c>
      <c r="F54" s="150">
        <f t="shared" si="1"/>
        <v>0.24010582252616972</v>
      </c>
    </row>
    <row r="55" spans="1:7" ht="15" customHeight="1" x14ac:dyDescent="0.2">
      <c r="A55" s="141">
        <v>3</v>
      </c>
      <c r="B55" s="149" t="s">
        <v>194</v>
      </c>
      <c r="C55" s="146">
        <v>271263</v>
      </c>
      <c r="D55" s="146">
        <v>47984</v>
      </c>
      <c r="E55" s="146">
        <f t="shared" si="0"/>
        <v>-223279</v>
      </c>
      <c r="F55" s="150">
        <f t="shared" si="1"/>
        <v>-0.82310893855778344</v>
      </c>
    </row>
    <row r="56" spans="1:7" ht="15" customHeight="1" x14ac:dyDescent="0.2">
      <c r="A56" s="141">
        <v>4</v>
      </c>
      <c r="B56" s="149" t="s">
        <v>195</v>
      </c>
      <c r="C56" s="146">
        <v>3729852</v>
      </c>
      <c r="D56" s="146">
        <v>3955521</v>
      </c>
      <c r="E56" s="146">
        <f t="shared" si="0"/>
        <v>225669</v>
      </c>
      <c r="F56" s="150">
        <f t="shared" si="1"/>
        <v>6.0503473060057072E-2</v>
      </c>
    </row>
    <row r="57" spans="1:7" ht="15" customHeight="1" x14ac:dyDescent="0.2">
      <c r="A57" s="141">
        <v>5</v>
      </c>
      <c r="B57" s="149" t="s">
        <v>196</v>
      </c>
      <c r="C57" s="146">
        <v>666365</v>
      </c>
      <c r="D57" s="146">
        <v>706596</v>
      </c>
      <c r="E57" s="146">
        <f t="shared" si="0"/>
        <v>40231</v>
      </c>
      <c r="F57" s="150">
        <f t="shared" si="1"/>
        <v>6.0373819153166808E-2</v>
      </c>
    </row>
    <row r="58" spans="1:7" ht="15" customHeight="1" x14ac:dyDescent="0.2">
      <c r="A58" s="141">
        <v>6</v>
      </c>
      <c r="B58" s="149" t="s">
        <v>197</v>
      </c>
      <c r="C58" s="146">
        <v>29098</v>
      </c>
      <c r="D58" s="146">
        <v>208947</v>
      </c>
      <c r="E58" s="146">
        <f t="shared" si="0"/>
        <v>179849</v>
      </c>
      <c r="F58" s="150">
        <f t="shared" si="1"/>
        <v>6.180802804316448</v>
      </c>
    </row>
    <row r="59" spans="1:7" ht="15.75" customHeight="1" x14ac:dyDescent="0.25">
      <c r="A59" s="141"/>
      <c r="B59" s="151" t="s">
        <v>198</v>
      </c>
      <c r="C59" s="147">
        <f>SUM(C53:C58)</f>
        <v>6067332</v>
      </c>
      <c r="D59" s="147">
        <f>SUM(D53:D58)</f>
        <v>6580141</v>
      </c>
      <c r="E59" s="147">
        <f t="shared" si="0"/>
        <v>512809</v>
      </c>
      <c r="F59" s="148">
        <f t="shared" si="1"/>
        <v>8.4519686742047406E-2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146067</v>
      </c>
      <c r="D62" s="146">
        <v>567309</v>
      </c>
      <c r="E62" s="146">
        <f t="shared" ref="E62:E78" si="2">+D62-C62</f>
        <v>421242</v>
      </c>
      <c r="F62" s="150">
        <f t="shared" ref="F62:F78" si="3">IF(C62=0,0,E62/C62)</f>
        <v>2.883895746472509</v>
      </c>
    </row>
    <row r="63" spans="1:7" ht="15" customHeight="1" x14ac:dyDescent="0.2">
      <c r="A63" s="141">
        <v>2</v>
      </c>
      <c r="B63" s="149" t="s">
        <v>202</v>
      </c>
      <c r="C63" s="146">
        <v>637620</v>
      </c>
      <c r="D63" s="146">
        <v>743334</v>
      </c>
      <c r="E63" s="146">
        <f t="shared" si="2"/>
        <v>105714</v>
      </c>
      <c r="F63" s="150">
        <f t="shared" si="3"/>
        <v>0.16579467394372824</v>
      </c>
    </row>
    <row r="64" spans="1:7" ht="15" customHeight="1" x14ac:dyDescent="0.2">
      <c r="A64" s="141">
        <v>3</v>
      </c>
      <c r="B64" s="149" t="s">
        <v>203</v>
      </c>
      <c r="C64" s="146">
        <v>1196616</v>
      </c>
      <c r="D64" s="146">
        <v>1004629</v>
      </c>
      <c r="E64" s="146">
        <f t="shared" si="2"/>
        <v>-191987</v>
      </c>
      <c r="F64" s="150">
        <f t="shared" si="3"/>
        <v>-0.16044161201254203</v>
      </c>
    </row>
    <row r="65" spans="1:7" ht="15" customHeight="1" x14ac:dyDescent="0.2">
      <c r="A65" s="141">
        <v>4</v>
      </c>
      <c r="B65" s="149" t="s">
        <v>204</v>
      </c>
      <c r="C65" s="146">
        <v>723238</v>
      </c>
      <c r="D65" s="146">
        <v>800266</v>
      </c>
      <c r="E65" s="146">
        <f t="shared" si="2"/>
        <v>77028</v>
      </c>
      <c r="F65" s="150">
        <f t="shared" si="3"/>
        <v>0.10650435956075317</v>
      </c>
    </row>
    <row r="66" spans="1:7" ht="15" customHeight="1" x14ac:dyDescent="0.2">
      <c r="A66" s="141">
        <v>5</v>
      </c>
      <c r="B66" s="149" t="s">
        <v>205</v>
      </c>
      <c r="C66" s="146">
        <v>2017154</v>
      </c>
      <c r="D66" s="146">
        <v>2632453</v>
      </c>
      <c r="E66" s="146">
        <f t="shared" si="2"/>
        <v>615299</v>
      </c>
      <c r="F66" s="150">
        <f t="shared" si="3"/>
        <v>0.30503322998640658</v>
      </c>
    </row>
    <row r="67" spans="1:7" ht="15" customHeight="1" x14ac:dyDescent="0.2">
      <c r="A67" s="141">
        <v>6</v>
      </c>
      <c r="B67" s="149" t="s">
        <v>206</v>
      </c>
      <c r="C67" s="146">
        <v>1674453</v>
      </c>
      <c r="D67" s="146">
        <v>2004575</v>
      </c>
      <c r="E67" s="146">
        <f t="shared" si="2"/>
        <v>330122</v>
      </c>
      <c r="F67" s="150">
        <f t="shared" si="3"/>
        <v>0.19715214461080724</v>
      </c>
    </row>
    <row r="68" spans="1:7" ht="15" customHeight="1" x14ac:dyDescent="0.2">
      <c r="A68" s="141">
        <v>7</v>
      </c>
      <c r="B68" s="149" t="s">
        <v>207</v>
      </c>
      <c r="C68" s="146">
        <v>5500256</v>
      </c>
      <c r="D68" s="146">
        <v>5767418</v>
      </c>
      <c r="E68" s="146">
        <f t="shared" si="2"/>
        <v>267162</v>
      </c>
      <c r="F68" s="150">
        <f t="shared" si="3"/>
        <v>4.857264825491759E-2</v>
      </c>
    </row>
    <row r="69" spans="1:7" ht="15" customHeight="1" x14ac:dyDescent="0.2">
      <c r="A69" s="141">
        <v>8</v>
      </c>
      <c r="B69" s="149" t="s">
        <v>208</v>
      </c>
      <c r="C69" s="146">
        <v>475273</v>
      </c>
      <c r="D69" s="146">
        <v>545680</v>
      </c>
      <c r="E69" s="146">
        <f t="shared" si="2"/>
        <v>70407</v>
      </c>
      <c r="F69" s="150">
        <f t="shared" si="3"/>
        <v>0.14814012157223322</v>
      </c>
    </row>
    <row r="70" spans="1:7" ht="15" customHeight="1" x14ac:dyDescent="0.2">
      <c r="A70" s="141">
        <v>9</v>
      </c>
      <c r="B70" s="149" t="s">
        <v>209</v>
      </c>
      <c r="C70" s="146">
        <v>576825</v>
      </c>
      <c r="D70" s="146">
        <v>698250</v>
      </c>
      <c r="E70" s="146">
        <f t="shared" si="2"/>
        <v>121425</v>
      </c>
      <c r="F70" s="150">
        <f t="shared" si="3"/>
        <v>0.21050578598361722</v>
      </c>
    </row>
    <row r="71" spans="1:7" ht="15" customHeight="1" x14ac:dyDescent="0.2">
      <c r="A71" s="141">
        <v>10</v>
      </c>
      <c r="B71" s="149" t="s">
        <v>210</v>
      </c>
      <c r="C71" s="146">
        <v>111353</v>
      </c>
      <c r="D71" s="146">
        <v>206375</v>
      </c>
      <c r="E71" s="146">
        <f t="shared" si="2"/>
        <v>95022</v>
      </c>
      <c r="F71" s="150">
        <f t="shared" si="3"/>
        <v>0.85334027821432745</v>
      </c>
    </row>
    <row r="72" spans="1:7" ht="15" customHeight="1" x14ac:dyDescent="0.2">
      <c r="A72" s="141">
        <v>11</v>
      </c>
      <c r="B72" s="149" t="s">
        <v>211</v>
      </c>
      <c r="C72" s="146">
        <v>261743</v>
      </c>
      <c r="D72" s="146">
        <v>224088</v>
      </c>
      <c r="E72" s="146">
        <f t="shared" si="2"/>
        <v>-37655</v>
      </c>
      <c r="F72" s="150">
        <f t="shared" si="3"/>
        <v>-0.14386249106948418</v>
      </c>
    </row>
    <row r="73" spans="1:7" ht="15" customHeight="1" x14ac:dyDescent="0.2">
      <c r="A73" s="141">
        <v>12</v>
      </c>
      <c r="B73" s="149" t="s">
        <v>212</v>
      </c>
      <c r="C73" s="146">
        <v>1118649</v>
      </c>
      <c r="D73" s="146">
        <v>1087862</v>
      </c>
      <c r="E73" s="146">
        <f t="shared" si="2"/>
        <v>-30787</v>
      </c>
      <c r="F73" s="150">
        <f t="shared" si="3"/>
        <v>-2.7521590776016427E-2</v>
      </c>
    </row>
    <row r="74" spans="1:7" ht="15" customHeight="1" x14ac:dyDescent="0.2">
      <c r="A74" s="141">
        <v>13</v>
      </c>
      <c r="B74" s="149" t="s">
        <v>213</v>
      </c>
      <c r="C74" s="146">
        <v>127143</v>
      </c>
      <c r="D74" s="146">
        <v>284598</v>
      </c>
      <c r="E74" s="146">
        <f t="shared" si="2"/>
        <v>157455</v>
      </c>
      <c r="F74" s="150">
        <f t="shared" si="3"/>
        <v>1.2384087208890777</v>
      </c>
    </row>
    <row r="75" spans="1:7" ht="15" customHeight="1" x14ac:dyDescent="0.2">
      <c r="A75" s="141">
        <v>14</v>
      </c>
      <c r="B75" s="149" t="s">
        <v>214</v>
      </c>
      <c r="C75" s="146">
        <v>476842</v>
      </c>
      <c r="D75" s="146">
        <v>436892</v>
      </c>
      <c r="E75" s="146">
        <f t="shared" si="2"/>
        <v>-39950</v>
      </c>
      <c r="F75" s="150">
        <f t="shared" si="3"/>
        <v>-8.378037169544629E-2</v>
      </c>
    </row>
    <row r="76" spans="1:7" ht="15" customHeight="1" x14ac:dyDescent="0.2">
      <c r="A76" s="141">
        <v>15</v>
      </c>
      <c r="B76" s="149" t="s">
        <v>215</v>
      </c>
      <c r="C76" s="146">
        <v>654378</v>
      </c>
      <c r="D76" s="146">
        <v>455651</v>
      </c>
      <c r="E76" s="146">
        <f t="shared" si="2"/>
        <v>-198727</v>
      </c>
      <c r="F76" s="150">
        <f t="shared" si="3"/>
        <v>-0.30368838805705572</v>
      </c>
    </row>
    <row r="77" spans="1:7" ht="15" customHeight="1" x14ac:dyDescent="0.2">
      <c r="A77" s="141">
        <v>16</v>
      </c>
      <c r="B77" s="149" t="s">
        <v>216</v>
      </c>
      <c r="C77" s="146">
        <v>52876049</v>
      </c>
      <c r="D77" s="146">
        <v>36445805</v>
      </c>
      <c r="E77" s="146">
        <f t="shared" si="2"/>
        <v>-16430244</v>
      </c>
      <c r="F77" s="150">
        <f t="shared" si="3"/>
        <v>-0.31073131050317321</v>
      </c>
    </row>
    <row r="78" spans="1:7" ht="15.75" customHeight="1" x14ac:dyDescent="0.25">
      <c r="A78" s="141"/>
      <c r="B78" s="151" t="s">
        <v>217</v>
      </c>
      <c r="C78" s="147">
        <f>SUM(C62:C77)</f>
        <v>68573659</v>
      </c>
      <c r="D78" s="147">
        <f>SUM(D62:D77)</f>
        <v>53905185</v>
      </c>
      <c r="E78" s="147">
        <f t="shared" si="2"/>
        <v>-14668474</v>
      </c>
      <c r="F78" s="148">
        <f t="shared" si="3"/>
        <v>-0.2139082880206232</v>
      </c>
      <c r="G78" s="124"/>
    </row>
    <row r="79" spans="1:7" ht="15.75" customHeight="1" x14ac:dyDescent="0.25">
      <c r="A79" s="141"/>
      <c r="B79" s="152"/>
      <c r="C79" s="146"/>
      <c r="D79" s="146"/>
      <c r="E79" s="147"/>
      <c r="F79" s="148"/>
      <c r="G79" s="124"/>
    </row>
    <row r="80" spans="1:7" ht="15.75" customHeight="1" x14ac:dyDescent="0.25">
      <c r="A80" s="144" t="s">
        <v>218</v>
      </c>
      <c r="B80" s="145" t="s">
        <v>219</v>
      </c>
      <c r="C80" s="146"/>
      <c r="D80" s="146"/>
      <c r="E80" s="147"/>
      <c r="F80" s="148"/>
      <c r="G80" s="124"/>
    </row>
    <row r="81" spans="1:7" ht="15" customHeight="1" x14ac:dyDescent="0.2">
      <c r="A81" s="141">
        <v>1</v>
      </c>
      <c r="B81" s="149" t="s">
        <v>220</v>
      </c>
      <c r="C81" s="146">
        <v>177207</v>
      </c>
      <c r="D81" s="146">
        <v>3010794</v>
      </c>
      <c r="E81" s="146">
        <f>+D81-C81</f>
        <v>2833587</v>
      </c>
      <c r="F81" s="150">
        <f>IF(C81=0,0,E81/C81)</f>
        <v>15.990265621561225</v>
      </c>
    </row>
    <row r="82" spans="1:7" ht="15.75" customHeight="1" x14ac:dyDescent="0.25">
      <c r="A82" s="141"/>
      <c r="B82" s="152"/>
      <c r="C82" s="146"/>
      <c r="D82" s="146"/>
      <c r="E82" s="147"/>
      <c r="F82" s="148"/>
      <c r="G82" s="124"/>
    </row>
    <row r="83" spans="1:7" ht="15.75" customHeight="1" x14ac:dyDescent="0.25">
      <c r="A83" s="153"/>
      <c r="B83" s="154" t="s">
        <v>221</v>
      </c>
      <c r="C83" s="147">
        <f>+C81+C78+C59+C50+C47+C44+C41+C35+C30+C24+C18</f>
        <v>381476536</v>
      </c>
      <c r="D83" s="147">
        <f>+D81+D78+D59+D50+D47+D44+D41+D35+D30+D24+D18</f>
        <v>368573386</v>
      </c>
      <c r="E83" s="147">
        <f>+D83-C83</f>
        <v>-12903150</v>
      </c>
      <c r="F83" s="148">
        <f>IF(C83=0,0,E83/C83)</f>
        <v>-3.3824229755509784E-2</v>
      </c>
      <c r="G83" s="155"/>
    </row>
    <row r="84" spans="1:7" ht="15.75" customHeight="1" x14ac:dyDescent="0.25">
      <c r="A84" s="153"/>
      <c r="B84" s="154"/>
      <c r="C84" s="146"/>
      <c r="D84" s="146"/>
      <c r="E84" s="146"/>
      <c r="F84" s="156"/>
      <c r="G84" s="124"/>
    </row>
    <row r="85" spans="1:7" ht="15.75" customHeight="1" x14ac:dyDescent="0.25">
      <c r="A85" s="153"/>
      <c r="B85" s="157" t="s">
        <v>222</v>
      </c>
      <c r="C85" s="146"/>
      <c r="D85" s="146"/>
      <c r="E85" s="146"/>
      <c r="F85" s="156"/>
      <c r="G85" s="124"/>
    </row>
    <row r="86" spans="1:7" ht="15.75" customHeight="1" x14ac:dyDescent="0.25">
      <c r="A86" s="153"/>
      <c r="B86" s="157"/>
      <c r="C86" s="146"/>
      <c r="D86" s="146"/>
      <c r="E86" s="146"/>
      <c r="F86" s="156"/>
      <c r="G86" s="124"/>
    </row>
    <row r="87" spans="1:7" ht="15.75" customHeight="1" x14ac:dyDescent="0.25">
      <c r="A87" s="153"/>
      <c r="B87" s="157"/>
      <c r="C87" s="146"/>
      <c r="D87" s="146"/>
      <c r="E87" s="146"/>
      <c r="F87" s="156"/>
      <c r="G87" s="124"/>
    </row>
    <row r="88" spans="1:7" ht="15.75" customHeight="1" x14ac:dyDescent="0.25">
      <c r="A88" s="158" t="s">
        <v>44</v>
      </c>
      <c r="B88" s="142" t="s">
        <v>223</v>
      </c>
      <c r="C88" s="143"/>
      <c r="D88" s="143"/>
      <c r="E88" s="159"/>
      <c r="F88" s="160"/>
      <c r="G88" s="155"/>
    </row>
    <row r="89" spans="1:7" ht="15.75" customHeight="1" x14ac:dyDescent="0.25">
      <c r="A89" s="141"/>
      <c r="B89" s="142"/>
      <c r="C89" s="143"/>
      <c r="D89" s="143"/>
      <c r="E89" s="159"/>
      <c r="F89" s="160"/>
      <c r="G89" s="155"/>
    </row>
    <row r="90" spans="1:7" ht="15.75" customHeight="1" x14ac:dyDescent="0.25">
      <c r="A90" s="144" t="s">
        <v>110</v>
      </c>
      <c r="B90" s="145" t="s">
        <v>224</v>
      </c>
      <c r="C90" s="146"/>
      <c r="D90" s="146"/>
      <c r="E90" s="147"/>
      <c r="F90" s="160"/>
      <c r="G90" s="155"/>
    </row>
    <row r="91" spans="1:7" ht="15" customHeight="1" x14ac:dyDescent="0.2">
      <c r="A91" s="141">
        <v>1</v>
      </c>
      <c r="B91" s="161" t="s">
        <v>225</v>
      </c>
      <c r="C91" s="146">
        <v>16066903</v>
      </c>
      <c r="D91" s="146">
        <v>18022465</v>
      </c>
      <c r="E91" s="146">
        <f t="shared" ref="E91:E109" si="4">D91-C91</f>
        <v>1955562</v>
      </c>
      <c r="F91" s="150">
        <f t="shared" ref="F91:F109" si="5">IF(C91=0,0,E91/C91)</f>
        <v>0.121713686825644</v>
      </c>
      <c r="G91" s="155"/>
    </row>
    <row r="92" spans="1:7" ht="15" customHeight="1" x14ac:dyDescent="0.2">
      <c r="A92" s="141">
        <v>2</v>
      </c>
      <c r="B92" s="161" t="s">
        <v>226</v>
      </c>
      <c r="C92" s="146">
        <v>1534256</v>
      </c>
      <c r="D92" s="146">
        <v>1913019</v>
      </c>
      <c r="E92" s="146">
        <f t="shared" si="4"/>
        <v>378763</v>
      </c>
      <c r="F92" s="150">
        <f t="shared" si="5"/>
        <v>0.24687079600796738</v>
      </c>
      <c r="G92" s="155"/>
    </row>
    <row r="93" spans="1:7" ht="15" customHeight="1" x14ac:dyDescent="0.2">
      <c r="A93" s="141">
        <v>3</v>
      </c>
      <c r="B93" s="161" t="s">
        <v>227</v>
      </c>
      <c r="C93" s="146">
        <v>4646914</v>
      </c>
      <c r="D93" s="146">
        <v>4284990</v>
      </c>
      <c r="E93" s="146">
        <f t="shared" si="4"/>
        <v>-361924</v>
      </c>
      <c r="F93" s="150">
        <f t="shared" si="5"/>
        <v>-7.7884806992339434E-2</v>
      </c>
      <c r="G93" s="155"/>
    </row>
    <row r="94" spans="1:7" ht="15" customHeight="1" x14ac:dyDescent="0.2">
      <c r="A94" s="141">
        <v>4</v>
      </c>
      <c r="B94" s="161" t="s">
        <v>228</v>
      </c>
      <c r="C94" s="146">
        <v>1750095</v>
      </c>
      <c r="D94" s="146">
        <v>1752704</v>
      </c>
      <c r="E94" s="146">
        <f t="shared" si="4"/>
        <v>2609</v>
      </c>
      <c r="F94" s="150">
        <f t="shared" si="5"/>
        <v>1.4907762150054712E-3</v>
      </c>
      <c r="G94" s="155"/>
    </row>
    <row r="95" spans="1:7" ht="15" customHeight="1" x14ac:dyDescent="0.2">
      <c r="A95" s="141">
        <v>5</v>
      </c>
      <c r="B95" s="161" t="s">
        <v>229</v>
      </c>
      <c r="C95" s="146">
        <v>33058670</v>
      </c>
      <c r="D95" s="146">
        <v>25064963</v>
      </c>
      <c r="E95" s="146">
        <f t="shared" si="4"/>
        <v>-7993707</v>
      </c>
      <c r="F95" s="150">
        <f t="shared" si="5"/>
        <v>-0.24180364787815117</v>
      </c>
      <c r="G95" s="155"/>
    </row>
    <row r="96" spans="1:7" ht="15" customHeight="1" x14ac:dyDescent="0.2">
      <c r="A96" s="141">
        <v>6</v>
      </c>
      <c r="B96" s="161" t="s">
        <v>230</v>
      </c>
      <c r="C96" s="146">
        <v>1411976</v>
      </c>
      <c r="D96" s="146">
        <v>1488005</v>
      </c>
      <c r="E96" s="146">
        <f t="shared" si="4"/>
        <v>76029</v>
      </c>
      <c r="F96" s="150">
        <f t="shared" si="5"/>
        <v>5.3845816076193931E-2</v>
      </c>
      <c r="G96" s="155"/>
    </row>
    <row r="97" spans="1:7" ht="15" customHeight="1" x14ac:dyDescent="0.2">
      <c r="A97" s="141">
        <v>7</v>
      </c>
      <c r="B97" s="161" t="s">
        <v>231</v>
      </c>
      <c r="C97" s="146">
        <v>45080049</v>
      </c>
      <c r="D97" s="146">
        <v>47045682</v>
      </c>
      <c r="E97" s="146">
        <f t="shared" si="4"/>
        <v>1965633</v>
      </c>
      <c r="F97" s="150">
        <f t="shared" si="5"/>
        <v>4.3603169109243868E-2</v>
      </c>
      <c r="G97" s="155"/>
    </row>
    <row r="98" spans="1:7" ht="15" customHeight="1" x14ac:dyDescent="0.2">
      <c r="A98" s="141">
        <v>8</v>
      </c>
      <c r="B98" s="161" t="s">
        <v>232</v>
      </c>
      <c r="C98" s="146">
        <v>2193532</v>
      </c>
      <c r="D98" s="146">
        <v>2394514</v>
      </c>
      <c r="E98" s="146">
        <f t="shared" si="4"/>
        <v>200982</v>
      </c>
      <c r="F98" s="150">
        <f t="shared" si="5"/>
        <v>9.1624831550212171E-2</v>
      </c>
      <c r="G98" s="155"/>
    </row>
    <row r="99" spans="1:7" ht="15" customHeight="1" x14ac:dyDescent="0.2">
      <c r="A99" s="141">
        <v>9</v>
      </c>
      <c r="B99" s="161" t="s">
        <v>233</v>
      </c>
      <c r="C99" s="146">
        <v>2527604</v>
      </c>
      <c r="D99" s="146">
        <v>2382590</v>
      </c>
      <c r="E99" s="146">
        <f t="shared" si="4"/>
        <v>-145014</v>
      </c>
      <c r="F99" s="150">
        <f t="shared" si="5"/>
        <v>-5.7372119999810095E-2</v>
      </c>
      <c r="G99" s="155"/>
    </row>
    <row r="100" spans="1:7" ht="15" customHeight="1" x14ac:dyDescent="0.2">
      <c r="A100" s="141">
        <v>10</v>
      </c>
      <c r="B100" s="161" t="s">
        <v>234</v>
      </c>
      <c r="C100" s="146">
        <v>5170091</v>
      </c>
      <c r="D100" s="146">
        <v>5245499</v>
      </c>
      <c r="E100" s="146">
        <f t="shared" si="4"/>
        <v>75408</v>
      </c>
      <c r="F100" s="150">
        <f t="shared" si="5"/>
        <v>1.4585429927635703E-2</v>
      </c>
      <c r="G100" s="155"/>
    </row>
    <row r="101" spans="1:7" ht="15" customHeight="1" x14ac:dyDescent="0.2">
      <c r="A101" s="141">
        <v>11</v>
      </c>
      <c r="B101" s="161" t="s">
        <v>235</v>
      </c>
      <c r="C101" s="146">
        <v>5666539</v>
      </c>
      <c r="D101" s="146">
        <v>5872077</v>
      </c>
      <c r="E101" s="146">
        <f t="shared" si="4"/>
        <v>205538</v>
      </c>
      <c r="F101" s="150">
        <f t="shared" si="5"/>
        <v>3.627222895668767E-2</v>
      </c>
      <c r="G101" s="155"/>
    </row>
    <row r="102" spans="1:7" ht="15" customHeight="1" x14ac:dyDescent="0.2">
      <c r="A102" s="141">
        <v>12</v>
      </c>
      <c r="B102" s="161" t="s">
        <v>236</v>
      </c>
      <c r="C102" s="146">
        <v>1606019</v>
      </c>
      <c r="D102" s="146">
        <v>1573267</v>
      </c>
      <c r="E102" s="146">
        <f t="shared" si="4"/>
        <v>-32752</v>
      </c>
      <c r="F102" s="150">
        <f t="shared" si="5"/>
        <v>-2.0393283018444987E-2</v>
      </c>
      <c r="G102" s="155"/>
    </row>
    <row r="103" spans="1:7" ht="15" customHeight="1" x14ac:dyDescent="0.2">
      <c r="A103" s="141">
        <v>13</v>
      </c>
      <c r="B103" s="161" t="s">
        <v>237</v>
      </c>
      <c r="C103" s="146">
        <v>12730465</v>
      </c>
      <c r="D103" s="146">
        <v>14538279</v>
      </c>
      <c r="E103" s="146">
        <f t="shared" si="4"/>
        <v>1807814</v>
      </c>
      <c r="F103" s="150">
        <f t="shared" si="5"/>
        <v>0.14200691019534636</v>
      </c>
      <c r="G103" s="155"/>
    </row>
    <row r="104" spans="1:7" ht="15" customHeight="1" x14ac:dyDescent="0.2">
      <c r="A104" s="141">
        <v>14</v>
      </c>
      <c r="B104" s="161" t="s">
        <v>238</v>
      </c>
      <c r="C104" s="146">
        <v>1591584</v>
      </c>
      <c r="D104" s="146">
        <v>1654708</v>
      </c>
      <c r="E104" s="146">
        <f t="shared" si="4"/>
        <v>63124</v>
      </c>
      <c r="F104" s="150">
        <f t="shared" si="5"/>
        <v>3.9661117477933931E-2</v>
      </c>
      <c r="G104" s="155"/>
    </row>
    <row r="105" spans="1:7" ht="15" customHeight="1" x14ac:dyDescent="0.2">
      <c r="A105" s="141">
        <v>15</v>
      </c>
      <c r="B105" s="161" t="s">
        <v>207</v>
      </c>
      <c r="C105" s="146">
        <v>1301053</v>
      </c>
      <c r="D105" s="146">
        <v>2082273</v>
      </c>
      <c r="E105" s="146">
        <f t="shared" si="4"/>
        <v>781220</v>
      </c>
      <c r="F105" s="150">
        <f t="shared" si="5"/>
        <v>0.60045209534123511</v>
      </c>
      <c r="G105" s="155"/>
    </row>
    <row r="106" spans="1:7" ht="15" customHeight="1" x14ac:dyDescent="0.2">
      <c r="A106" s="141">
        <v>16</v>
      </c>
      <c r="B106" s="161" t="s">
        <v>239</v>
      </c>
      <c r="C106" s="146">
        <v>2258743</v>
      </c>
      <c r="D106" s="146">
        <v>1815230</v>
      </c>
      <c r="E106" s="146">
        <f t="shared" si="4"/>
        <v>-443513</v>
      </c>
      <c r="F106" s="150">
        <f t="shared" si="5"/>
        <v>-0.19635390126278199</v>
      </c>
      <c r="G106" s="155"/>
    </row>
    <row r="107" spans="1:7" ht="15" customHeight="1" x14ac:dyDescent="0.2">
      <c r="A107" s="141">
        <v>17</v>
      </c>
      <c r="B107" s="161" t="s">
        <v>240</v>
      </c>
      <c r="C107" s="146">
        <v>18191507</v>
      </c>
      <c r="D107" s="146">
        <v>16729471</v>
      </c>
      <c r="E107" s="146">
        <f t="shared" si="4"/>
        <v>-1462036</v>
      </c>
      <c r="F107" s="150">
        <f t="shared" si="5"/>
        <v>-8.0369152484178474E-2</v>
      </c>
      <c r="G107" s="155"/>
    </row>
    <row r="108" spans="1:7" ht="15" customHeight="1" x14ac:dyDescent="0.2">
      <c r="A108" s="141">
        <v>18</v>
      </c>
      <c r="B108" s="161" t="s">
        <v>241</v>
      </c>
      <c r="C108" s="146">
        <v>4315489</v>
      </c>
      <c r="D108" s="146">
        <v>4437302</v>
      </c>
      <c r="E108" s="146">
        <f t="shared" si="4"/>
        <v>121813</v>
      </c>
      <c r="F108" s="150">
        <f t="shared" si="5"/>
        <v>2.8226928628482195E-2</v>
      </c>
      <c r="G108" s="155"/>
    </row>
    <row r="109" spans="1:7" ht="15.75" customHeight="1" x14ac:dyDescent="0.25">
      <c r="A109" s="141"/>
      <c r="B109" s="154" t="s">
        <v>242</v>
      </c>
      <c r="C109" s="147">
        <f>SUM(C91:C108)</f>
        <v>161101489</v>
      </c>
      <c r="D109" s="147">
        <f>SUM(D91:D108)</f>
        <v>158297038</v>
      </c>
      <c r="E109" s="147">
        <f t="shared" si="4"/>
        <v>-2804451</v>
      </c>
      <c r="F109" s="148">
        <f t="shared" si="5"/>
        <v>-1.7407976905787631E-2</v>
      </c>
      <c r="G109" s="155"/>
    </row>
    <row r="110" spans="1:7" ht="15.75" customHeight="1" x14ac:dyDescent="0.25">
      <c r="A110" s="141"/>
      <c r="B110" s="162"/>
      <c r="C110" s="146"/>
      <c r="D110" s="146"/>
      <c r="E110" s="147"/>
      <c r="F110" s="160"/>
      <c r="G110" s="155"/>
    </row>
    <row r="111" spans="1:7" ht="15.75" customHeight="1" x14ac:dyDescent="0.25">
      <c r="A111" s="144" t="s">
        <v>124</v>
      </c>
      <c r="B111" s="145" t="s">
        <v>243</v>
      </c>
      <c r="C111" s="146"/>
      <c r="D111" s="146"/>
      <c r="E111" s="147"/>
      <c r="F111" s="160"/>
      <c r="G111" s="155"/>
    </row>
    <row r="112" spans="1:7" ht="15" customHeight="1" x14ac:dyDescent="0.2">
      <c r="A112" s="141">
        <v>1</v>
      </c>
      <c r="B112" s="161" t="s">
        <v>244</v>
      </c>
      <c r="C112" s="146">
        <v>14010588</v>
      </c>
      <c r="D112" s="146">
        <v>15181563</v>
      </c>
      <c r="E112" s="146">
        <f t="shared" ref="E112:E118" si="6">D112-C112</f>
        <v>1170975</v>
      </c>
      <c r="F112" s="150">
        <f t="shared" ref="F112:F118" si="7">IF(C112=0,0,E112/C112)</f>
        <v>8.3577862684992232E-2</v>
      </c>
      <c r="G112" s="155"/>
    </row>
    <row r="113" spans="1:7" ht="15" customHeight="1" x14ac:dyDescent="0.2">
      <c r="A113" s="141">
        <v>2</v>
      </c>
      <c r="B113" s="161" t="s">
        <v>245</v>
      </c>
      <c r="C113" s="146">
        <v>5395587</v>
      </c>
      <c r="D113" s="146">
        <v>5621208</v>
      </c>
      <c r="E113" s="146">
        <f t="shared" si="6"/>
        <v>225621</v>
      </c>
      <c r="F113" s="150">
        <f t="shared" si="7"/>
        <v>4.1815839499946904E-2</v>
      </c>
      <c r="G113" s="155"/>
    </row>
    <row r="114" spans="1:7" ht="15" customHeight="1" x14ac:dyDescent="0.2">
      <c r="A114" s="141">
        <v>3</v>
      </c>
      <c r="B114" s="161" t="s">
        <v>246</v>
      </c>
      <c r="C114" s="146">
        <v>3356831</v>
      </c>
      <c r="D114" s="146">
        <v>2688477</v>
      </c>
      <c r="E114" s="146">
        <f t="shared" si="6"/>
        <v>-668354</v>
      </c>
      <c r="F114" s="150">
        <f t="shared" si="7"/>
        <v>-0.19910266557953021</v>
      </c>
      <c r="G114" s="155"/>
    </row>
    <row r="115" spans="1:7" ht="15" customHeight="1" x14ac:dyDescent="0.2">
      <c r="A115" s="141">
        <v>4</v>
      </c>
      <c r="B115" s="161" t="s">
        <v>247</v>
      </c>
      <c r="C115" s="146">
        <v>3736176</v>
      </c>
      <c r="D115" s="146">
        <v>3678717</v>
      </c>
      <c r="E115" s="146">
        <f t="shared" si="6"/>
        <v>-57459</v>
      </c>
      <c r="F115" s="150">
        <f t="shared" si="7"/>
        <v>-1.537909349024243E-2</v>
      </c>
      <c r="G115" s="155"/>
    </row>
    <row r="116" spans="1:7" ht="15" customHeight="1" x14ac:dyDescent="0.2">
      <c r="A116" s="141">
        <v>5</v>
      </c>
      <c r="B116" s="161" t="s">
        <v>248</v>
      </c>
      <c r="C116" s="146">
        <v>2880347</v>
      </c>
      <c r="D116" s="146">
        <v>2775863</v>
      </c>
      <c r="E116" s="146">
        <f t="shared" si="6"/>
        <v>-104484</v>
      </c>
      <c r="F116" s="150">
        <f t="shared" si="7"/>
        <v>-3.6274796057558345E-2</v>
      </c>
      <c r="G116" s="155"/>
    </row>
    <row r="117" spans="1:7" ht="15" customHeight="1" x14ac:dyDescent="0.2">
      <c r="A117" s="141">
        <v>6</v>
      </c>
      <c r="B117" s="161" t="s">
        <v>249</v>
      </c>
      <c r="C117" s="146">
        <v>8131916</v>
      </c>
      <c r="D117" s="146">
        <v>8304297</v>
      </c>
      <c r="E117" s="146">
        <f t="shared" si="6"/>
        <v>172381</v>
      </c>
      <c r="F117" s="150">
        <f t="shared" si="7"/>
        <v>2.119807927184688E-2</v>
      </c>
      <c r="G117" s="155"/>
    </row>
    <row r="118" spans="1:7" ht="15.75" customHeight="1" x14ac:dyDescent="0.25">
      <c r="A118" s="141"/>
      <c r="B118" s="154" t="s">
        <v>250</v>
      </c>
      <c r="C118" s="147">
        <f>SUM(C112:C117)</f>
        <v>37511445</v>
      </c>
      <c r="D118" s="147">
        <f>SUM(D112:D117)</f>
        <v>38250125</v>
      </c>
      <c r="E118" s="147">
        <f t="shared" si="6"/>
        <v>738680</v>
      </c>
      <c r="F118" s="148">
        <f t="shared" si="7"/>
        <v>1.9692123297302997E-2</v>
      </c>
      <c r="G118" s="155"/>
    </row>
    <row r="119" spans="1:7" ht="15.75" customHeight="1" x14ac:dyDescent="0.25">
      <c r="A119" s="141"/>
      <c r="B119" s="162"/>
      <c r="C119" s="146"/>
      <c r="D119" s="146"/>
      <c r="E119" s="147"/>
      <c r="F119" s="160"/>
      <c r="G119" s="155"/>
    </row>
    <row r="120" spans="1:7" ht="15.75" customHeight="1" x14ac:dyDescent="0.25">
      <c r="A120" s="144" t="s">
        <v>141</v>
      </c>
      <c r="B120" s="145" t="s">
        <v>251</v>
      </c>
      <c r="C120" s="146"/>
      <c r="D120" s="146"/>
      <c r="E120" s="147"/>
      <c r="F120" s="160"/>
      <c r="G120" s="155"/>
    </row>
    <row r="121" spans="1:7" ht="15" customHeight="1" x14ac:dyDescent="0.2">
      <c r="A121" s="141">
        <v>1</v>
      </c>
      <c r="B121" s="161" t="s">
        <v>252</v>
      </c>
      <c r="C121" s="146">
        <v>22031370</v>
      </c>
      <c r="D121" s="146">
        <v>21748098</v>
      </c>
      <c r="E121" s="146">
        <f t="shared" ref="E121:E155" si="8">D121-C121</f>
        <v>-283272</v>
      </c>
      <c r="F121" s="150">
        <f t="shared" ref="F121:F155" si="9">IF(C121=0,0,E121/C121)</f>
        <v>-1.2857666136967424E-2</v>
      </c>
      <c r="G121" s="155"/>
    </row>
    <row r="122" spans="1:7" ht="15" customHeight="1" x14ac:dyDescent="0.2">
      <c r="A122" s="141">
        <v>2</v>
      </c>
      <c r="B122" s="161" t="s">
        <v>253</v>
      </c>
      <c r="C122" s="146">
        <v>2146712</v>
      </c>
      <c r="D122" s="146">
        <v>2050310</v>
      </c>
      <c r="E122" s="146">
        <f t="shared" si="8"/>
        <v>-96402</v>
      </c>
      <c r="F122" s="150">
        <f t="shared" si="9"/>
        <v>-4.4906815632464903E-2</v>
      </c>
      <c r="G122" s="155"/>
    </row>
    <row r="123" spans="1:7" ht="15" customHeight="1" x14ac:dyDescent="0.2">
      <c r="A123" s="141">
        <v>3</v>
      </c>
      <c r="B123" s="161" t="s">
        <v>254</v>
      </c>
      <c r="C123" s="146">
        <v>1587523</v>
      </c>
      <c r="D123" s="146">
        <v>1393413</v>
      </c>
      <c r="E123" s="146">
        <f t="shared" si="8"/>
        <v>-194110</v>
      </c>
      <c r="F123" s="150">
        <f t="shared" si="9"/>
        <v>-0.12227224424465032</v>
      </c>
      <c r="G123" s="155"/>
    </row>
    <row r="124" spans="1:7" ht="15" customHeight="1" x14ac:dyDescent="0.2">
      <c r="A124" s="141">
        <v>4</v>
      </c>
      <c r="B124" s="161" t="s">
        <v>255</v>
      </c>
      <c r="C124" s="146">
        <v>3985795</v>
      </c>
      <c r="D124" s="146">
        <v>3987476</v>
      </c>
      <c r="E124" s="146">
        <f t="shared" si="8"/>
        <v>1681</v>
      </c>
      <c r="F124" s="150">
        <f t="shared" si="9"/>
        <v>4.2174773163195797E-4</v>
      </c>
      <c r="G124" s="155"/>
    </row>
    <row r="125" spans="1:7" ht="15" customHeight="1" x14ac:dyDescent="0.2">
      <c r="A125" s="141">
        <v>5</v>
      </c>
      <c r="B125" s="161" t="s">
        <v>256</v>
      </c>
      <c r="C125" s="146">
        <v>10958714</v>
      </c>
      <c r="D125" s="146">
        <v>10663636</v>
      </c>
      <c r="E125" s="146">
        <f t="shared" si="8"/>
        <v>-295078</v>
      </c>
      <c r="F125" s="150">
        <f t="shared" si="9"/>
        <v>-2.6926334604589552E-2</v>
      </c>
      <c r="G125" s="155"/>
    </row>
    <row r="126" spans="1:7" ht="15" customHeight="1" x14ac:dyDescent="0.2">
      <c r="A126" s="141">
        <v>6</v>
      </c>
      <c r="B126" s="161" t="s">
        <v>257</v>
      </c>
      <c r="C126" s="146">
        <v>1285203</v>
      </c>
      <c r="D126" s="146">
        <v>1368353</v>
      </c>
      <c r="E126" s="146">
        <f t="shared" si="8"/>
        <v>83150</v>
      </c>
      <c r="F126" s="150">
        <f t="shared" si="9"/>
        <v>6.469795044051406E-2</v>
      </c>
      <c r="G126" s="155"/>
    </row>
    <row r="127" spans="1:7" ht="15" customHeight="1" x14ac:dyDescent="0.2">
      <c r="A127" s="141">
        <v>7</v>
      </c>
      <c r="B127" s="161" t="s">
        <v>258</v>
      </c>
      <c r="C127" s="146">
        <v>3454799</v>
      </c>
      <c r="D127" s="146">
        <v>3250288</v>
      </c>
      <c r="E127" s="146">
        <f t="shared" si="8"/>
        <v>-204511</v>
      </c>
      <c r="F127" s="150">
        <f t="shared" si="9"/>
        <v>-5.9196207941475031E-2</v>
      </c>
      <c r="G127" s="155"/>
    </row>
    <row r="128" spans="1:7" ht="15" customHeight="1" x14ac:dyDescent="0.2">
      <c r="A128" s="141">
        <v>8</v>
      </c>
      <c r="B128" s="161" t="s">
        <v>259</v>
      </c>
      <c r="C128" s="146">
        <v>1391366</v>
      </c>
      <c r="D128" s="146">
        <v>1429289</v>
      </c>
      <c r="E128" s="146">
        <f t="shared" si="8"/>
        <v>37923</v>
      </c>
      <c r="F128" s="150">
        <f t="shared" si="9"/>
        <v>2.725594847078339E-2</v>
      </c>
      <c r="G128" s="155"/>
    </row>
    <row r="129" spans="1:7" ht="15" customHeight="1" x14ac:dyDescent="0.2">
      <c r="A129" s="141">
        <v>9</v>
      </c>
      <c r="B129" s="161" t="s">
        <v>260</v>
      </c>
      <c r="C129" s="146">
        <v>3310149</v>
      </c>
      <c r="D129" s="146">
        <v>3439333</v>
      </c>
      <c r="E129" s="146">
        <f t="shared" si="8"/>
        <v>129184</v>
      </c>
      <c r="F129" s="150">
        <f t="shared" si="9"/>
        <v>3.9026642003124327E-2</v>
      </c>
      <c r="G129" s="155"/>
    </row>
    <row r="130" spans="1:7" ht="15" customHeight="1" x14ac:dyDescent="0.2">
      <c r="A130" s="141">
        <v>10</v>
      </c>
      <c r="B130" s="161" t="s">
        <v>261</v>
      </c>
      <c r="C130" s="146">
        <v>14812835</v>
      </c>
      <c r="D130" s="146">
        <v>14081378</v>
      </c>
      <c r="E130" s="146">
        <f t="shared" si="8"/>
        <v>-731457</v>
      </c>
      <c r="F130" s="150">
        <f t="shared" si="9"/>
        <v>-4.937994651260208E-2</v>
      </c>
      <c r="G130" s="155"/>
    </row>
    <row r="131" spans="1:7" ht="15" customHeight="1" x14ac:dyDescent="0.2">
      <c r="A131" s="141">
        <v>11</v>
      </c>
      <c r="B131" s="161" t="s">
        <v>262</v>
      </c>
      <c r="C131" s="146">
        <v>2772603</v>
      </c>
      <c r="D131" s="146">
        <v>2735428</v>
      </c>
      <c r="E131" s="146">
        <f t="shared" si="8"/>
        <v>-37175</v>
      </c>
      <c r="F131" s="150">
        <f t="shared" si="9"/>
        <v>-1.3407977990357797E-2</v>
      </c>
      <c r="G131" s="155"/>
    </row>
    <row r="132" spans="1:7" ht="15" customHeight="1" x14ac:dyDescent="0.2">
      <c r="A132" s="141">
        <v>12</v>
      </c>
      <c r="B132" s="161" t="s">
        <v>263</v>
      </c>
      <c r="C132" s="146">
        <v>1995489</v>
      </c>
      <c r="D132" s="146">
        <v>1957800</v>
      </c>
      <c r="E132" s="146">
        <f t="shared" si="8"/>
        <v>-37689</v>
      </c>
      <c r="F132" s="150">
        <f t="shared" si="9"/>
        <v>-1.8887099853720064E-2</v>
      </c>
      <c r="G132" s="155"/>
    </row>
    <row r="133" spans="1:7" ht="15" customHeight="1" x14ac:dyDescent="0.2">
      <c r="A133" s="141">
        <v>13</v>
      </c>
      <c r="B133" s="161" t="s">
        <v>264</v>
      </c>
      <c r="C133" s="146">
        <v>0</v>
      </c>
      <c r="D133" s="146">
        <v>0</v>
      </c>
      <c r="E133" s="146">
        <f t="shared" si="8"/>
        <v>0</v>
      </c>
      <c r="F133" s="150">
        <f t="shared" si="9"/>
        <v>0</v>
      </c>
      <c r="G133" s="155"/>
    </row>
    <row r="134" spans="1:7" ht="15" customHeight="1" x14ac:dyDescent="0.2">
      <c r="A134" s="141">
        <v>14</v>
      </c>
      <c r="B134" s="161" t="s">
        <v>265</v>
      </c>
      <c r="C134" s="146">
        <v>2946772</v>
      </c>
      <c r="D134" s="146">
        <v>2687043</v>
      </c>
      <c r="E134" s="146">
        <f t="shared" si="8"/>
        <v>-259729</v>
      </c>
      <c r="F134" s="150">
        <f t="shared" si="9"/>
        <v>-8.8140175079714347E-2</v>
      </c>
      <c r="G134" s="155"/>
    </row>
    <row r="135" spans="1:7" ht="15" customHeight="1" x14ac:dyDescent="0.2">
      <c r="A135" s="141">
        <v>15</v>
      </c>
      <c r="B135" s="161" t="s">
        <v>266</v>
      </c>
      <c r="C135" s="146">
        <v>0</v>
      </c>
      <c r="D135" s="146">
        <v>0</v>
      </c>
      <c r="E135" s="146">
        <f t="shared" si="8"/>
        <v>0</v>
      </c>
      <c r="F135" s="150">
        <f t="shared" si="9"/>
        <v>0</v>
      </c>
      <c r="G135" s="155"/>
    </row>
    <row r="136" spans="1:7" ht="15" customHeight="1" x14ac:dyDescent="0.2">
      <c r="A136" s="141">
        <v>16</v>
      </c>
      <c r="B136" s="161" t="s">
        <v>267</v>
      </c>
      <c r="C136" s="146">
        <v>0</v>
      </c>
      <c r="D136" s="146">
        <v>0</v>
      </c>
      <c r="E136" s="146">
        <f t="shared" si="8"/>
        <v>0</v>
      </c>
      <c r="F136" s="150">
        <f t="shared" si="9"/>
        <v>0</v>
      </c>
      <c r="G136" s="155"/>
    </row>
    <row r="137" spans="1:7" ht="15" customHeight="1" x14ac:dyDescent="0.2">
      <c r="A137" s="141">
        <v>17</v>
      </c>
      <c r="B137" s="161" t="s">
        <v>268</v>
      </c>
      <c r="C137" s="146">
        <v>0</v>
      </c>
      <c r="D137" s="146">
        <v>0</v>
      </c>
      <c r="E137" s="146">
        <f t="shared" si="8"/>
        <v>0</v>
      </c>
      <c r="F137" s="150">
        <f t="shared" si="9"/>
        <v>0</v>
      </c>
      <c r="G137" s="155"/>
    </row>
    <row r="138" spans="1:7" ht="15" customHeight="1" x14ac:dyDescent="0.2">
      <c r="A138" s="141">
        <v>18</v>
      </c>
      <c r="B138" s="161" t="s">
        <v>269</v>
      </c>
      <c r="C138" s="146">
        <v>2740845</v>
      </c>
      <c r="D138" s="146">
        <v>2760002</v>
      </c>
      <c r="E138" s="146">
        <f t="shared" si="8"/>
        <v>19157</v>
      </c>
      <c r="F138" s="150">
        <f t="shared" si="9"/>
        <v>6.9894503337474389E-3</v>
      </c>
      <c r="G138" s="155"/>
    </row>
    <row r="139" spans="1:7" ht="15" customHeight="1" x14ac:dyDescent="0.2">
      <c r="A139" s="141">
        <v>19</v>
      </c>
      <c r="B139" s="161" t="s">
        <v>270</v>
      </c>
      <c r="C139" s="146">
        <v>327628</v>
      </c>
      <c r="D139" s="146">
        <v>359736</v>
      </c>
      <c r="E139" s="146">
        <f t="shared" si="8"/>
        <v>32108</v>
      </c>
      <c r="F139" s="150">
        <f t="shared" si="9"/>
        <v>9.8001391822432754E-2</v>
      </c>
      <c r="G139" s="155"/>
    </row>
    <row r="140" spans="1:7" ht="15" customHeight="1" x14ac:dyDescent="0.2">
      <c r="A140" s="141">
        <v>20</v>
      </c>
      <c r="B140" s="161" t="s">
        <v>271</v>
      </c>
      <c r="C140" s="146">
        <v>621309</v>
      </c>
      <c r="D140" s="146">
        <v>611808</v>
      </c>
      <c r="E140" s="146">
        <f t="shared" si="8"/>
        <v>-9501</v>
      </c>
      <c r="F140" s="150">
        <f t="shared" si="9"/>
        <v>-1.5291907891242521E-2</v>
      </c>
      <c r="G140" s="155"/>
    </row>
    <row r="141" spans="1:7" ht="15" customHeight="1" x14ac:dyDescent="0.2">
      <c r="A141" s="141">
        <v>21</v>
      </c>
      <c r="B141" s="161" t="s">
        <v>272</v>
      </c>
      <c r="C141" s="146">
        <v>0</v>
      </c>
      <c r="D141" s="146">
        <v>0</v>
      </c>
      <c r="E141" s="146">
        <f t="shared" si="8"/>
        <v>0</v>
      </c>
      <c r="F141" s="150">
        <f t="shared" si="9"/>
        <v>0</v>
      </c>
      <c r="G141" s="155"/>
    </row>
    <row r="142" spans="1:7" ht="15" customHeight="1" x14ac:dyDescent="0.2">
      <c r="A142" s="141">
        <v>22</v>
      </c>
      <c r="B142" s="161" t="s">
        <v>273</v>
      </c>
      <c r="C142" s="146">
        <v>3408446</v>
      </c>
      <c r="D142" s="146">
        <v>3386492</v>
      </c>
      <c r="E142" s="146">
        <f t="shared" si="8"/>
        <v>-21954</v>
      </c>
      <c r="F142" s="150">
        <f t="shared" si="9"/>
        <v>-6.4410584765021948E-3</v>
      </c>
      <c r="G142" s="155"/>
    </row>
    <row r="143" spans="1:7" ht="15" customHeight="1" x14ac:dyDescent="0.2">
      <c r="A143" s="141">
        <v>23</v>
      </c>
      <c r="B143" s="161" t="s">
        <v>274</v>
      </c>
      <c r="C143" s="146">
        <v>3004484</v>
      </c>
      <c r="D143" s="146">
        <v>3108689</v>
      </c>
      <c r="E143" s="146">
        <f t="shared" si="8"/>
        <v>104205</v>
      </c>
      <c r="F143" s="150">
        <f t="shared" si="9"/>
        <v>3.4683160236499845E-2</v>
      </c>
      <c r="G143" s="155"/>
    </row>
    <row r="144" spans="1:7" ht="15" customHeight="1" x14ac:dyDescent="0.2">
      <c r="A144" s="141">
        <v>24</v>
      </c>
      <c r="B144" s="161" t="s">
        <v>275</v>
      </c>
      <c r="C144" s="146">
        <v>20416669</v>
      </c>
      <c r="D144" s="146">
        <v>20437639</v>
      </c>
      <c r="E144" s="146">
        <f t="shared" si="8"/>
        <v>20970</v>
      </c>
      <c r="F144" s="150">
        <f t="shared" si="9"/>
        <v>1.0271019234332497E-3</v>
      </c>
      <c r="G144" s="155"/>
    </row>
    <row r="145" spans="1:7" ht="15" customHeight="1" x14ac:dyDescent="0.2">
      <c r="A145" s="141">
        <v>25</v>
      </c>
      <c r="B145" s="161" t="s">
        <v>276</v>
      </c>
      <c r="C145" s="146">
        <v>1365416</v>
      </c>
      <c r="D145" s="146">
        <v>1176439</v>
      </c>
      <c r="E145" s="146">
        <f t="shared" si="8"/>
        <v>-188977</v>
      </c>
      <c r="F145" s="150">
        <f t="shared" si="9"/>
        <v>-0.13840250883247304</v>
      </c>
      <c r="G145" s="155"/>
    </row>
    <row r="146" spans="1:7" ht="15" customHeight="1" x14ac:dyDescent="0.2">
      <c r="A146" s="141">
        <v>26</v>
      </c>
      <c r="B146" s="161" t="s">
        <v>277</v>
      </c>
      <c r="C146" s="146">
        <v>0</v>
      </c>
      <c r="D146" s="146">
        <v>0</v>
      </c>
      <c r="E146" s="146">
        <f t="shared" si="8"/>
        <v>0</v>
      </c>
      <c r="F146" s="150">
        <f t="shared" si="9"/>
        <v>0</v>
      </c>
      <c r="G146" s="155"/>
    </row>
    <row r="147" spans="1:7" ht="15" customHeight="1" x14ac:dyDescent="0.2">
      <c r="A147" s="141">
        <v>27</v>
      </c>
      <c r="B147" s="161" t="s">
        <v>278</v>
      </c>
      <c r="C147" s="146">
        <v>0</v>
      </c>
      <c r="D147" s="146">
        <v>0</v>
      </c>
      <c r="E147" s="146">
        <f t="shared" si="8"/>
        <v>0</v>
      </c>
      <c r="F147" s="150">
        <f t="shared" si="9"/>
        <v>0</v>
      </c>
      <c r="G147" s="155"/>
    </row>
    <row r="148" spans="1:7" ht="15" customHeight="1" x14ac:dyDescent="0.2">
      <c r="A148" s="141">
        <v>28</v>
      </c>
      <c r="B148" s="161" t="s">
        <v>279</v>
      </c>
      <c r="C148" s="146">
        <v>3026496</v>
      </c>
      <c r="D148" s="146">
        <v>3234002</v>
      </c>
      <c r="E148" s="146">
        <f t="shared" si="8"/>
        <v>207506</v>
      </c>
      <c r="F148" s="150">
        <f t="shared" si="9"/>
        <v>6.8563117215420077E-2</v>
      </c>
      <c r="G148" s="155"/>
    </row>
    <row r="149" spans="1:7" ht="15" customHeight="1" x14ac:dyDescent="0.2">
      <c r="A149" s="141">
        <v>29</v>
      </c>
      <c r="B149" s="161" t="s">
        <v>280</v>
      </c>
      <c r="C149" s="146">
        <v>0</v>
      </c>
      <c r="D149" s="146">
        <v>364962</v>
      </c>
      <c r="E149" s="146">
        <f t="shared" si="8"/>
        <v>364962</v>
      </c>
      <c r="F149" s="150">
        <f t="shared" si="9"/>
        <v>0</v>
      </c>
      <c r="G149" s="155"/>
    </row>
    <row r="150" spans="1:7" ht="15" customHeight="1" x14ac:dyDescent="0.2">
      <c r="A150" s="141">
        <v>30</v>
      </c>
      <c r="B150" s="161" t="s">
        <v>281</v>
      </c>
      <c r="C150" s="146">
        <v>0</v>
      </c>
      <c r="D150" s="146">
        <v>0</v>
      </c>
      <c r="E150" s="146">
        <f t="shared" si="8"/>
        <v>0</v>
      </c>
      <c r="F150" s="150">
        <f t="shared" si="9"/>
        <v>0</v>
      </c>
      <c r="G150" s="155"/>
    </row>
    <row r="151" spans="1:7" ht="15" customHeight="1" x14ac:dyDescent="0.2">
      <c r="A151" s="141">
        <v>31</v>
      </c>
      <c r="B151" s="161" t="s">
        <v>282</v>
      </c>
      <c r="C151" s="146">
        <v>4711776</v>
      </c>
      <c r="D151" s="146">
        <v>4567909</v>
      </c>
      <c r="E151" s="146">
        <f t="shared" si="8"/>
        <v>-143867</v>
      </c>
      <c r="F151" s="150">
        <f t="shared" si="9"/>
        <v>-3.0533497347921462E-2</v>
      </c>
      <c r="G151" s="155"/>
    </row>
    <row r="152" spans="1:7" ht="15" customHeight="1" x14ac:dyDescent="0.2">
      <c r="A152" s="141">
        <v>32</v>
      </c>
      <c r="B152" s="161" t="s">
        <v>283</v>
      </c>
      <c r="C152" s="146">
        <v>1941636</v>
      </c>
      <c r="D152" s="146">
        <v>2019256</v>
      </c>
      <c r="E152" s="146">
        <f t="shared" si="8"/>
        <v>77620</v>
      </c>
      <c r="F152" s="150">
        <f t="shared" si="9"/>
        <v>3.9976597055266794E-2</v>
      </c>
      <c r="G152" s="155"/>
    </row>
    <row r="153" spans="1:7" ht="15" customHeight="1" x14ac:dyDescent="0.2">
      <c r="A153" s="141">
        <v>33</v>
      </c>
      <c r="B153" s="161" t="s">
        <v>284</v>
      </c>
      <c r="C153" s="146">
        <v>0</v>
      </c>
      <c r="D153" s="146">
        <v>0</v>
      </c>
      <c r="E153" s="146">
        <f t="shared" si="8"/>
        <v>0</v>
      </c>
      <c r="F153" s="150">
        <f t="shared" si="9"/>
        <v>0</v>
      </c>
      <c r="G153" s="155"/>
    </row>
    <row r="154" spans="1:7" ht="15" customHeight="1" x14ac:dyDescent="0.2">
      <c r="A154" s="141">
        <v>34</v>
      </c>
      <c r="B154" s="161" t="s">
        <v>285</v>
      </c>
      <c r="C154" s="146">
        <v>1407580</v>
      </c>
      <c r="D154" s="146">
        <v>1527770</v>
      </c>
      <c r="E154" s="146">
        <f t="shared" si="8"/>
        <v>120190</v>
      </c>
      <c r="F154" s="150">
        <f t="shared" si="9"/>
        <v>8.5387686667898088E-2</v>
      </c>
      <c r="G154" s="155"/>
    </row>
    <row r="155" spans="1:7" ht="15.75" customHeight="1" x14ac:dyDescent="0.25">
      <c r="A155" s="141"/>
      <c r="B155" s="154" t="s">
        <v>286</v>
      </c>
      <c r="C155" s="147">
        <f>SUM(C121:C154)</f>
        <v>115651615</v>
      </c>
      <c r="D155" s="147">
        <f>SUM(D121:D154)</f>
        <v>114346549</v>
      </c>
      <c r="E155" s="147">
        <f t="shared" si="8"/>
        <v>-1305066</v>
      </c>
      <c r="F155" s="148">
        <f t="shared" si="9"/>
        <v>-1.128445979764312E-2</v>
      </c>
      <c r="G155" s="155"/>
    </row>
    <row r="156" spans="1:7" ht="15.75" customHeight="1" x14ac:dyDescent="0.25">
      <c r="A156" s="141"/>
      <c r="B156" s="162"/>
      <c r="C156" s="146"/>
      <c r="D156" s="146"/>
      <c r="E156" s="147"/>
      <c r="F156" s="160"/>
      <c r="G156" s="155"/>
    </row>
    <row r="157" spans="1:7" ht="15.75" customHeight="1" x14ac:dyDescent="0.25">
      <c r="A157" s="144" t="s">
        <v>171</v>
      </c>
      <c r="B157" s="145" t="s">
        <v>287</v>
      </c>
      <c r="C157" s="146"/>
      <c r="D157" s="146"/>
      <c r="E157" s="147"/>
      <c r="F157" s="160"/>
      <c r="G157" s="155"/>
    </row>
    <row r="158" spans="1:7" ht="15" customHeight="1" x14ac:dyDescent="0.2">
      <c r="A158" s="141">
        <v>1</v>
      </c>
      <c r="B158" s="161" t="s">
        <v>288</v>
      </c>
      <c r="C158" s="146">
        <v>20929613</v>
      </c>
      <c r="D158" s="146">
        <v>21341056</v>
      </c>
      <c r="E158" s="146">
        <f t="shared" ref="E158:E171" si="10">D158-C158</f>
        <v>411443</v>
      </c>
      <c r="F158" s="150">
        <f t="shared" ref="F158:F171" si="11">IF(C158=0,0,E158/C158)</f>
        <v>1.9658414133123244E-2</v>
      </c>
      <c r="G158" s="155"/>
    </row>
    <row r="159" spans="1:7" ht="15" customHeight="1" x14ac:dyDescent="0.2">
      <c r="A159" s="141">
        <v>2</v>
      </c>
      <c r="B159" s="161" t="s">
        <v>289</v>
      </c>
      <c r="C159" s="146">
        <v>8034163</v>
      </c>
      <c r="D159" s="146">
        <v>8376994</v>
      </c>
      <c r="E159" s="146">
        <f t="shared" si="10"/>
        <v>342831</v>
      </c>
      <c r="F159" s="150">
        <f t="shared" si="11"/>
        <v>4.2671651048155235E-2</v>
      </c>
      <c r="G159" s="155"/>
    </row>
    <row r="160" spans="1:7" ht="15" customHeight="1" x14ac:dyDescent="0.2">
      <c r="A160" s="141">
        <v>3</v>
      </c>
      <c r="B160" s="161" t="s">
        <v>290</v>
      </c>
      <c r="C160" s="146">
        <v>0</v>
      </c>
      <c r="D160" s="146">
        <v>0</v>
      </c>
      <c r="E160" s="146">
        <f t="shared" si="10"/>
        <v>0</v>
      </c>
      <c r="F160" s="150">
        <f t="shared" si="11"/>
        <v>0</v>
      </c>
      <c r="G160" s="155"/>
    </row>
    <row r="161" spans="1:7" ht="15" customHeight="1" x14ac:dyDescent="0.2">
      <c r="A161" s="141">
        <v>4</v>
      </c>
      <c r="B161" s="161" t="s">
        <v>291</v>
      </c>
      <c r="C161" s="146">
        <v>2095024</v>
      </c>
      <c r="D161" s="146">
        <v>2174667</v>
      </c>
      <c r="E161" s="146">
        <f t="shared" si="10"/>
        <v>79643</v>
      </c>
      <c r="F161" s="150">
        <f t="shared" si="11"/>
        <v>3.8015316292319322E-2</v>
      </c>
      <c r="G161" s="155"/>
    </row>
    <row r="162" spans="1:7" ht="15" customHeight="1" x14ac:dyDescent="0.2">
      <c r="A162" s="141">
        <v>5</v>
      </c>
      <c r="B162" s="161" t="s">
        <v>292</v>
      </c>
      <c r="C162" s="146">
        <v>1351318</v>
      </c>
      <c r="D162" s="146">
        <v>1317875</v>
      </c>
      <c r="E162" s="146">
        <f t="shared" si="10"/>
        <v>-33443</v>
      </c>
      <c r="F162" s="150">
        <f t="shared" si="11"/>
        <v>-2.4748430791271928E-2</v>
      </c>
      <c r="G162" s="155"/>
    </row>
    <row r="163" spans="1:7" ht="15" customHeight="1" x14ac:dyDescent="0.2">
      <c r="A163" s="141">
        <v>6</v>
      </c>
      <c r="B163" s="161" t="s">
        <v>293</v>
      </c>
      <c r="C163" s="146">
        <v>2180716</v>
      </c>
      <c r="D163" s="146">
        <v>2333684</v>
      </c>
      <c r="E163" s="146">
        <f t="shared" si="10"/>
        <v>152968</v>
      </c>
      <c r="F163" s="150">
        <f t="shared" si="11"/>
        <v>7.0145768637456682E-2</v>
      </c>
      <c r="G163" s="155"/>
    </row>
    <row r="164" spans="1:7" ht="15" customHeight="1" x14ac:dyDescent="0.2">
      <c r="A164" s="141">
        <v>7</v>
      </c>
      <c r="B164" s="161" t="s">
        <v>294</v>
      </c>
      <c r="C164" s="146">
        <v>814597</v>
      </c>
      <c r="D164" s="146">
        <v>919236</v>
      </c>
      <c r="E164" s="146">
        <f t="shared" si="10"/>
        <v>104639</v>
      </c>
      <c r="F164" s="150">
        <f t="shared" si="11"/>
        <v>0.12845492924722285</v>
      </c>
      <c r="G164" s="155"/>
    </row>
    <row r="165" spans="1:7" ht="15" customHeight="1" x14ac:dyDescent="0.2">
      <c r="A165" s="141">
        <v>8</v>
      </c>
      <c r="B165" s="161" t="s">
        <v>295</v>
      </c>
      <c r="C165" s="146">
        <v>1486574</v>
      </c>
      <c r="D165" s="146">
        <v>1528982</v>
      </c>
      <c r="E165" s="146">
        <f t="shared" si="10"/>
        <v>42408</v>
      </c>
      <c r="F165" s="150">
        <f t="shared" si="11"/>
        <v>2.8527338699587103E-2</v>
      </c>
      <c r="G165" s="155"/>
    </row>
    <row r="166" spans="1:7" ht="15" customHeight="1" x14ac:dyDescent="0.2">
      <c r="A166" s="141">
        <v>9</v>
      </c>
      <c r="B166" s="161" t="s">
        <v>296</v>
      </c>
      <c r="C166" s="146">
        <v>3074409</v>
      </c>
      <c r="D166" s="146">
        <v>3209701</v>
      </c>
      <c r="E166" s="146">
        <f t="shared" si="10"/>
        <v>135292</v>
      </c>
      <c r="F166" s="150">
        <f t="shared" si="11"/>
        <v>4.4005856084860538E-2</v>
      </c>
      <c r="G166" s="155"/>
    </row>
    <row r="167" spans="1:7" ht="15" customHeight="1" x14ac:dyDescent="0.2">
      <c r="A167" s="141">
        <v>10</v>
      </c>
      <c r="B167" s="161" t="s">
        <v>297</v>
      </c>
      <c r="C167" s="146">
        <v>6055291</v>
      </c>
      <c r="D167" s="146">
        <v>6239020</v>
      </c>
      <c r="E167" s="146">
        <f t="shared" si="10"/>
        <v>183729</v>
      </c>
      <c r="F167" s="150">
        <f t="shared" si="11"/>
        <v>3.0341894386248323E-2</v>
      </c>
      <c r="G167" s="155"/>
    </row>
    <row r="168" spans="1:7" ht="15" customHeight="1" x14ac:dyDescent="0.2">
      <c r="A168" s="141">
        <v>11</v>
      </c>
      <c r="B168" s="161" t="s">
        <v>298</v>
      </c>
      <c r="C168" s="146">
        <v>0</v>
      </c>
      <c r="D168" s="146">
        <v>0</v>
      </c>
      <c r="E168" s="146">
        <f t="shared" si="10"/>
        <v>0</v>
      </c>
      <c r="F168" s="150">
        <f t="shared" si="11"/>
        <v>0</v>
      </c>
      <c r="G168" s="155"/>
    </row>
    <row r="169" spans="1:7" ht="15" customHeight="1" x14ac:dyDescent="0.2">
      <c r="A169" s="141">
        <v>12</v>
      </c>
      <c r="B169" s="161" t="s">
        <v>299</v>
      </c>
      <c r="C169" s="146">
        <v>3701245</v>
      </c>
      <c r="D169" s="146">
        <v>4052949</v>
      </c>
      <c r="E169" s="146">
        <f t="shared" si="10"/>
        <v>351704</v>
      </c>
      <c r="F169" s="150">
        <f t="shared" si="11"/>
        <v>9.5023161125513178E-2</v>
      </c>
      <c r="G169" s="155"/>
    </row>
    <row r="170" spans="1:7" ht="15" customHeight="1" x14ac:dyDescent="0.2">
      <c r="A170" s="141">
        <v>13</v>
      </c>
      <c r="B170" s="161" t="s">
        <v>300</v>
      </c>
      <c r="C170" s="146">
        <v>0</v>
      </c>
      <c r="D170" s="146">
        <v>0</v>
      </c>
      <c r="E170" s="146">
        <f t="shared" si="10"/>
        <v>0</v>
      </c>
      <c r="F170" s="150">
        <f t="shared" si="11"/>
        <v>0</v>
      </c>
      <c r="G170" s="155"/>
    </row>
    <row r="171" spans="1:7" ht="15.75" customHeight="1" x14ac:dyDescent="0.25">
      <c r="A171" s="141"/>
      <c r="B171" s="154" t="s">
        <v>301</v>
      </c>
      <c r="C171" s="147">
        <f>SUM(C158:C170)</f>
        <v>49722950</v>
      </c>
      <c r="D171" s="147">
        <f>SUM(D158:D170)</f>
        <v>51494164</v>
      </c>
      <c r="E171" s="147">
        <f t="shared" si="10"/>
        <v>1771214</v>
      </c>
      <c r="F171" s="148">
        <f t="shared" si="11"/>
        <v>3.5621659615931882E-2</v>
      </c>
      <c r="G171" s="155"/>
    </row>
    <row r="172" spans="1:7" ht="15.75" customHeight="1" x14ac:dyDescent="0.25">
      <c r="A172" s="141"/>
      <c r="B172" s="162"/>
      <c r="C172" s="146"/>
      <c r="D172" s="146"/>
      <c r="E172" s="147"/>
      <c r="F172" s="160"/>
      <c r="G172" s="155"/>
    </row>
    <row r="173" spans="1:7" ht="15.75" customHeight="1" x14ac:dyDescent="0.25">
      <c r="A173" s="144" t="s">
        <v>176</v>
      </c>
      <c r="B173" s="145" t="s">
        <v>302</v>
      </c>
      <c r="C173" s="146"/>
      <c r="D173" s="146"/>
      <c r="E173" s="147"/>
      <c r="F173" s="160"/>
      <c r="G173" s="155"/>
    </row>
    <row r="174" spans="1:7" ht="15" customHeight="1" x14ac:dyDescent="0.2">
      <c r="A174" s="141">
        <v>1</v>
      </c>
      <c r="B174" s="161" t="s">
        <v>303</v>
      </c>
      <c r="C174" s="146">
        <v>17489037</v>
      </c>
      <c r="D174" s="146">
        <v>6185510</v>
      </c>
      <c r="E174" s="146">
        <f>D174-C174</f>
        <v>-11303527</v>
      </c>
      <c r="F174" s="150">
        <f>IF(C174=0,0,E174/C174)</f>
        <v>-0.64632072080355252</v>
      </c>
      <c r="G174" s="155"/>
    </row>
    <row r="175" spans="1:7" ht="15.75" customHeight="1" x14ac:dyDescent="0.25">
      <c r="A175" s="141"/>
      <c r="B175" s="162"/>
      <c r="C175" s="146"/>
      <c r="D175" s="146"/>
      <c r="E175" s="147"/>
      <c r="F175" s="160"/>
      <c r="G175" s="155"/>
    </row>
    <row r="176" spans="1:7" ht="15.75" customHeight="1" x14ac:dyDescent="0.25">
      <c r="A176" s="153"/>
      <c r="B176" s="154" t="s">
        <v>304</v>
      </c>
      <c r="C176" s="147">
        <f>+C174+C171+C155+C118+C109</f>
        <v>381476536</v>
      </c>
      <c r="D176" s="147">
        <f>+D174+D171+D155+D118+D109</f>
        <v>368573386</v>
      </c>
      <c r="E176" s="147">
        <f>D176-C176</f>
        <v>-12903150</v>
      </c>
      <c r="F176" s="148">
        <f>IF(C176=0,0,E176/C176)</f>
        <v>-3.3824229755509784E-2</v>
      </c>
      <c r="G176" s="155"/>
    </row>
    <row r="177" spans="1:7" ht="15.75" customHeight="1" x14ac:dyDescent="0.25">
      <c r="A177" s="153"/>
      <c r="B177" s="162"/>
      <c r="C177" s="146"/>
      <c r="D177" s="146"/>
      <c r="E177" s="147"/>
      <c r="F177" s="148"/>
      <c r="G177" s="155"/>
    </row>
    <row r="178" spans="1:7" ht="15.75" customHeight="1" x14ac:dyDescent="0.25">
      <c r="A178" s="153"/>
      <c r="B178" s="157" t="s">
        <v>305</v>
      </c>
      <c r="C178" s="146"/>
      <c r="D178" s="146"/>
      <c r="E178" s="147"/>
      <c r="F178" s="148"/>
      <c r="G178" s="155"/>
    </row>
    <row r="179" spans="1:7" ht="15" customHeight="1" x14ac:dyDescent="0.2">
      <c r="A179" s="153"/>
      <c r="B179" s="162"/>
      <c r="C179" s="163"/>
      <c r="D179" s="163"/>
      <c r="E179" s="163"/>
      <c r="F179" s="163"/>
      <c r="G179" s="155"/>
    </row>
  </sheetData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FILING&amp;RTHE HOSPITAL OF CENTRAL CONNECTICUT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306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307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308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367733027</v>
      </c>
      <c r="D11" s="164">
        <v>364911931</v>
      </c>
      <c r="E11" s="51">
        <v>383316464</v>
      </c>
      <c r="F11" s="13"/>
    </row>
    <row r="12" spans="1:6" ht="24" customHeight="1" x14ac:dyDescent="0.25">
      <c r="A12" s="44">
        <v>2</v>
      </c>
      <c r="B12" s="165" t="s">
        <v>309</v>
      </c>
      <c r="C12" s="49">
        <v>15581616</v>
      </c>
      <c r="D12" s="49">
        <v>14808991</v>
      </c>
      <c r="E12" s="49">
        <v>9281147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383314643</v>
      </c>
      <c r="D13" s="51">
        <f>+D11+D12</f>
        <v>379720922</v>
      </c>
      <c r="E13" s="51">
        <f>+E11+E12</f>
        <v>392597611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371908113</v>
      </c>
      <c r="D14" s="49">
        <v>381476536</v>
      </c>
      <c r="E14" s="49">
        <v>368573386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11406530</v>
      </c>
      <c r="D15" s="51">
        <f>+D13-D14</f>
        <v>-1755614</v>
      </c>
      <c r="E15" s="51">
        <f>+E13-E14</f>
        <v>24024225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3326810</v>
      </c>
      <c r="D16" s="49">
        <v>7196048</v>
      </c>
      <c r="E16" s="49">
        <v>26025</v>
      </c>
      <c r="F16" s="13"/>
    </row>
    <row r="17" spans="1:6" ht="24" customHeight="1" x14ac:dyDescent="0.25">
      <c r="A17" s="44">
        <v>7</v>
      </c>
      <c r="B17" s="45" t="s">
        <v>310</v>
      </c>
      <c r="C17" s="51">
        <f>C15+C16</f>
        <v>14733340</v>
      </c>
      <c r="D17" s="51">
        <f>D15+D16</f>
        <v>5440434</v>
      </c>
      <c r="E17" s="51">
        <f>E15+E16</f>
        <v>24050250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311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312</v>
      </c>
      <c r="C20" s="169">
        <f>IF(+C27=0,0,+C24/+C27)</f>
        <v>2.9501570282998085E-2</v>
      </c>
      <c r="D20" s="169">
        <f>IF(+D27=0,0,+D24/+D27)</f>
        <v>-4.5374437828353716E-3</v>
      </c>
      <c r="E20" s="169">
        <f>IF(+E27=0,0,+E24/+E27)</f>
        <v>6.118894227753522E-2</v>
      </c>
      <c r="F20" s="13"/>
    </row>
    <row r="21" spans="1:6" ht="24" customHeight="1" x14ac:dyDescent="0.25">
      <c r="A21" s="25">
        <v>2</v>
      </c>
      <c r="B21" s="48" t="s">
        <v>313</v>
      </c>
      <c r="C21" s="169">
        <f>IF(C27=0,0,+C26/C27)</f>
        <v>8.6043800378538312E-3</v>
      </c>
      <c r="D21" s="169">
        <f>IF(D27=0,0,+D26/D27)</f>
        <v>1.8598429528691906E-2</v>
      </c>
      <c r="E21" s="169">
        <f>IF(E27=0,0,+E26/E27)</f>
        <v>6.62848530086966E-5</v>
      </c>
      <c r="F21" s="13"/>
    </row>
    <row r="22" spans="1:6" ht="24" customHeight="1" x14ac:dyDescent="0.25">
      <c r="A22" s="25">
        <v>3</v>
      </c>
      <c r="B22" s="48" t="s">
        <v>314</v>
      </c>
      <c r="C22" s="169">
        <f>IF(C27=0,0,+C28/C27)</f>
        <v>3.8105950320851914E-2</v>
      </c>
      <c r="D22" s="169">
        <f>IF(D27=0,0,+D28/D27)</f>
        <v>1.4060985745856534E-2</v>
      </c>
      <c r="E22" s="169">
        <f>IF(E27=0,0,+E28/E27)</f>
        <v>6.1255227130543918E-2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11406530</v>
      </c>
      <c r="D24" s="51">
        <f>+D15</f>
        <v>-1755614</v>
      </c>
      <c r="E24" s="51">
        <f>+E15</f>
        <v>24024225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383314643</v>
      </c>
      <c r="D25" s="51">
        <f>+D13</f>
        <v>379720922</v>
      </c>
      <c r="E25" s="51">
        <f>+E13</f>
        <v>392597611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3326810</v>
      </c>
      <c r="D26" s="51">
        <f>+D16</f>
        <v>7196048</v>
      </c>
      <c r="E26" s="51">
        <f>+E16</f>
        <v>26025</v>
      </c>
      <c r="F26" s="13"/>
    </row>
    <row r="27" spans="1:6" ht="24" customHeight="1" x14ac:dyDescent="0.25">
      <c r="A27" s="21">
        <v>7</v>
      </c>
      <c r="B27" s="48" t="s">
        <v>315</v>
      </c>
      <c r="C27" s="51">
        <f>+C25+C26</f>
        <v>386641453</v>
      </c>
      <c r="D27" s="51">
        <f>+D25+D26</f>
        <v>386916970</v>
      </c>
      <c r="E27" s="51">
        <f>+E25+E26</f>
        <v>392623636</v>
      </c>
      <c r="F27" s="13"/>
    </row>
    <row r="28" spans="1:6" ht="24" customHeight="1" x14ac:dyDescent="0.25">
      <c r="A28" s="21">
        <v>8</v>
      </c>
      <c r="B28" s="45" t="s">
        <v>310</v>
      </c>
      <c r="C28" s="51">
        <f>+C17</f>
        <v>14733340</v>
      </c>
      <c r="D28" s="51">
        <f>+D17</f>
        <v>5440434</v>
      </c>
      <c r="E28" s="51">
        <f>+E17</f>
        <v>24050250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316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317</v>
      </c>
      <c r="C31" s="51">
        <v>87443879</v>
      </c>
      <c r="D31" s="51">
        <v>96622401</v>
      </c>
      <c r="E31" s="51">
        <v>128627309</v>
      </c>
      <c r="F31" s="13"/>
    </row>
    <row r="32" spans="1:6" ht="24" customHeight="1" x14ac:dyDescent="0.25">
      <c r="A32" s="25">
        <v>2</v>
      </c>
      <c r="B32" s="48" t="s">
        <v>318</v>
      </c>
      <c r="C32" s="51">
        <v>122485352</v>
      </c>
      <c r="D32" s="51">
        <v>133555140</v>
      </c>
      <c r="E32" s="51">
        <v>165443112</v>
      </c>
      <c r="F32" s="13"/>
    </row>
    <row r="33" spans="1:6" ht="24" customHeight="1" x14ac:dyDescent="0.2">
      <c r="A33" s="25">
        <v>3</v>
      </c>
      <c r="B33" s="48" t="s">
        <v>319</v>
      </c>
      <c r="C33" s="51">
        <v>-72519587</v>
      </c>
      <c r="D33" s="51">
        <f>+D32-C32</f>
        <v>11069788</v>
      </c>
      <c r="E33" s="51">
        <f>+E32-D32</f>
        <v>31887972</v>
      </c>
      <c r="F33" s="5"/>
    </row>
    <row r="34" spans="1:6" ht="24" customHeight="1" x14ac:dyDescent="0.2">
      <c r="A34" s="25">
        <v>4</v>
      </c>
      <c r="B34" s="48" t="s">
        <v>320</v>
      </c>
      <c r="C34" s="171">
        <v>0.62809999999999999</v>
      </c>
      <c r="D34" s="171">
        <f>IF(C32=0,0,+D33/C32)</f>
        <v>9.0376423133437217E-2</v>
      </c>
      <c r="E34" s="171">
        <f>IF(D32=0,0,+E33/D32)</f>
        <v>0.23876259648262133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321</v>
      </c>
      <c r="B36" s="41" t="s">
        <v>322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323</v>
      </c>
      <c r="C38" s="172">
        <f>IF((C40+C41)=0,0,+C39/(C40+C41))</f>
        <v>0.43741571330684725</v>
      </c>
      <c r="D38" s="172">
        <f>IF((D40+D41)=0,0,+D39/(D40+D41))</f>
        <v>0.46288177826631333</v>
      </c>
      <c r="E38" s="172">
        <f>IF((E40+E41)=0,0,+E39/(E40+E41))</f>
        <v>0.42702133759689431</v>
      </c>
      <c r="F38" s="5"/>
    </row>
    <row r="39" spans="1:6" ht="24" customHeight="1" x14ac:dyDescent="0.2">
      <c r="A39" s="21">
        <v>2</v>
      </c>
      <c r="B39" s="48" t="s">
        <v>324</v>
      </c>
      <c r="C39" s="51">
        <v>371908113</v>
      </c>
      <c r="D39" s="51">
        <v>381476536</v>
      </c>
      <c r="E39" s="23">
        <v>368573386</v>
      </c>
      <c r="F39" s="5"/>
    </row>
    <row r="40" spans="1:6" ht="24" customHeight="1" x14ac:dyDescent="0.2">
      <c r="A40" s="21">
        <v>3</v>
      </c>
      <c r="B40" s="48" t="s">
        <v>325</v>
      </c>
      <c r="C40" s="51">
        <v>826891625</v>
      </c>
      <c r="D40" s="51">
        <v>800740049</v>
      </c>
      <c r="E40" s="23">
        <v>841847719</v>
      </c>
      <c r="F40" s="5"/>
    </row>
    <row r="41" spans="1:6" ht="24" customHeight="1" x14ac:dyDescent="0.2">
      <c r="A41" s="21">
        <v>4</v>
      </c>
      <c r="B41" s="48" t="s">
        <v>326</v>
      </c>
      <c r="C41" s="51">
        <v>23347865</v>
      </c>
      <c r="D41" s="51">
        <v>23393788</v>
      </c>
      <c r="E41" s="23">
        <v>21278672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327</v>
      </c>
      <c r="C43" s="173">
        <f>IF(C38=0,0,IF((C46-C47)=0,0,((+C44-C45)/(C46-C47)/C38)))</f>
        <v>1.3029300638954202</v>
      </c>
      <c r="D43" s="173">
        <f>IF(D38=0,0,IF((D46-D47)=0,0,((+D44-D45)/(D46-D47)/D38)))</f>
        <v>1.2762817626732383</v>
      </c>
      <c r="E43" s="173">
        <f>IF(E38=0,0,IF((E46-E47)=0,0,((+E44-E45)/(E46-E47)/E38)))</f>
        <v>1.5098101190591817</v>
      </c>
      <c r="F43" s="5"/>
    </row>
    <row r="44" spans="1:6" ht="24" customHeight="1" x14ac:dyDescent="0.2">
      <c r="A44" s="21">
        <v>6</v>
      </c>
      <c r="B44" s="48" t="s">
        <v>328</v>
      </c>
      <c r="C44" s="51">
        <v>168374191</v>
      </c>
      <c r="D44" s="51">
        <v>165689668</v>
      </c>
      <c r="E44" s="23">
        <v>174807350</v>
      </c>
      <c r="F44" s="5"/>
    </row>
    <row r="45" spans="1:6" ht="24" customHeight="1" x14ac:dyDescent="0.2">
      <c r="A45" s="21">
        <v>7</v>
      </c>
      <c r="B45" s="48" t="s">
        <v>329</v>
      </c>
      <c r="C45" s="51">
        <v>2467056</v>
      </c>
      <c r="D45" s="51">
        <v>6083766</v>
      </c>
      <c r="E45" s="23">
        <v>3532090</v>
      </c>
      <c r="F45" s="5"/>
    </row>
    <row r="46" spans="1:6" ht="24" customHeight="1" x14ac:dyDescent="0.2">
      <c r="A46" s="21">
        <v>8</v>
      </c>
      <c r="B46" s="48" t="s">
        <v>330</v>
      </c>
      <c r="C46" s="51">
        <v>311616464</v>
      </c>
      <c r="D46" s="51">
        <v>290748912</v>
      </c>
      <c r="E46" s="23">
        <v>283229097</v>
      </c>
      <c r="F46" s="5"/>
    </row>
    <row r="47" spans="1:6" ht="24" customHeight="1" x14ac:dyDescent="0.2">
      <c r="A47" s="21">
        <v>9</v>
      </c>
      <c r="B47" s="48" t="s">
        <v>331</v>
      </c>
      <c r="C47" s="51">
        <v>20511522</v>
      </c>
      <c r="D47" s="51">
        <v>20581913</v>
      </c>
      <c r="E47" s="174">
        <v>17571202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332</v>
      </c>
      <c r="C49" s="175">
        <f>IF(C38=0,0,IF(C51=0,0,(C50/C51)/C38))</f>
        <v>0.81666960180718873</v>
      </c>
      <c r="D49" s="175">
        <f>IF(D38=0,0,IF(D51=0,0,(D50/D51)/D38))</f>
        <v>0.78347978519264994</v>
      </c>
      <c r="E49" s="175">
        <f>IF(E38=0,0,IF(E51=0,0,(E50/E51)/E38))</f>
        <v>0.83747003651261531</v>
      </c>
      <c r="F49" s="7"/>
    </row>
    <row r="50" spans="1:6" ht="24" customHeight="1" x14ac:dyDescent="0.25">
      <c r="A50" s="21">
        <v>11</v>
      </c>
      <c r="B50" s="48" t="s">
        <v>333</v>
      </c>
      <c r="C50" s="176">
        <v>131787006</v>
      </c>
      <c r="D50" s="176">
        <v>128895993</v>
      </c>
      <c r="E50" s="176">
        <v>137749529</v>
      </c>
      <c r="F50" s="11"/>
    </row>
    <row r="51" spans="1:6" ht="24" customHeight="1" x14ac:dyDescent="0.25">
      <c r="A51" s="21">
        <v>12</v>
      </c>
      <c r="B51" s="48" t="s">
        <v>334</v>
      </c>
      <c r="C51" s="176">
        <v>368919678</v>
      </c>
      <c r="D51" s="176">
        <v>355419733</v>
      </c>
      <c r="E51" s="176">
        <v>385186687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335</v>
      </c>
      <c r="C53" s="175">
        <f>IF(C38=0,0,IF(C55=0,0,(C54/C55)/C38))</f>
        <v>0.75210943394542407</v>
      </c>
      <c r="D53" s="175">
        <f>IF(D38=0,0,IF(D55=0,0,(D54/D55)/D38))</f>
        <v>0.8233446451002685</v>
      </c>
      <c r="E53" s="175">
        <f>IF(E38=0,0,IF(E55=0,0,(E54/E55)/E38))</f>
        <v>0.80754282333383487</v>
      </c>
      <c r="F53" s="13"/>
    </row>
    <row r="54" spans="1:6" ht="24" customHeight="1" x14ac:dyDescent="0.25">
      <c r="A54" s="21">
        <v>14</v>
      </c>
      <c r="B54" s="48" t="s">
        <v>336</v>
      </c>
      <c r="C54" s="176">
        <v>39235443</v>
      </c>
      <c r="D54" s="176">
        <v>49292970</v>
      </c>
      <c r="E54" s="176">
        <v>59380843</v>
      </c>
      <c r="F54" s="13"/>
    </row>
    <row r="55" spans="1:6" ht="24" customHeight="1" x14ac:dyDescent="0.25">
      <c r="A55" s="21">
        <v>15</v>
      </c>
      <c r="B55" s="48" t="s">
        <v>337</v>
      </c>
      <c r="C55" s="176">
        <v>119262290</v>
      </c>
      <c r="D55" s="176">
        <v>129340113</v>
      </c>
      <c r="E55" s="176">
        <v>172199236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338</v>
      </c>
      <c r="C57" s="53">
        <f>+C60*C38</f>
        <v>10844596.703397226</v>
      </c>
      <c r="D57" s="53">
        <f>+D60*D38</f>
        <v>8317479.6256620055</v>
      </c>
      <c r="E57" s="53">
        <f>+E60*E38</f>
        <v>7858309.2725806711</v>
      </c>
      <c r="F57" s="13"/>
    </row>
    <row r="58" spans="1:6" ht="24" customHeight="1" x14ac:dyDescent="0.25">
      <c r="A58" s="21">
        <v>17</v>
      </c>
      <c r="B58" s="48" t="s">
        <v>339</v>
      </c>
      <c r="C58" s="51">
        <v>5631704</v>
      </c>
      <c r="D58" s="51">
        <v>8420571</v>
      </c>
      <c r="E58" s="52">
        <v>17262086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19160722</v>
      </c>
      <c r="D59" s="51">
        <v>9548336</v>
      </c>
      <c r="E59" s="52">
        <v>1140529</v>
      </c>
      <c r="F59" s="28"/>
    </row>
    <row r="60" spans="1:6" ht="24" customHeight="1" x14ac:dyDescent="0.25">
      <c r="A60" s="21">
        <v>19</v>
      </c>
      <c r="B60" s="48" t="s">
        <v>340</v>
      </c>
      <c r="C60" s="51">
        <v>24792426</v>
      </c>
      <c r="D60" s="51">
        <v>17968907</v>
      </c>
      <c r="E60" s="52">
        <v>18402615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341</v>
      </c>
      <c r="C62" s="178">
        <f>IF(C63=0,0,+C57/C63)</f>
        <v>2.9159344268989435E-2</v>
      </c>
      <c r="D62" s="178">
        <f>IF(D63=0,0,+D57/D63)</f>
        <v>2.1803384587884601E-2</v>
      </c>
      <c r="E62" s="178">
        <f>IF(E63=0,0,+E57/E63)</f>
        <v>2.13208809183544E-2</v>
      </c>
      <c r="F62" s="13"/>
    </row>
    <row r="63" spans="1:6" ht="24" customHeight="1" x14ac:dyDescent="0.25">
      <c r="A63" s="21">
        <v>21</v>
      </c>
      <c r="B63" s="45" t="s">
        <v>324</v>
      </c>
      <c r="C63" s="176">
        <v>371908113</v>
      </c>
      <c r="D63" s="176">
        <v>381476536</v>
      </c>
      <c r="E63" s="176">
        <v>368573386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342</v>
      </c>
      <c r="B65" s="41" t="s">
        <v>343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344</v>
      </c>
      <c r="C67" s="179">
        <f>IF(C69=0,0,C68/C69)</f>
        <v>0.9429059838463929</v>
      </c>
      <c r="D67" s="179">
        <f>IF(D69=0,0,D68/D69)</f>
        <v>0.90622645286857406</v>
      </c>
      <c r="E67" s="179">
        <f>IF(E69=0,0,E68/E69)</f>
        <v>0.9983919972423656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67871970</v>
      </c>
      <c r="D68" s="180">
        <v>69156292</v>
      </c>
      <c r="E68" s="180">
        <v>77628570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71981694</v>
      </c>
      <c r="D69" s="180">
        <v>76312374</v>
      </c>
      <c r="E69" s="180">
        <v>77753598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345</v>
      </c>
      <c r="C71" s="181">
        <f>IF((C77/365)=0,0,+C74/(C77/365))</f>
        <v>22.907942930047444</v>
      </c>
      <c r="D71" s="181">
        <f>IF((D77/365)=0,0,+D74/(D77/365))</f>
        <v>23.358079575777662</v>
      </c>
      <c r="E71" s="181">
        <f>IF((E77/365)=0,0,+E74/(E77/365))</f>
        <v>17.911979346618644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22241282</v>
      </c>
      <c r="D72" s="182">
        <v>23292786</v>
      </c>
      <c r="E72" s="182">
        <v>17170654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0</v>
      </c>
      <c r="D73" s="184">
        <v>0</v>
      </c>
      <c r="E73" s="184">
        <v>0</v>
      </c>
      <c r="F73" s="28"/>
    </row>
    <row r="74" spans="1:6" ht="24" customHeight="1" x14ac:dyDescent="0.25">
      <c r="A74" s="21">
        <v>7</v>
      </c>
      <c r="B74" s="48" t="s">
        <v>346</v>
      </c>
      <c r="C74" s="180">
        <f>+C72+C73</f>
        <v>22241282</v>
      </c>
      <c r="D74" s="180">
        <f>+D72+D73</f>
        <v>23292786</v>
      </c>
      <c r="E74" s="180">
        <f>+E72+E73</f>
        <v>17170654</v>
      </c>
      <c r="F74" s="28"/>
    </row>
    <row r="75" spans="1:6" ht="24" customHeight="1" x14ac:dyDescent="0.25">
      <c r="A75" s="21">
        <v>8</v>
      </c>
      <c r="B75" s="48" t="s">
        <v>324</v>
      </c>
      <c r="C75" s="180">
        <f>+C14</f>
        <v>371908113</v>
      </c>
      <c r="D75" s="180">
        <f>+D14</f>
        <v>381476536</v>
      </c>
      <c r="E75" s="180">
        <f>+E14</f>
        <v>368573386</v>
      </c>
      <c r="F75" s="28"/>
    </row>
    <row r="76" spans="1:6" ht="24" customHeight="1" x14ac:dyDescent="0.25">
      <c r="A76" s="21">
        <v>9</v>
      </c>
      <c r="B76" s="45" t="s">
        <v>347</v>
      </c>
      <c r="C76" s="180">
        <v>17530247</v>
      </c>
      <c r="D76" s="180">
        <v>17496832</v>
      </c>
      <c r="E76" s="180">
        <v>18679687</v>
      </c>
      <c r="F76" s="28"/>
    </row>
    <row r="77" spans="1:6" ht="24" customHeight="1" x14ac:dyDescent="0.25">
      <c r="A77" s="21">
        <v>10</v>
      </c>
      <c r="B77" s="45" t="s">
        <v>348</v>
      </c>
      <c r="C77" s="180">
        <f>+C75-C76</f>
        <v>354377866</v>
      </c>
      <c r="D77" s="180">
        <f>+D75-D76</f>
        <v>363979704</v>
      </c>
      <c r="E77" s="180">
        <f>+E75-E76</f>
        <v>349893699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349</v>
      </c>
      <c r="C79" s="179">
        <f>IF((C84/365)=0,0,+C83/(C84/365))</f>
        <v>21.592992176359509</v>
      </c>
      <c r="D79" s="179">
        <f>IF((D84/365)=0,0,+D83/(D84/365))</f>
        <v>17.098263553350357</v>
      </c>
      <c r="E79" s="179">
        <f>IF((E84/365)=0,0,+E83/(E84/365))</f>
        <v>23.906774038278723</v>
      </c>
      <c r="F79" s="28"/>
    </row>
    <row r="80" spans="1:6" ht="24" customHeight="1" x14ac:dyDescent="0.25">
      <c r="A80" s="21">
        <v>12</v>
      </c>
      <c r="B80" s="188" t="s">
        <v>350</v>
      </c>
      <c r="C80" s="189">
        <v>36493910</v>
      </c>
      <c r="D80" s="189">
        <v>36543623</v>
      </c>
      <c r="E80" s="189">
        <v>48945018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0</v>
      </c>
      <c r="D81" s="190">
        <v>0</v>
      </c>
      <c r="E81" s="190">
        <v>0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14739235</v>
      </c>
      <c r="D82" s="190">
        <v>19449485</v>
      </c>
      <c r="E82" s="190">
        <v>23838552</v>
      </c>
      <c r="F82" s="28"/>
    </row>
    <row r="83" spans="1:6" ht="33.950000000000003" customHeight="1" x14ac:dyDescent="0.25">
      <c r="A83" s="21">
        <v>15</v>
      </c>
      <c r="B83" s="45" t="s">
        <v>351</v>
      </c>
      <c r="C83" s="191">
        <f>+C80+C81-C82</f>
        <v>21754675</v>
      </c>
      <c r="D83" s="191">
        <f>+D80+D81-D82</f>
        <v>17094138</v>
      </c>
      <c r="E83" s="191">
        <f>+E80+E81-E82</f>
        <v>25106466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367733027</v>
      </c>
      <c r="D84" s="191">
        <f>+D11</f>
        <v>364911931</v>
      </c>
      <c r="E84" s="191">
        <f>+E11</f>
        <v>383316464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352</v>
      </c>
      <c r="C86" s="179">
        <f>IF((C90/365)=0,0,+C87/(C90/365))</f>
        <v>74.139275701829533</v>
      </c>
      <c r="D86" s="179">
        <f>IF((D90/365)=0,0,+D87/(D90/365))</f>
        <v>76.526290350519105</v>
      </c>
      <c r="E86" s="179">
        <f>IF((E90/365)=0,0,+E87/(E90/365))</f>
        <v>81.110529715483665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71981694</v>
      </c>
      <c r="D87" s="51">
        <f>+D69</f>
        <v>76312374</v>
      </c>
      <c r="E87" s="51">
        <f>+E69</f>
        <v>77753598</v>
      </c>
      <c r="F87" s="28"/>
    </row>
    <row r="88" spans="1:6" ht="24" customHeight="1" x14ac:dyDescent="0.25">
      <c r="A88" s="21">
        <v>19</v>
      </c>
      <c r="B88" s="48" t="s">
        <v>324</v>
      </c>
      <c r="C88" s="51">
        <f t="shared" ref="C88:E89" si="0">+C75</f>
        <v>371908113</v>
      </c>
      <c r="D88" s="51">
        <f t="shared" si="0"/>
        <v>381476536</v>
      </c>
      <c r="E88" s="51">
        <f t="shared" si="0"/>
        <v>368573386</v>
      </c>
      <c r="F88" s="28"/>
    </row>
    <row r="89" spans="1:6" ht="24" customHeight="1" x14ac:dyDescent="0.25">
      <c r="A89" s="21">
        <v>20</v>
      </c>
      <c r="B89" s="48" t="s">
        <v>347</v>
      </c>
      <c r="C89" s="52">
        <f t="shared" si="0"/>
        <v>17530247</v>
      </c>
      <c r="D89" s="52">
        <f t="shared" si="0"/>
        <v>17496832</v>
      </c>
      <c r="E89" s="52">
        <f t="shared" si="0"/>
        <v>18679687</v>
      </c>
      <c r="F89" s="28"/>
    </row>
    <row r="90" spans="1:6" ht="24" customHeight="1" x14ac:dyDescent="0.25">
      <c r="A90" s="21">
        <v>21</v>
      </c>
      <c r="B90" s="48" t="s">
        <v>353</v>
      </c>
      <c r="C90" s="51">
        <f>+C88-C89</f>
        <v>354377866</v>
      </c>
      <c r="D90" s="51">
        <f>+D88-D89</f>
        <v>363979704</v>
      </c>
      <c r="E90" s="51">
        <f>+E88-E89</f>
        <v>349893699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354</v>
      </c>
      <c r="B92" s="41" t="s">
        <v>355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356</v>
      </c>
      <c r="C94" s="192">
        <f>IF(C96=0,0,(C95/C96)*100)</f>
        <v>38.164695851196498</v>
      </c>
      <c r="D94" s="192">
        <f>IF(D96=0,0,(D95/D96)*100)</f>
        <v>39.67861670293825</v>
      </c>
      <c r="E94" s="192">
        <f>IF(E96=0,0,(E95/E96)*100)</f>
        <v>44.281694079220351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122485352</v>
      </c>
      <c r="D95" s="51">
        <f>+D32</f>
        <v>133555140</v>
      </c>
      <c r="E95" s="51">
        <f>+E32</f>
        <v>165443112</v>
      </c>
      <c r="F95" s="28"/>
    </row>
    <row r="96" spans="1:6" ht="24" customHeight="1" x14ac:dyDescent="0.25">
      <c r="A96" s="21">
        <v>3</v>
      </c>
      <c r="B96" s="48" t="s">
        <v>43</v>
      </c>
      <c r="C96" s="51">
        <v>320938892</v>
      </c>
      <c r="D96" s="51">
        <v>336592228</v>
      </c>
      <c r="E96" s="51">
        <v>373615137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357</v>
      </c>
      <c r="C98" s="192">
        <f>IF(C104=0,0,(C101/C104)*100)</f>
        <v>29.655795435116449</v>
      </c>
      <c r="D98" s="192">
        <f>IF(D104=0,0,(D101/D104)*100)</f>
        <v>20.752092829765068</v>
      </c>
      <c r="E98" s="192">
        <f>IF(E104=0,0,(E101/E104)*100)</f>
        <v>52.497673568247315</v>
      </c>
      <c r="F98" s="28"/>
    </row>
    <row r="99" spans="1:6" ht="24" customHeight="1" x14ac:dyDescent="0.25">
      <c r="A99" s="21">
        <v>5</v>
      </c>
      <c r="B99" s="48" t="s">
        <v>358</v>
      </c>
      <c r="C99" s="51">
        <f>+C28</f>
        <v>14733340</v>
      </c>
      <c r="D99" s="51">
        <f>+D28</f>
        <v>5440434</v>
      </c>
      <c r="E99" s="51">
        <f>+E28</f>
        <v>24050250</v>
      </c>
      <c r="F99" s="28"/>
    </row>
    <row r="100" spans="1:6" ht="24" customHeight="1" x14ac:dyDescent="0.25">
      <c r="A100" s="21">
        <v>6</v>
      </c>
      <c r="B100" s="48" t="s">
        <v>347</v>
      </c>
      <c r="C100" s="52">
        <f>+C76</f>
        <v>17530247</v>
      </c>
      <c r="D100" s="52">
        <f>+D76</f>
        <v>17496832</v>
      </c>
      <c r="E100" s="52">
        <f>+E76</f>
        <v>18679687</v>
      </c>
      <c r="F100" s="28"/>
    </row>
    <row r="101" spans="1:6" ht="24" customHeight="1" x14ac:dyDescent="0.25">
      <c r="A101" s="21">
        <v>7</v>
      </c>
      <c r="B101" s="48" t="s">
        <v>359</v>
      </c>
      <c r="C101" s="51">
        <f>+C99+C100</f>
        <v>32263587</v>
      </c>
      <c r="D101" s="51">
        <f>+D99+D100</f>
        <v>22937266</v>
      </c>
      <c r="E101" s="51">
        <f>+E99+E100</f>
        <v>42729937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71981694</v>
      </c>
      <c r="D102" s="180">
        <f>+D69</f>
        <v>76312374</v>
      </c>
      <c r="E102" s="180">
        <f>+E69</f>
        <v>77753598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36811837</v>
      </c>
      <c r="D103" s="194">
        <v>34217519</v>
      </c>
      <c r="E103" s="194">
        <v>3640365</v>
      </c>
      <c r="F103" s="28"/>
    </row>
    <row r="104" spans="1:6" ht="24" customHeight="1" x14ac:dyDescent="0.25">
      <c r="A104" s="21">
        <v>10</v>
      </c>
      <c r="B104" s="195" t="s">
        <v>360</v>
      </c>
      <c r="C104" s="180">
        <f>+C102+C103</f>
        <v>108793531</v>
      </c>
      <c r="D104" s="180">
        <f>+D102+D103</f>
        <v>110529893</v>
      </c>
      <c r="E104" s="180">
        <f>+E102+E103</f>
        <v>81393963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361</v>
      </c>
      <c r="C106" s="197">
        <f>IF(C109=0,0,(C107/C109)*100)</f>
        <v>23.108905581504015</v>
      </c>
      <c r="D106" s="197">
        <f>IF(D109=0,0,(D107/D109)*100)</f>
        <v>20.39516999012336</v>
      </c>
      <c r="E106" s="197">
        <f>IF(E109=0,0,(E107/E109)*100)</f>
        <v>2.1529986634944818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36811837</v>
      </c>
      <c r="D107" s="180">
        <f>+D103</f>
        <v>34217519</v>
      </c>
      <c r="E107" s="180">
        <f>+E103</f>
        <v>3640365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122485352</v>
      </c>
      <c r="D108" s="180">
        <f>+D32</f>
        <v>133555140</v>
      </c>
      <c r="E108" s="180">
        <f>+E32</f>
        <v>165443112</v>
      </c>
      <c r="F108" s="28"/>
    </row>
    <row r="109" spans="1:6" ht="24" customHeight="1" x14ac:dyDescent="0.25">
      <c r="A109" s="17">
        <v>14</v>
      </c>
      <c r="B109" s="48" t="s">
        <v>362</v>
      </c>
      <c r="C109" s="180">
        <f>+C107+C108</f>
        <v>159297189</v>
      </c>
      <c r="D109" s="180">
        <f>+D107+D108</f>
        <v>167772659</v>
      </c>
      <c r="E109" s="180">
        <f>+E107+E108</f>
        <v>169083477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363</v>
      </c>
      <c r="C111" s="197">
        <f>IF((+C113+C115)=0,0,((+C112+C113+C114)/(+C113+C115)))</f>
        <v>6.2494701753018536</v>
      </c>
      <c r="D111" s="197">
        <f>IF((+D113+D115)=0,0,((+D112+D113+D114)/(+D113+D115)))</f>
        <v>4.6931745579297193</v>
      </c>
      <c r="E111" s="197">
        <f>IF((+E113+E115)=0,0,((+E112+E113+E114)/(+E113+E115)))</f>
        <v>9.2171994715145722</v>
      </c>
    </row>
    <row r="112" spans="1:6" ht="24" customHeight="1" x14ac:dyDescent="0.25">
      <c r="A112" s="17">
        <v>16</v>
      </c>
      <c r="B112" s="48" t="s">
        <v>364</v>
      </c>
      <c r="C112" s="180">
        <f>+C17</f>
        <v>14733340</v>
      </c>
      <c r="D112" s="180">
        <f>+D17</f>
        <v>5440434</v>
      </c>
      <c r="E112" s="180">
        <f>+E17</f>
        <v>24050250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1892811</v>
      </c>
      <c r="D113" s="180">
        <v>1545904</v>
      </c>
      <c r="E113" s="180">
        <v>837138</v>
      </c>
      <c r="F113" s="28"/>
    </row>
    <row r="114" spans="1:8" ht="24" customHeight="1" x14ac:dyDescent="0.25">
      <c r="A114" s="17">
        <v>18</v>
      </c>
      <c r="B114" s="48" t="s">
        <v>365</v>
      </c>
      <c r="C114" s="180">
        <v>17530247</v>
      </c>
      <c r="D114" s="180">
        <v>17496832</v>
      </c>
      <c r="E114" s="180">
        <v>18679687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3572676</v>
      </c>
      <c r="D115" s="180">
        <v>3670857</v>
      </c>
      <c r="E115" s="180">
        <v>3889577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366</v>
      </c>
      <c r="B117" s="30" t="s">
        <v>367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368</v>
      </c>
      <c r="C119" s="197">
        <f>IF(+C121=0,0,(+C120)/(+C121))</f>
        <v>13.06445995883572</v>
      </c>
      <c r="D119" s="197">
        <f>IF(+D121=0,0,(+D120)/(+D121))</f>
        <v>14.064336618194654</v>
      </c>
      <c r="E119" s="197">
        <f>IF(+E121=0,0,(+E120)/(+E121))</f>
        <v>13.933579508050643</v>
      </c>
    </row>
    <row r="120" spans="1:8" ht="24" customHeight="1" x14ac:dyDescent="0.25">
      <c r="A120" s="17">
        <v>21</v>
      </c>
      <c r="B120" s="48" t="s">
        <v>369</v>
      </c>
      <c r="C120" s="180">
        <v>229023210</v>
      </c>
      <c r="D120" s="180">
        <v>246081335</v>
      </c>
      <c r="E120" s="180">
        <v>260274904</v>
      </c>
      <c r="F120" s="28"/>
    </row>
    <row r="121" spans="1:8" ht="24" customHeight="1" x14ac:dyDescent="0.25">
      <c r="A121" s="17">
        <v>22</v>
      </c>
      <c r="B121" s="48" t="s">
        <v>365</v>
      </c>
      <c r="C121" s="180">
        <v>17530247</v>
      </c>
      <c r="D121" s="180">
        <v>17496832</v>
      </c>
      <c r="E121" s="180">
        <v>18679687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370</v>
      </c>
      <c r="B123" s="30" t="s">
        <v>371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372</v>
      </c>
      <c r="C124" s="198">
        <v>86498</v>
      </c>
      <c r="D124" s="198">
        <v>81872</v>
      </c>
      <c r="E124" s="198">
        <v>83137</v>
      </c>
    </row>
    <row r="125" spans="1:8" ht="24" customHeight="1" x14ac:dyDescent="0.2">
      <c r="A125" s="44">
        <v>2</v>
      </c>
      <c r="B125" s="48" t="s">
        <v>373</v>
      </c>
      <c r="C125" s="198">
        <v>20067</v>
      </c>
      <c r="D125" s="198">
        <v>19517</v>
      </c>
      <c r="E125" s="198">
        <v>20546</v>
      </c>
    </row>
    <row r="126" spans="1:8" ht="24" customHeight="1" x14ac:dyDescent="0.2">
      <c r="A126" s="44">
        <v>3</v>
      </c>
      <c r="B126" s="48" t="s">
        <v>374</v>
      </c>
      <c r="C126" s="199">
        <f>IF(C125=0,0,C124/C125)</f>
        <v>4.3104599591368915</v>
      </c>
      <c r="D126" s="199">
        <f>IF(D125=0,0,D124/D125)</f>
        <v>4.1949070041502283</v>
      </c>
      <c r="E126" s="199">
        <f>IF(E125=0,0,E124/E125)</f>
        <v>4.0463837243259029</v>
      </c>
    </row>
    <row r="127" spans="1:8" ht="24" customHeight="1" x14ac:dyDescent="0.2">
      <c r="A127" s="44">
        <v>4</v>
      </c>
      <c r="B127" s="48" t="s">
        <v>375</v>
      </c>
      <c r="C127" s="198">
        <v>349</v>
      </c>
      <c r="D127" s="198">
        <v>341</v>
      </c>
      <c r="E127" s="198">
        <v>356</v>
      </c>
    </row>
    <row r="128" spans="1:8" ht="24" customHeight="1" x14ac:dyDescent="0.2">
      <c r="A128" s="44">
        <v>5</v>
      </c>
      <c r="B128" s="48" t="s">
        <v>376</v>
      </c>
      <c r="C128" s="198">
        <v>0</v>
      </c>
      <c r="D128" s="198">
        <v>356</v>
      </c>
      <c r="E128" s="198">
        <v>383</v>
      </c>
      <c r="G128" s="6"/>
      <c r="H128" s="12"/>
    </row>
    <row r="129" spans="1:8" ht="24" customHeight="1" x14ac:dyDescent="0.2">
      <c r="A129" s="44">
        <v>6</v>
      </c>
      <c r="B129" s="48" t="s">
        <v>377</v>
      </c>
      <c r="C129" s="198">
        <v>446</v>
      </c>
      <c r="D129" s="198">
        <v>446</v>
      </c>
      <c r="E129" s="198">
        <v>464</v>
      </c>
      <c r="G129" s="6"/>
      <c r="H129" s="12"/>
    </row>
    <row r="130" spans="1:8" ht="24" customHeight="1" x14ac:dyDescent="0.2">
      <c r="A130" s="44">
        <v>6</v>
      </c>
      <c r="B130" s="48" t="s">
        <v>378</v>
      </c>
      <c r="C130" s="171">
        <v>0.67900000000000005</v>
      </c>
      <c r="D130" s="171">
        <v>0.65769999999999995</v>
      </c>
      <c r="E130" s="171">
        <v>0.63980000000000004</v>
      </c>
    </row>
    <row r="131" spans="1:8" ht="24" customHeight="1" x14ac:dyDescent="0.2">
      <c r="A131" s="44">
        <v>7</v>
      </c>
      <c r="B131" s="48" t="s">
        <v>379</v>
      </c>
      <c r="C131" s="171">
        <v>0.64039999999999997</v>
      </c>
      <c r="D131" s="171">
        <v>0.63</v>
      </c>
      <c r="E131" s="171">
        <v>0.59470000000000001</v>
      </c>
    </row>
    <row r="132" spans="1:8" ht="24" customHeight="1" x14ac:dyDescent="0.2">
      <c r="A132" s="44">
        <v>8</v>
      </c>
      <c r="B132" s="48" t="s">
        <v>380</v>
      </c>
      <c r="C132" s="199">
        <v>2224.1999999999998</v>
      </c>
      <c r="D132" s="199">
        <v>2166.1</v>
      </c>
      <c r="E132" s="199">
        <v>2172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381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382</v>
      </c>
      <c r="C135" s="203">
        <f>IF(C149=0,0,C143/C149)</f>
        <v>0.35204727342594622</v>
      </c>
      <c r="D135" s="203">
        <f>IF(D149=0,0,D143/D149)</f>
        <v>0.33739663619597476</v>
      </c>
      <c r="E135" s="203">
        <f>IF(E149=0,0,E143/E149)</f>
        <v>0.31556526079985731</v>
      </c>
      <c r="G135" s="6"/>
    </row>
    <row r="136" spans="1:8" ht="20.100000000000001" customHeight="1" x14ac:dyDescent="0.2">
      <c r="A136" s="202">
        <v>2</v>
      </c>
      <c r="B136" s="195" t="s">
        <v>383</v>
      </c>
      <c r="C136" s="203">
        <f>IF(C149=0,0,C144/C149)</f>
        <v>0.44615239391256384</v>
      </c>
      <c r="D136" s="203">
        <f>IF(D149=0,0,D144/D149)</f>
        <v>0.44386406480338292</v>
      </c>
      <c r="E136" s="203">
        <f>IF(E149=0,0,E144/E149)</f>
        <v>0.45754912474853426</v>
      </c>
    </row>
    <row r="137" spans="1:8" ht="20.100000000000001" customHeight="1" x14ac:dyDescent="0.2">
      <c r="A137" s="202">
        <v>3</v>
      </c>
      <c r="B137" s="195" t="s">
        <v>384</v>
      </c>
      <c r="C137" s="203">
        <f>IF(C149=0,0,C145/C149)</f>
        <v>0.1442296504091452</v>
      </c>
      <c r="D137" s="203">
        <f>IF(D149=0,0,D145/D149)</f>
        <v>0.16152572006548907</v>
      </c>
      <c r="E137" s="203">
        <f>IF(E149=0,0,E145/E149)</f>
        <v>0.20454915077105532</v>
      </c>
      <c r="G137" s="6"/>
    </row>
    <row r="138" spans="1:8" ht="20.100000000000001" customHeight="1" x14ac:dyDescent="0.2">
      <c r="A138" s="202">
        <v>4</v>
      </c>
      <c r="B138" s="195" t="s">
        <v>385</v>
      </c>
      <c r="C138" s="203">
        <f>IF(C149=0,0,C146/C149)</f>
        <v>3.1338782757655816E-2</v>
      </c>
      <c r="D138" s="203">
        <f>IF(D149=0,0,D146/D149)</f>
        <v>2.9731213056885582E-2</v>
      </c>
      <c r="E138" s="203">
        <f>IF(E149=0,0,E146/E149)</f>
        <v>0</v>
      </c>
      <c r="G138" s="6"/>
    </row>
    <row r="139" spans="1:8" ht="20.100000000000001" customHeight="1" x14ac:dyDescent="0.2">
      <c r="A139" s="202">
        <v>5</v>
      </c>
      <c r="B139" s="195" t="s">
        <v>386</v>
      </c>
      <c r="C139" s="203">
        <f>IF(C149=0,0,C147/C149)</f>
        <v>2.4805574732964554E-2</v>
      </c>
      <c r="D139" s="203">
        <f>IF(D149=0,0,D147/D149)</f>
        <v>2.5703613832858258E-2</v>
      </c>
      <c r="E139" s="203">
        <f>IF(E149=0,0,E147/E149)</f>
        <v>2.087218579254712E-2</v>
      </c>
    </row>
    <row r="140" spans="1:8" ht="20.100000000000001" customHeight="1" x14ac:dyDescent="0.2">
      <c r="A140" s="202">
        <v>6</v>
      </c>
      <c r="B140" s="195" t="s">
        <v>387</v>
      </c>
      <c r="C140" s="203">
        <f>IF(C149=0,0,C148/C149)</f>
        <v>1.4263247617243675E-3</v>
      </c>
      <c r="D140" s="203">
        <f>IF(D149=0,0,D148/D149)</f>
        <v>1.7787520454094336E-3</v>
      </c>
      <c r="E140" s="203">
        <f>IF(E149=0,0,E148/E149)</f>
        <v>1.4642778880060135E-3</v>
      </c>
    </row>
    <row r="141" spans="1:8" ht="20.100000000000001" customHeight="1" x14ac:dyDescent="0.2">
      <c r="A141" s="202">
        <v>7</v>
      </c>
      <c r="B141" s="195" t="s">
        <v>388</v>
      </c>
      <c r="C141" s="203">
        <f>SUM(C135:C140)</f>
        <v>0.99999999999999989</v>
      </c>
      <c r="D141" s="203">
        <f>SUM(D135:D140)</f>
        <v>1</v>
      </c>
      <c r="E141" s="203">
        <f>SUM(E135:E140)</f>
        <v>0.99999999999999989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389</v>
      </c>
      <c r="C143" s="204">
        <f>+C46-C147</f>
        <v>291104942</v>
      </c>
      <c r="D143" s="205">
        <f>+D46-D147</f>
        <v>270166999</v>
      </c>
      <c r="E143" s="205">
        <f>+E46-E147</f>
        <v>265657895</v>
      </c>
    </row>
    <row r="144" spans="1:8" ht="20.100000000000001" customHeight="1" x14ac:dyDescent="0.2">
      <c r="A144" s="202">
        <v>9</v>
      </c>
      <c r="B144" s="201" t="s">
        <v>390</v>
      </c>
      <c r="C144" s="206">
        <f>+C51</f>
        <v>368919678</v>
      </c>
      <c r="D144" s="205">
        <f>+D51</f>
        <v>355419733</v>
      </c>
      <c r="E144" s="205">
        <f>+E51</f>
        <v>385186687</v>
      </c>
    </row>
    <row r="145" spans="1:7" ht="20.100000000000001" customHeight="1" x14ac:dyDescent="0.2">
      <c r="A145" s="202">
        <v>10</v>
      </c>
      <c r="B145" s="201" t="s">
        <v>391</v>
      </c>
      <c r="C145" s="206">
        <f>+C55</f>
        <v>119262290</v>
      </c>
      <c r="D145" s="205">
        <f>+D55</f>
        <v>129340113</v>
      </c>
      <c r="E145" s="205">
        <f>+E55</f>
        <v>172199236</v>
      </c>
    </row>
    <row r="146" spans="1:7" ht="20.100000000000001" customHeight="1" x14ac:dyDescent="0.2">
      <c r="A146" s="202">
        <v>11</v>
      </c>
      <c r="B146" s="201" t="s">
        <v>392</v>
      </c>
      <c r="C146" s="204">
        <v>25913777</v>
      </c>
      <c r="D146" s="205">
        <v>23806973</v>
      </c>
      <c r="E146" s="205">
        <v>0</v>
      </c>
    </row>
    <row r="147" spans="1:7" ht="20.100000000000001" customHeight="1" x14ac:dyDescent="0.2">
      <c r="A147" s="202">
        <v>12</v>
      </c>
      <c r="B147" s="201" t="s">
        <v>393</v>
      </c>
      <c r="C147" s="206">
        <f>+C47</f>
        <v>20511522</v>
      </c>
      <c r="D147" s="205">
        <f>+D47</f>
        <v>20581913</v>
      </c>
      <c r="E147" s="205">
        <f>+E47</f>
        <v>17571202</v>
      </c>
    </row>
    <row r="148" spans="1:7" ht="20.100000000000001" customHeight="1" x14ac:dyDescent="0.2">
      <c r="A148" s="202">
        <v>13</v>
      </c>
      <c r="B148" s="201" t="s">
        <v>394</v>
      </c>
      <c r="C148" s="206">
        <v>1179416</v>
      </c>
      <c r="D148" s="205">
        <v>1424318</v>
      </c>
      <c r="E148" s="205">
        <v>1232699</v>
      </c>
    </row>
    <row r="149" spans="1:7" ht="20.100000000000001" customHeight="1" x14ac:dyDescent="0.2">
      <c r="A149" s="202">
        <v>14</v>
      </c>
      <c r="B149" s="201" t="s">
        <v>395</v>
      </c>
      <c r="C149" s="204">
        <f>SUM(C143:C148)</f>
        <v>826891625</v>
      </c>
      <c r="D149" s="205">
        <f>SUM(D143:D148)</f>
        <v>800740049</v>
      </c>
      <c r="E149" s="205">
        <f>SUM(E143:E148)</f>
        <v>841847719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396</v>
      </c>
      <c r="B151" s="30" t="s">
        <v>397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398</v>
      </c>
      <c r="C152" s="203">
        <f>IF(C166=0,0,C160/C166)</f>
        <v>0.48193510683286561</v>
      </c>
      <c r="D152" s="203">
        <f>IF(D166=0,0,D160/D166)</f>
        <v>0.45769967285949853</v>
      </c>
      <c r="E152" s="203">
        <f>IF(E166=0,0,E160/E166)</f>
        <v>0.4599206945134317</v>
      </c>
    </row>
    <row r="153" spans="1:7" ht="20.100000000000001" customHeight="1" x14ac:dyDescent="0.2">
      <c r="A153" s="202">
        <v>2</v>
      </c>
      <c r="B153" s="195" t="s">
        <v>399</v>
      </c>
      <c r="C153" s="203">
        <f>IF(C166=0,0,C161/C166)</f>
        <v>0.38282129828710199</v>
      </c>
      <c r="D153" s="203">
        <f>IF(D166=0,0,D161/D166)</f>
        <v>0.36963328479544705</v>
      </c>
      <c r="E153" s="203">
        <f>IF(E166=0,0,E161/E166)</f>
        <v>0.36989498101814644</v>
      </c>
    </row>
    <row r="154" spans="1:7" ht="20.100000000000001" customHeight="1" x14ac:dyDescent="0.2">
      <c r="A154" s="202">
        <v>3</v>
      </c>
      <c r="B154" s="195" t="s">
        <v>400</v>
      </c>
      <c r="C154" s="203">
        <f>IF(C166=0,0,C162/C166)</f>
        <v>0.11397302119550078</v>
      </c>
      <c r="D154" s="203">
        <f>IF(D166=0,0,D162/D166)</f>
        <v>0.14135677917019054</v>
      </c>
      <c r="E154" s="203">
        <f>IF(E166=0,0,E162/E166)</f>
        <v>0.15945372702019572</v>
      </c>
    </row>
    <row r="155" spans="1:7" ht="20.100000000000001" customHeight="1" x14ac:dyDescent="0.2">
      <c r="A155" s="202">
        <v>4</v>
      </c>
      <c r="B155" s="195" t="s">
        <v>401</v>
      </c>
      <c r="C155" s="203">
        <f>IF(C166=0,0,C163/C166)</f>
        <v>1.3061573244731733E-2</v>
      </c>
      <c r="D155" s="203">
        <f>IF(D166=0,0,D163/D166)</f>
        <v>1.2764740290878492E-2</v>
      </c>
      <c r="E155" s="203">
        <f>IF(E166=0,0,E163/E166)</f>
        <v>0</v>
      </c>
      <c r="G155" s="6"/>
    </row>
    <row r="156" spans="1:7" ht="20.100000000000001" customHeight="1" x14ac:dyDescent="0.2">
      <c r="A156" s="202">
        <v>5</v>
      </c>
      <c r="B156" s="195" t="s">
        <v>402</v>
      </c>
      <c r="C156" s="203">
        <f>IF(C166=0,0,C164/C166)</f>
        <v>7.1664241379532116E-3</v>
      </c>
      <c r="D156" s="203">
        <f>IF(D166=0,0,D164/D166)</f>
        <v>1.7446332955492711E-2</v>
      </c>
      <c r="E156" s="203">
        <f>IF(E166=0,0,E164/E166)</f>
        <v>9.4846230908302055E-3</v>
      </c>
    </row>
    <row r="157" spans="1:7" ht="20.100000000000001" customHeight="1" x14ac:dyDescent="0.2">
      <c r="A157" s="202">
        <v>6</v>
      </c>
      <c r="B157" s="195" t="s">
        <v>403</v>
      </c>
      <c r="C157" s="203">
        <f>IF(C166=0,0,C165/C166)</f>
        <v>1.0425763018466743E-3</v>
      </c>
      <c r="D157" s="203">
        <f>IF(D166=0,0,D165/D166)</f>
        <v>1.0991899284926914E-3</v>
      </c>
      <c r="E157" s="203">
        <f>IF(E166=0,0,E165/E166)</f>
        <v>1.2459743573959008E-3</v>
      </c>
    </row>
    <row r="158" spans="1:7" ht="20.100000000000001" customHeight="1" x14ac:dyDescent="0.2">
      <c r="A158" s="202">
        <v>7</v>
      </c>
      <c r="B158" s="195" t="s">
        <v>404</v>
      </c>
      <c r="C158" s="203">
        <f>SUM(C152:C157)</f>
        <v>1</v>
      </c>
      <c r="D158" s="203">
        <f>SUM(D152:D157)</f>
        <v>0.99999999999999989</v>
      </c>
      <c r="E158" s="203">
        <f>SUM(E152:E157)</f>
        <v>1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405</v>
      </c>
      <c r="C160" s="207">
        <f>+C44-C164</f>
        <v>165907135</v>
      </c>
      <c r="D160" s="208">
        <f>+D44-D164</f>
        <v>159605902</v>
      </c>
      <c r="E160" s="208">
        <f>+E44-E164</f>
        <v>171275260</v>
      </c>
    </row>
    <row r="161" spans="1:6" ht="20.100000000000001" customHeight="1" x14ac:dyDescent="0.2">
      <c r="A161" s="202">
        <v>9</v>
      </c>
      <c r="B161" s="201" t="s">
        <v>406</v>
      </c>
      <c r="C161" s="209">
        <f>+C50</f>
        <v>131787006</v>
      </c>
      <c r="D161" s="208">
        <f>+D50</f>
        <v>128895993</v>
      </c>
      <c r="E161" s="208">
        <f>+E50</f>
        <v>137749529</v>
      </c>
    </row>
    <row r="162" spans="1:6" ht="20.100000000000001" customHeight="1" x14ac:dyDescent="0.2">
      <c r="A162" s="202">
        <v>10</v>
      </c>
      <c r="B162" s="201" t="s">
        <v>407</v>
      </c>
      <c r="C162" s="209">
        <f>+C54</f>
        <v>39235443</v>
      </c>
      <c r="D162" s="208">
        <f>+D54</f>
        <v>49292970</v>
      </c>
      <c r="E162" s="208">
        <f>+E54</f>
        <v>59380843</v>
      </c>
    </row>
    <row r="163" spans="1:6" ht="20.100000000000001" customHeight="1" x14ac:dyDescent="0.2">
      <c r="A163" s="202">
        <v>11</v>
      </c>
      <c r="B163" s="201" t="s">
        <v>408</v>
      </c>
      <c r="C163" s="207">
        <v>4496473</v>
      </c>
      <c r="D163" s="208">
        <v>4451233</v>
      </c>
      <c r="E163" s="208">
        <v>0</v>
      </c>
    </row>
    <row r="164" spans="1:6" ht="20.100000000000001" customHeight="1" x14ac:dyDescent="0.2">
      <c r="A164" s="202">
        <v>12</v>
      </c>
      <c r="B164" s="201" t="s">
        <v>409</v>
      </c>
      <c r="C164" s="209">
        <f>+C45</f>
        <v>2467056</v>
      </c>
      <c r="D164" s="208">
        <f>+D45</f>
        <v>6083766</v>
      </c>
      <c r="E164" s="208">
        <f>+E45</f>
        <v>3532090</v>
      </c>
    </row>
    <row r="165" spans="1:6" ht="20.100000000000001" customHeight="1" x14ac:dyDescent="0.2">
      <c r="A165" s="202">
        <v>13</v>
      </c>
      <c r="B165" s="201" t="s">
        <v>410</v>
      </c>
      <c r="C165" s="209">
        <v>358909</v>
      </c>
      <c r="D165" s="208">
        <v>383302</v>
      </c>
      <c r="E165" s="208">
        <v>464003</v>
      </c>
    </row>
    <row r="166" spans="1:6" ht="20.100000000000001" customHeight="1" x14ac:dyDescent="0.2">
      <c r="A166" s="202">
        <v>14</v>
      </c>
      <c r="B166" s="201" t="s">
        <v>411</v>
      </c>
      <c r="C166" s="207">
        <f>SUM(C160:C165)</f>
        <v>344252022</v>
      </c>
      <c r="D166" s="208">
        <f>SUM(D160:D165)</f>
        <v>348713166</v>
      </c>
      <c r="E166" s="208">
        <f>SUM(E160:E165)</f>
        <v>372401725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412</v>
      </c>
      <c r="B168" s="30" t="s">
        <v>373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413</v>
      </c>
      <c r="C169" s="198">
        <v>6963</v>
      </c>
      <c r="D169" s="198">
        <v>6207</v>
      </c>
      <c r="E169" s="198">
        <v>6033</v>
      </c>
    </row>
    <row r="170" spans="1:6" ht="20.100000000000001" customHeight="1" x14ac:dyDescent="0.2">
      <c r="A170" s="202">
        <v>2</v>
      </c>
      <c r="B170" s="201" t="s">
        <v>414</v>
      </c>
      <c r="C170" s="198">
        <v>9221</v>
      </c>
      <c r="D170" s="198">
        <v>8738</v>
      </c>
      <c r="E170" s="198">
        <v>9651</v>
      </c>
    </row>
    <row r="171" spans="1:6" ht="20.100000000000001" customHeight="1" x14ac:dyDescent="0.2">
      <c r="A171" s="202">
        <v>3</v>
      </c>
      <c r="B171" s="201" t="s">
        <v>415</v>
      </c>
      <c r="C171" s="198">
        <v>3850</v>
      </c>
      <c r="D171" s="198">
        <v>4535</v>
      </c>
      <c r="E171" s="198">
        <v>4816</v>
      </c>
    </row>
    <row r="172" spans="1:6" ht="20.100000000000001" customHeight="1" x14ac:dyDescent="0.2">
      <c r="A172" s="202">
        <v>4</v>
      </c>
      <c r="B172" s="201" t="s">
        <v>416</v>
      </c>
      <c r="C172" s="198">
        <v>3283</v>
      </c>
      <c r="D172" s="198">
        <v>4042</v>
      </c>
      <c r="E172" s="198">
        <v>4816</v>
      </c>
    </row>
    <row r="173" spans="1:6" ht="20.100000000000001" customHeight="1" x14ac:dyDescent="0.2">
      <c r="A173" s="202">
        <v>5</v>
      </c>
      <c r="B173" s="201" t="s">
        <v>417</v>
      </c>
      <c r="C173" s="198">
        <v>567</v>
      </c>
      <c r="D173" s="198">
        <v>493</v>
      </c>
      <c r="E173" s="198">
        <v>0</v>
      </c>
    </row>
    <row r="174" spans="1:6" ht="20.100000000000001" customHeight="1" x14ac:dyDescent="0.2">
      <c r="A174" s="202">
        <v>6</v>
      </c>
      <c r="B174" s="201" t="s">
        <v>418</v>
      </c>
      <c r="C174" s="198">
        <v>33</v>
      </c>
      <c r="D174" s="198">
        <v>37</v>
      </c>
      <c r="E174" s="198">
        <v>46</v>
      </c>
    </row>
    <row r="175" spans="1:6" ht="20.100000000000001" customHeight="1" x14ac:dyDescent="0.2">
      <c r="A175" s="202">
        <v>7</v>
      </c>
      <c r="B175" s="201" t="s">
        <v>419</v>
      </c>
      <c r="C175" s="198">
        <v>460</v>
      </c>
      <c r="D175" s="198">
        <v>334</v>
      </c>
      <c r="E175" s="198">
        <v>187</v>
      </c>
    </row>
    <row r="176" spans="1:6" ht="20.100000000000001" customHeight="1" x14ac:dyDescent="0.2">
      <c r="A176" s="202">
        <v>8</v>
      </c>
      <c r="B176" s="201" t="s">
        <v>420</v>
      </c>
      <c r="C176" s="198">
        <f>+C169+C170+C171+C174</f>
        <v>20067</v>
      </c>
      <c r="D176" s="198">
        <f>+D169+D170+D171+D174</f>
        <v>19517</v>
      </c>
      <c r="E176" s="198">
        <f>+E169+E170+E171+E174</f>
        <v>20546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421</v>
      </c>
      <c r="B178" s="30" t="s">
        <v>422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413</v>
      </c>
      <c r="C179" s="210">
        <v>1.0719000000000001</v>
      </c>
      <c r="D179" s="210">
        <v>1.1018399999999999</v>
      </c>
      <c r="E179" s="210">
        <v>1.09074</v>
      </c>
    </row>
    <row r="180" spans="1:6" ht="20.100000000000001" customHeight="1" x14ac:dyDescent="0.2">
      <c r="A180" s="202">
        <v>2</v>
      </c>
      <c r="B180" s="201" t="s">
        <v>414</v>
      </c>
      <c r="C180" s="210">
        <v>1.3560000000000001</v>
      </c>
      <c r="D180" s="210">
        <v>1.3634299999999999</v>
      </c>
      <c r="E180" s="210">
        <v>1.3198799999999999</v>
      </c>
    </row>
    <row r="181" spans="1:6" ht="20.100000000000001" customHeight="1" x14ac:dyDescent="0.2">
      <c r="A181" s="202">
        <v>3</v>
      </c>
      <c r="B181" s="201" t="s">
        <v>415</v>
      </c>
      <c r="C181" s="210">
        <v>0.91917700000000002</v>
      </c>
      <c r="D181" s="210">
        <v>0.96284700000000001</v>
      </c>
      <c r="E181" s="210">
        <v>0.97274000000000005</v>
      </c>
    </row>
    <row r="182" spans="1:6" ht="20.100000000000001" customHeight="1" x14ac:dyDescent="0.2">
      <c r="A182" s="202">
        <v>4</v>
      </c>
      <c r="B182" s="201" t="s">
        <v>416</v>
      </c>
      <c r="C182" s="210">
        <v>0.89039999999999997</v>
      </c>
      <c r="D182" s="210">
        <v>0.92566999999999999</v>
      </c>
      <c r="E182" s="210">
        <v>0.97274000000000005</v>
      </c>
    </row>
    <row r="183" spans="1:6" ht="20.100000000000001" customHeight="1" x14ac:dyDescent="0.2">
      <c r="A183" s="202">
        <v>5</v>
      </c>
      <c r="B183" s="201" t="s">
        <v>417</v>
      </c>
      <c r="C183" s="210">
        <v>1.0858000000000001</v>
      </c>
      <c r="D183" s="210">
        <v>1.26766</v>
      </c>
      <c r="E183" s="210">
        <v>0</v>
      </c>
    </row>
    <row r="184" spans="1:6" ht="20.100000000000001" customHeight="1" x14ac:dyDescent="0.2">
      <c r="A184" s="202">
        <v>6</v>
      </c>
      <c r="B184" s="201" t="s">
        <v>418</v>
      </c>
      <c r="C184" s="210">
        <v>0.79620000000000002</v>
      </c>
      <c r="D184" s="210">
        <v>0.96677999999999997</v>
      </c>
      <c r="E184" s="210">
        <v>0.76080999999999999</v>
      </c>
    </row>
    <row r="185" spans="1:6" ht="20.100000000000001" customHeight="1" x14ac:dyDescent="0.2">
      <c r="A185" s="202">
        <v>7</v>
      </c>
      <c r="B185" s="201" t="s">
        <v>419</v>
      </c>
      <c r="C185" s="210">
        <v>1.0395000000000001</v>
      </c>
      <c r="D185" s="210">
        <v>0.91161000000000003</v>
      </c>
      <c r="E185" s="210">
        <v>1.0122800000000001</v>
      </c>
    </row>
    <row r="186" spans="1:6" ht="20.100000000000001" customHeight="1" x14ac:dyDescent="0.2">
      <c r="A186" s="202">
        <v>8</v>
      </c>
      <c r="B186" s="201" t="s">
        <v>423</v>
      </c>
      <c r="C186" s="210">
        <v>1.1726920000000001</v>
      </c>
      <c r="D186" s="210">
        <v>1.186404</v>
      </c>
      <c r="E186" s="210">
        <v>1.169975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424</v>
      </c>
      <c r="B188" s="30" t="s">
        <v>425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426</v>
      </c>
      <c r="C189" s="198">
        <v>15137</v>
      </c>
      <c r="D189" s="198">
        <v>15051</v>
      </c>
      <c r="E189" s="198">
        <v>14219</v>
      </c>
    </row>
    <row r="190" spans="1:6" ht="20.100000000000001" customHeight="1" x14ac:dyDescent="0.2">
      <c r="A190" s="202">
        <v>2</v>
      </c>
      <c r="B190" s="201" t="s">
        <v>427</v>
      </c>
      <c r="C190" s="198">
        <v>87919</v>
      </c>
      <c r="D190" s="198">
        <v>90611</v>
      </c>
      <c r="E190" s="198">
        <v>94835</v>
      </c>
    </row>
    <row r="191" spans="1:6" ht="20.100000000000001" customHeight="1" x14ac:dyDescent="0.2">
      <c r="A191" s="202">
        <v>3</v>
      </c>
      <c r="B191" s="201" t="s">
        <v>428</v>
      </c>
      <c r="C191" s="198">
        <f>+C190+C189</f>
        <v>103056</v>
      </c>
      <c r="D191" s="198">
        <f>+D190+D189</f>
        <v>105662</v>
      </c>
      <c r="E191" s="198">
        <f>+E190+E189</f>
        <v>109054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FILING&amp;RTHE HOSPITAL OF CENTRAL CONNECTICUT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workbookViewId="0"/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4" width="21.140625" style="211" customWidth="1"/>
    <col min="5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90" t="s">
        <v>0</v>
      </c>
      <c r="B2" s="690"/>
      <c r="C2" s="690"/>
      <c r="D2" s="690"/>
      <c r="E2" s="690"/>
      <c r="F2" s="690"/>
    </row>
    <row r="3" spans="1:7" ht="20.25" customHeight="1" x14ac:dyDescent="0.3">
      <c r="A3" s="690" t="s">
        <v>1</v>
      </c>
      <c r="B3" s="690"/>
      <c r="C3" s="690"/>
      <c r="D3" s="690"/>
      <c r="E3" s="690"/>
      <c r="F3" s="690"/>
    </row>
    <row r="4" spans="1:7" ht="20.25" customHeight="1" x14ac:dyDescent="0.3">
      <c r="A4" s="690" t="s">
        <v>2</v>
      </c>
      <c r="B4" s="690"/>
      <c r="C4" s="690"/>
      <c r="D4" s="690"/>
      <c r="E4" s="690"/>
      <c r="F4" s="690"/>
    </row>
    <row r="5" spans="1:7" ht="20.25" customHeight="1" x14ac:dyDescent="0.3">
      <c r="A5" s="690" t="s">
        <v>429</v>
      </c>
      <c r="B5" s="690"/>
      <c r="C5" s="690"/>
      <c r="D5" s="690"/>
      <c r="E5" s="690"/>
      <c r="F5" s="690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25"/>
      <c r="B9" s="226"/>
      <c r="C9" s="691"/>
      <c r="D9" s="692"/>
      <c r="E9" s="692"/>
      <c r="F9" s="693"/>
      <c r="G9" s="212"/>
    </row>
    <row r="10" spans="1:7" ht="20.25" customHeight="1" x14ac:dyDescent="0.3">
      <c r="A10" s="694" t="s">
        <v>12</v>
      </c>
      <c r="B10" s="674" t="s">
        <v>113</v>
      </c>
      <c r="C10" s="676"/>
      <c r="D10" s="677"/>
      <c r="E10" s="677"/>
      <c r="F10" s="678"/>
    </row>
    <row r="11" spans="1:7" ht="20.25" customHeight="1" x14ac:dyDescent="0.3">
      <c r="A11" s="683"/>
      <c r="B11" s="675"/>
      <c r="C11" s="679"/>
      <c r="D11" s="680"/>
      <c r="E11" s="680"/>
      <c r="F11" s="681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433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873447</v>
      </c>
      <c r="D14" s="237">
        <v>1869156</v>
      </c>
      <c r="E14" s="237">
        <f t="shared" ref="E14:E24" si="0">D14-C14</f>
        <v>995709</v>
      </c>
      <c r="F14" s="238">
        <f t="shared" ref="F14:F24" si="1">IF(C14=0,0,E14/C14)</f>
        <v>1.1399764381811375</v>
      </c>
    </row>
    <row r="15" spans="1:7" ht="20.25" customHeight="1" x14ac:dyDescent="0.3">
      <c r="A15" s="235">
        <v>2</v>
      </c>
      <c r="B15" s="236" t="s">
        <v>435</v>
      </c>
      <c r="C15" s="237">
        <v>375241</v>
      </c>
      <c r="D15" s="237">
        <v>693389</v>
      </c>
      <c r="E15" s="237">
        <f t="shared" si="0"/>
        <v>318148</v>
      </c>
      <c r="F15" s="238">
        <f t="shared" si="1"/>
        <v>0.84784978187351601</v>
      </c>
    </row>
    <row r="16" spans="1:7" ht="20.25" customHeight="1" x14ac:dyDescent="0.3">
      <c r="A16" s="235">
        <v>3</v>
      </c>
      <c r="B16" s="236" t="s">
        <v>436</v>
      </c>
      <c r="C16" s="237">
        <v>774776</v>
      </c>
      <c r="D16" s="237">
        <v>1106564</v>
      </c>
      <c r="E16" s="237">
        <f t="shared" si="0"/>
        <v>331788</v>
      </c>
      <c r="F16" s="238">
        <f t="shared" si="1"/>
        <v>0.42823732278748955</v>
      </c>
    </row>
    <row r="17" spans="1:6" ht="20.25" customHeight="1" x14ac:dyDescent="0.3">
      <c r="A17" s="235">
        <v>4</v>
      </c>
      <c r="B17" s="236" t="s">
        <v>437</v>
      </c>
      <c r="C17" s="237">
        <v>376208</v>
      </c>
      <c r="D17" s="237">
        <v>416806</v>
      </c>
      <c r="E17" s="237">
        <f t="shared" si="0"/>
        <v>40598</v>
      </c>
      <c r="F17" s="238">
        <f t="shared" si="1"/>
        <v>0.10791370731084932</v>
      </c>
    </row>
    <row r="18" spans="1:6" ht="20.25" customHeight="1" x14ac:dyDescent="0.3">
      <c r="A18" s="235">
        <v>5</v>
      </c>
      <c r="B18" s="236" t="s">
        <v>373</v>
      </c>
      <c r="C18" s="239">
        <v>38</v>
      </c>
      <c r="D18" s="239">
        <v>68</v>
      </c>
      <c r="E18" s="239">
        <f t="shared" si="0"/>
        <v>30</v>
      </c>
      <c r="F18" s="238">
        <f t="shared" si="1"/>
        <v>0.78947368421052633</v>
      </c>
    </row>
    <row r="19" spans="1:6" ht="20.25" customHeight="1" x14ac:dyDescent="0.3">
      <c r="A19" s="235">
        <v>6</v>
      </c>
      <c r="B19" s="236" t="s">
        <v>372</v>
      </c>
      <c r="C19" s="239">
        <v>158</v>
      </c>
      <c r="D19" s="239">
        <v>330</v>
      </c>
      <c r="E19" s="239">
        <f t="shared" si="0"/>
        <v>172</v>
      </c>
      <c r="F19" s="238">
        <f t="shared" si="1"/>
        <v>1.0886075949367089</v>
      </c>
    </row>
    <row r="20" spans="1:6" ht="20.25" customHeight="1" x14ac:dyDescent="0.3">
      <c r="A20" s="235">
        <v>7</v>
      </c>
      <c r="B20" s="236" t="s">
        <v>438</v>
      </c>
      <c r="C20" s="239">
        <v>423</v>
      </c>
      <c r="D20" s="239">
        <v>525</v>
      </c>
      <c r="E20" s="239">
        <f t="shared" si="0"/>
        <v>102</v>
      </c>
      <c r="F20" s="238">
        <f t="shared" si="1"/>
        <v>0.24113475177304963</v>
      </c>
    </row>
    <row r="21" spans="1:6" ht="20.25" customHeight="1" x14ac:dyDescent="0.3">
      <c r="A21" s="235">
        <v>8</v>
      </c>
      <c r="B21" s="236" t="s">
        <v>439</v>
      </c>
      <c r="C21" s="239">
        <v>63</v>
      </c>
      <c r="D21" s="239">
        <v>89</v>
      </c>
      <c r="E21" s="239">
        <f t="shared" si="0"/>
        <v>26</v>
      </c>
      <c r="F21" s="238">
        <f t="shared" si="1"/>
        <v>0.41269841269841268</v>
      </c>
    </row>
    <row r="22" spans="1:6" ht="20.25" customHeight="1" x14ac:dyDescent="0.3">
      <c r="A22" s="235">
        <v>9</v>
      </c>
      <c r="B22" s="236" t="s">
        <v>440</v>
      </c>
      <c r="C22" s="239">
        <v>27</v>
      </c>
      <c r="D22" s="239">
        <v>32</v>
      </c>
      <c r="E22" s="239">
        <f t="shared" si="0"/>
        <v>5</v>
      </c>
      <c r="F22" s="238">
        <f t="shared" si="1"/>
        <v>0.18518518518518517</v>
      </c>
    </row>
    <row r="23" spans="1:6" s="240" customFormat="1" ht="20.25" customHeight="1" x14ac:dyDescent="0.3">
      <c r="A23" s="241"/>
      <c r="B23" s="242" t="s">
        <v>441</v>
      </c>
      <c r="C23" s="243">
        <f>+C14+C16</f>
        <v>1648223</v>
      </c>
      <c r="D23" s="243">
        <f>+D14+D16</f>
        <v>2975720</v>
      </c>
      <c r="E23" s="243">
        <f t="shared" si="0"/>
        <v>1327497</v>
      </c>
      <c r="F23" s="244">
        <f t="shared" si="1"/>
        <v>0.80541103964694094</v>
      </c>
    </row>
    <row r="24" spans="1:6" s="240" customFormat="1" ht="20.25" customHeight="1" x14ac:dyDescent="0.3">
      <c r="A24" s="241"/>
      <c r="B24" s="242" t="s">
        <v>442</v>
      </c>
      <c r="C24" s="243">
        <f>+C15+C17</f>
        <v>751449</v>
      </c>
      <c r="D24" s="243">
        <f>+D15+D17</f>
        <v>1110195</v>
      </c>
      <c r="E24" s="243">
        <f t="shared" si="0"/>
        <v>358746</v>
      </c>
      <c r="F24" s="244">
        <f t="shared" si="1"/>
        <v>0.47740565227979542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443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434</v>
      </c>
      <c r="C27" s="237">
        <v>11921</v>
      </c>
      <c r="D27" s="237">
        <v>11303</v>
      </c>
      <c r="E27" s="237">
        <f t="shared" ref="E27:E37" si="2">D27-C27</f>
        <v>-618</v>
      </c>
      <c r="F27" s="238">
        <f t="shared" ref="F27:F37" si="3">IF(C27=0,0,E27/C27)</f>
        <v>-5.1841288482509858E-2</v>
      </c>
    </row>
    <row r="28" spans="1:6" ht="20.25" customHeight="1" x14ac:dyDescent="0.3">
      <c r="A28" s="235">
        <v>2</v>
      </c>
      <c r="B28" s="236" t="s">
        <v>435</v>
      </c>
      <c r="C28" s="237">
        <v>6659</v>
      </c>
      <c r="D28" s="237">
        <v>5324</v>
      </c>
      <c r="E28" s="237">
        <f t="shared" si="2"/>
        <v>-1335</v>
      </c>
      <c r="F28" s="238">
        <f t="shared" si="3"/>
        <v>-0.20048055263553086</v>
      </c>
    </row>
    <row r="29" spans="1:6" ht="20.25" customHeight="1" x14ac:dyDescent="0.3">
      <c r="A29" s="235">
        <v>3</v>
      </c>
      <c r="B29" s="236" t="s">
        <v>436</v>
      </c>
      <c r="C29" s="237">
        <v>73836</v>
      </c>
      <c r="D29" s="237">
        <v>12094</v>
      </c>
      <c r="E29" s="237">
        <f t="shared" si="2"/>
        <v>-61742</v>
      </c>
      <c r="F29" s="238">
        <f t="shared" si="3"/>
        <v>-0.83620456146053412</v>
      </c>
    </row>
    <row r="30" spans="1:6" ht="20.25" customHeight="1" x14ac:dyDescent="0.3">
      <c r="A30" s="235">
        <v>4</v>
      </c>
      <c r="B30" s="236" t="s">
        <v>437</v>
      </c>
      <c r="C30" s="237">
        <v>26405</v>
      </c>
      <c r="D30" s="237">
        <v>2970</v>
      </c>
      <c r="E30" s="237">
        <f t="shared" si="2"/>
        <v>-23435</v>
      </c>
      <c r="F30" s="238">
        <f t="shared" si="3"/>
        <v>-0.88752130278356367</v>
      </c>
    </row>
    <row r="31" spans="1:6" ht="20.25" customHeight="1" x14ac:dyDescent="0.3">
      <c r="A31" s="235">
        <v>5</v>
      </c>
      <c r="B31" s="236" t="s">
        <v>373</v>
      </c>
      <c r="C31" s="239">
        <v>1</v>
      </c>
      <c r="D31" s="239">
        <v>1</v>
      </c>
      <c r="E31" s="239">
        <f t="shared" si="2"/>
        <v>0</v>
      </c>
      <c r="F31" s="238">
        <f t="shared" si="3"/>
        <v>0</v>
      </c>
    </row>
    <row r="32" spans="1:6" ht="20.25" customHeight="1" x14ac:dyDescent="0.3">
      <c r="A32" s="235">
        <v>6</v>
      </c>
      <c r="B32" s="236" t="s">
        <v>372</v>
      </c>
      <c r="C32" s="239">
        <v>1</v>
      </c>
      <c r="D32" s="239">
        <v>2</v>
      </c>
      <c r="E32" s="239">
        <f t="shared" si="2"/>
        <v>1</v>
      </c>
      <c r="F32" s="238">
        <f t="shared" si="3"/>
        <v>1</v>
      </c>
    </row>
    <row r="33" spans="1:6" ht="20.25" customHeight="1" x14ac:dyDescent="0.3">
      <c r="A33" s="235">
        <v>7</v>
      </c>
      <c r="B33" s="236" t="s">
        <v>438</v>
      </c>
      <c r="C33" s="239">
        <v>39</v>
      </c>
      <c r="D33" s="239">
        <v>12</v>
      </c>
      <c r="E33" s="239">
        <f t="shared" si="2"/>
        <v>-27</v>
      </c>
      <c r="F33" s="238">
        <f t="shared" si="3"/>
        <v>-0.69230769230769229</v>
      </c>
    </row>
    <row r="34" spans="1:6" ht="20.25" customHeight="1" x14ac:dyDescent="0.3">
      <c r="A34" s="235">
        <v>8</v>
      </c>
      <c r="B34" s="236" t="s">
        <v>439</v>
      </c>
      <c r="C34" s="239">
        <v>6</v>
      </c>
      <c r="D34" s="239">
        <v>2</v>
      </c>
      <c r="E34" s="239">
        <f t="shared" si="2"/>
        <v>-4</v>
      </c>
      <c r="F34" s="238">
        <f t="shared" si="3"/>
        <v>-0.66666666666666663</v>
      </c>
    </row>
    <row r="35" spans="1:6" ht="20.25" customHeight="1" x14ac:dyDescent="0.3">
      <c r="A35" s="235">
        <v>9</v>
      </c>
      <c r="B35" s="236" t="s">
        <v>440</v>
      </c>
      <c r="C35" s="239">
        <v>2</v>
      </c>
      <c r="D35" s="239">
        <v>1</v>
      </c>
      <c r="E35" s="239">
        <f t="shared" si="2"/>
        <v>-1</v>
      </c>
      <c r="F35" s="238">
        <f t="shared" si="3"/>
        <v>-0.5</v>
      </c>
    </row>
    <row r="36" spans="1:6" s="240" customFormat="1" ht="20.25" customHeight="1" x14ac:dyDescent="0.3">
      <c r="A36" s="241"/>
      <c r="B36" s="242" t="s">
        <v>441</v>
      </c>
      <c r="C36" s="243">
        <f>+C27+C29</f>
        <v>85757</v>
      </c>
      <c r="D36" s="243">
        <f>+D27+D29</f>
        <v>23397</v>
      </c>
      <c r="E36" s="243">
        <f t="shared" si="2"/>
        <v>-62360</v>
      </c>
      <c r="F36" s="244">
        <f t="shared" si="3"/>
        <v>-0.72717095980503055</v>
      </c>
    </row>
    <row r="37" spans="1:6" s="240" customFormat="1" ht="20.25" customHeight="1" x14ac:dyDescent="0.3">
      <c r="A37" s="241"/>
      <c r="B37" s="242" t="s">
        <v>442</v>
      </c>
      <c r="C37" s="243">
        <f>+C28+C30</f>
        <v>33064</v>
      </c>
      <c r="D37" s="243">
        <f>+D28+D30</f>
        <v>8294</v>
      </c>
      <c r="E37" s="243">
        <f t="shared" si="2"/>
        <v>-24770</v>
      </c>
      <c r="F37" s="244">
        <f t="shared" si="3"/>
        <v>-0.74915315751270262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444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434</v>
      </c>
      <c r="C40" s="237">
        <v>7142014</v>
      </c>
      <c r="D40" s="237">
        <v>9218293</v>
      </c>
      <c r="E40" s="237">
        <f t="shared" ref="E40:E50" si="4">D40-C40</f>
        <v>2076279</v>
      </c>
      <c r="F40" s="238">
        <f t="shared" ref="F40:F50" si="5">IF(C40=0,0,E40/C40)</f>
        <v>0.29071337580688023</v>
      </c>
    </row>
    <row r="41" spans="1:6" ht="20.25" customHeight="1" x14ac:dyDescent="0.3">
      <c r="A41" s="235">
        <v>2</v>
      </c>
      <c r="B41" s="236" t="s">
        <v>435</v>
      </c>
      <c r="C41" s="237">
        <v>2909932</v>
      </c>
      <c r="D41" s="237">
        <v>3802971</v>
      </c>
      <c r="E41" s="237">
        <f t="shared" si="4"/>
        <v>893039</v>
      </c>
      <c r="F41" s="238">
        <f t="shared" si="5"/>
        <v>0.30689342568829786</v>
      </c>
    </row>
    <row r="42" spans="1:6" ht="20.25" customHeight="1" x14ac:dyDescent="0.3">
      <c r="A42" s="235">
        <v>3</v>
      </c>
      <c r="B42" s="236" t="s">
        <v>436</v>
      </c>
      <c r="C42" s="237">
        <v>4931956</v>
      </c>
      <c r="D42" s="237">
        <v>6609848</v>
      </c>
      <c r="E42" s="237">
        <f t="shared" si="4"/>
        <v>1677892</v>
      </c>
      <c r="F42" s="238">
        <f t="shared" si="5"/>
        <v>0.34020822570193243</v>
      </c>
    </row>
    <row r="43" spans="1:6" ht="20.25" customHeight="1" x14ac:dyDescent="0.3">
      <c r="A43" s="235">
        <v>4</v>
      </c>
      <c r="B43" s="236" t="s">
        <v>437</v>
      </c>
      <c r="C43" s="237">
        <v>1388916</v>
      </c>
      <c r="D43" s="237">
        <v>1800084</v>
      </c>
      <c r="E43" s="237">
        <f t="shared" si="4"/>
        <v>411168</v>
      </c>
      <c r="F43" s="238">
        <f t="shared" si="5"/>
        <v>0.29603518139325918</v>
      </c>
    </row>
    <row r="44" spans="1:6" ht="20.25" customHeight="1" x14ac:dyDescent="0.3">
      <c r="A44" s="235">
        <v>5</v>
      </c>
      <c r="B44" s="236" t="s">
        <v>373</v>
      </c>
      <c r="C44" s="239">
        <v>276</v>
      </c>
      <c r="D44" s="239">
        <v>378</v>
      </c>
      <c r="E44" s="239">
        <f t="shared" si="4"/>
        <v>102</v>
      </c>
      <c r="F44" s="238">
        <f t="shared" si="5"/>
        <v>0.36956521739130432</v>
      </c>
    </row>
    <row r="45" spans="1:6" ht="20.25" customHeight="1" x14ac:dyDescent="0.3">
      <c r="A45" s="235">
        <v>6</v>
      </c>
      <c r="B45" s="236" t="s">
        <v>372</v>
      </c>
      <c r="C45" s="239">
        <v>1191</v>
      </c>
      <c r="D45" s="239">
        <v>1419</v>
      </c>
      <c r="E45" s="239">
        <f t="shared" si="4"/>
        <v>228</v>
      </c>
      <c r="F45" s="238">
        <f t="shared" si="5"/>
        <v>0.19143576826196473</v>
      </c>
    </row>
    <row r="46" spans="1:6" ht="20.25" customHeight="1" x14ac:dyDescent="0.3">
      <c r="A46" s="235">
        <v>7</v>
      </c>
      <c r="B46" s="236" t="s">
        <v>438</v>
      </c>
      <c r="C46" s="239">
        <v>3151</v>
      </c>
      <c r="D46" s="239">
        <v>3943</v>
      </c>
      <c r="E46" s="239">
        <f t="shared" si="4"/>
        <v>792</v>
      </c>
      <c r="F46" s="238">
        <f t="shared" si="5"/>
        <v>0.2513487781656617</v>
      </c>
    </row>
    <row r="47" spans="1:6" ht="20.25" customHeight="1" x14ac:dyDescent="0.3">
      <c r="A47" s="235">
        <v>8</v>
      </c>
      <c r="B47" s="236" t="s">
        <v>439</v>
      </c>
      <c r="C47" s="239">
        <v>470</v>
      </c>
      <c r="D47" s="239">
        <v>672</v>
      </c>
      <c r="E47" s="239">
        <f t="shared" si="4"/>
        <v>202</v>
      </c>
      <c r="F47" s="238">
        <f t="shared" si="5"/>
        <v>0.4297872340425532</v>
      </c>
    </row>
    <row r="48" spans="1:6" ht="20.25" customHeight="1" x14ac:dyDescent="0.3">
      <c r="A48" s="235">
        <v>9</v>
      </c>
      <c r="B48" s="236" t="s">
        <v>440</v>
      </c>
      <c r="C48" s="239">
        <v>199</v>
      </c>
      <c r="D48" s="239">
        <v>242</v>
      </c>
      <c r="E48" s="239">
        <f t="shared" si="4"/>
        <v>43</v>
      </c>
      <c r="F48" s="238">
        <f t="shared" si="5"/>
        <v>0.21608040201005024</v>
      </c>
    </row>
    <row r="49" spans="1:6" s="240" customFormat="1" ht="20.25" customHeight="1" x14ac:dyDescent="0.3">
      <c r="A49" s="241"/>
      <c r="B49" s="242" t="s">
        <v>441</v>
      </c>
      <c r="C49" s="243">
        <f>+C40+C42</f>
        <v>12073970</v>
      </c>
      <c r="D49" s="243">
        <f>+D40+D42</f>
        <v>15828141</v>
      </c>
      <c r="E49" s="243">
        <f t="shared" si="4"/>
        <v>3754171</v>
      </c>
      <c r="F49" s="244">
        <f t="shared" si="5"/>
        <v>0.31093095311649771</v>
      </c>
    </row>
    <row r="50" spans="1:6" s="240" customFormat="1" ht="20.25" customHeight="1" x14ac:dyDescent="0.3">
      <c r="A50" s="241"/>
      <c r="B50" s="242" t="s">
        <v>442</v>
      </c>
      <c r="C50" s="243">
        <f>+C41+C43</f>
        <v>4298848</v>
      </c>
      <c r="D50" s="243">
        <f>+D41+D43</f>
        <v>5603055</v>
      </c>
      <c r="E50" s="243">
        <f t="shared" si="4"/>
        <v>1304207</v>
      </c>
      <c r="F50" s="244">
        <f t="shared" si="5"/>
        <v>0.30338523250880234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445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434</v>
      </c>
      <c r="C53" s="237">
        <v>21494668</v>
      </c>
      <c r="D53" s="237">
        <v>7299855</v>
      </c>
      <c r="E53" s="237">
        <f t="shared" ref="E53:E63" si="6">D53-C53</f>
        <v>-14194813</v>
      </c>
      <c r="F53" s="238">
        <f t="shared" ref="F53:F63" si="7">IF(C53=0,0,E53/C53)</f>
        <v>-0.6603876365989928</v>
      </c>
    </row>
    <row r="54" spans="1:6" ht="20.25" customHeight="1" x14ac:dyDescent="0.3">
      <c r="A54" s="235">
        <v>2</v>
      </c>
      <c r="B54" s="236" t="s">
        <v>435</v>
      </c>
      <c r="C54" s="237">
        <v>8224274</v>
      </c>
      <c r="D54" s="237">
        <v>2737121</v>
      </c>
      <c r="E54" s="237">
        <f t="shared" si="6"/>
        <v>-5487153</v>
      </c>
      <c r="F54" s="238">
        <f t="shared" si="7"/>
        <v>-0.66718995500393108</v>
      </c>
    </row>
    <row r="55" spans="1:6" ht="20.25" customHeight="1" x14ac:dyDescent="0.3">
      <c r="A55" s="235">
        <v>3</v>
      </c>
      <c r="B55" s="236" t="s">
        <v>436</v>
      </c>
      <c r="C55" s="237">
        <v>11766586</v>
      </c>
      <c r="D55" s="237">
        <v>2922940</v>
      </c>
      <c r="E55" s="237">
        <f t="shared" si="6"/>
        <v>-8843646</v>
      </c>
      <c r="F55" s="238">
        <f t="shared" si="7"/>
        <v>-0.75158979843431217</v>
      </c>
    </row>
    <row r="56" spans="1:6" ht="20.25" customHeight="1" x14ac:dyDescent="0.3">
      <c r="A56" s="235">
        <v>4</v>
      </c>
      <c r="B56" s="236" t="s">
        <v>437</v>
      </c>
      <c r="C56" s="237">
        <v>3490085</v>
      </c>
      <c r="D56" s="237">
        <v>847601</v>
      </c>
      <c r="E56" s="237">
        <f t="shared" si="6"/>
        <v>-2642484</v>
      </c>
      <c r="F56" s="238">
        <f t="shared" si="7"/>
        <v>-0.75714029887524226</v>
      </c>
    </row>
    <row r="57" spans="1:6" ht="20.25" customHeight="1" x14ac:dyDescent="0.3">
      <c r="A57" s="235">
        <v>5</v>
      </c>
      <c r="B57" s="236" t="s">
        <v>373</v>
      </c>
      <c r="C57" s="239">
        <v>800</v>
      </c>
      <c r="D57" s="239">
        <v>254</v>
      </c>
      <c r="E57" s="239">
        <f t="shared" si="6"/>
        <v>-546</v>
      </c>
      <c r="F57" s="238">
        <f t="shared" si="7"/>
        <v>-0.6825</v>
      </c>
    </row>
    <row r="58" spans="1:6" ht="20.25" customHeight="1" x14ac:dyDescent="0.3">
      <c r="A58" s="235">
        <v>6</v>
      </c>
      <c r="B58" s="236" t="s">
        <v>372</v>
      </c>
      <c r="C58" s="239">
        <v>3747</v>
      </c>
      <c r="D58" s="239">
        <v>1227</v>
      </c>
      <c r="E58" s="239">
        <f t="shared" si="6"/>
        <v>-2520</v>
      </c>
      <c r="F58" s="238">
        <f t="shared" si="7"/>
        <v>-0.67253803042433946</v>
      </c>
    </row>
    <row r="59" spans="1:6" ht="20.25" customHeight="1" x14ac:dyDescent="0.3">
      <c r="A59" s="235">
        <v>7</v>
      </c>
      <c r="B59" s="236" t="s">
        <v>438</v>
      </c>
      <c r="C59" s="239">
        <v>7431</v>
      </c>
      <c r="D59" s="239">
        <v>1866</v>
      </c>
      <c r="E59" s="239">
        <f t="shared" si="6"/>
        <v>-5565</v>
      </c>
      <c r="F59" s="238">
        <f t="shared" si="7"/>
        <v>-0.7488897860314897</v>
      </c>
    </row>
    <row r="60" spans="1:6" ht="20.25" customHeight="1" x14ac:dyDescent="0.3">
      <c r="A60" s="235">
        <v>8</v>
      </c>
      <c r="B60" s="236" t="s">
        <v>439</v>
      </c>
      <c r="C60" s="239">
        <v>1105</v>
      </c>
      <c r="D60" s="239">
        <v>317</v>
      </c>
      <c r="E60" s="239">
        <f t="shared" si="6"/>
        <v>-788</v>
      </c>
      <c r="F60" s="238">
        <f t="shared" si="7"/>
        <v>-0.71312217194570138</v>
      </c>
    </row>
    <row r="61" spans="1:6" ht="20.25" customHeight="1" x14ac:dyDescent="0.3">
      <c r="A61" s="235">
        <v>9</v>
      </c>
      <c r="B61" s="236" t="s">
        <v>440</v>
      </c>
      <c r="C61" s="239">
        <v>470</v>
      </c>
      <c r="D61" s="239">
        <v>115</v>
      </c>
      <c r="E61" s="239">
        <f t="shared" si="6"/>
        <v>-355</v>
      </c>
      <c r="F61" s="238">
        <f t="shared" si="7"/>
        <v>-0.75531914893617025</v>
      </c>
    </row>
    <row r="62" spans="1:6" s="240" customFormat="1" ht="20.25" customHeight="1" x14ac:dyDescent="0.3">
      <c r="A62" s="241"/>
      <c r="B62" s="242" t="s">
        <v>441</v>
      </c>
      <c r="C62" s="243">
        <f>+C53+C55</f>
        <v>33261254</v>
      </c>
      <c r="D62" s="243">
        <f>+D53+D55</f>
        <v>10222795</v>
      </c>
      <c r="E62" s="243">
        <f t="shared" si="6"/>
        <v>-23038459</v>
      </c>
      <c r="F62" s="244">
        <f t="shared" si="7"/>
        <v>-0.69265154584971456</v>
      </c>
    </row>
    <row r="63" spans="1:6" s="240" customFormat="1" ht="20.25" customHeight="1" x14ac:dyDescent="0.3">
      <c r="A63" s="241"/>
      <c r="B63" s="242" t="s">
        <v>442</v>
      </c>
      <c r="C63" s="243">
        <f>+C54+C56</f>
        <v>11714359</v>
      </c>
      <c r="D63" s="243">
        <f>+D54+D56</f>
        <v>3584722</v>
      </c>
      <c r="E63" s="243">
        <f t="shared" si="6"/>
        <v>-8129637</v>
      </c>
      <c r="F63" s="244">
        <f t="shared" si="7"/>
        <v>-0.69398906077575395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446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434</v>
      </c>
      <c r="C66" s="237">
        <v>3000011</v>
      </c>
      <c r="D66" s="237">
        <v>3443699</v>
      </c>
      <c r="E66" s="237">
        <f t="shared" ref="E66:E76" si="8">D66-C66</f>
        <v>443688</v>
      </c>
      <c r="F66" s="238">
        <f t="shared" ref="F66:F76" si="9">IF(C66=0,0,E66/C66)</f>
        <v>0.14789545771665505</v>
      </c>
    </row>
    <row r="67" spans="1:6" ht="20.25" customHeight="1" x14ac:dyDescent="0.3">
      <c r="A67" s="235">
        <v>2</v>
      </c>
      <c r="B67" s="236" t="s">
        <v>435</v>
      </c>
      <c r="C67" s="237">
        <v>1203951</v>
      </c>
      <c r="D67" s="237">
        <v>1129885</v>
      </c>
      <c r="E67" s="237">
        <f t="shared" si="8"/>
        <v>-74066</v>
      </c>
      <c r="F67" s="238">
        <f t="shared" si="9"/>
        <v>-6.1519114980593065E-2</v>
      </c>
    </row>
    <row r="68" spans="1:6" ht="20.25" customHeight="1" x14ac:dyDescent="0.3">
      <c r="A68" s="235">
        <v>3</v>
      </c>
      <c r="B68" s="236" t="s">
        <v>436</v>
      </c>
      <c r="C68" s="237">
        <v>1802094</v>
      </c>
      <c r="D68" s="237">
        <v>879675</v>
      </c>
      <c r="E68" s="237">
        <f t="shared" si="8"/>
        <v>-922419</v>
      </c>
      <c r="F68" s="238">
        <f t="shared" si="9"/>
        <v>-0.51185953673892703</v>
      </c>
    </row>
    <row r="69" spans="1:6" ht="20.25" customHeight="1" x14ac:dyDescent="0.3">
      <c r="A69" s="235">
        <v>4</v>
      </c>
      <c r="B69" s="236" t="s">
        <v>437</v>
      </c>
      <c r="C69" s="237">
        <v>357761</v>
      </c>
      <c r="D69" s="237">
        <v>176943</v>
      </c>
      <c r="E69" s="237">
        <f t="shared" si="8"/>
        <v>-180818</v>
      </c>
      <c r="F69" s="238">
        <f t="shared" si="9"/>
        <v>-0.50541562663342288</v>
      </c>
    </row>
    <row r="70" spans="1:6" ht="20.25" customHeight="1" x14ac:dyDescent="0.3">
      <c r="A70" s="235">
        <v>5</v>
      </c>
      <c r="B70" s="236" t="s">
        <v>373</v>
      </c>
      <c r="C70" s="239">
        <v>116</v>
      </c>
      <c r="D70" s="239">
        <v>116</v>
      </c>
      <c r="E70" s="239">
        <f t="shared" si="8"/>
        <v>0</v>
      </c>
      <c r="F70" s="238">
        <f t="shared" si="9"/>
        <v>0</v>
      </c>
    </row>
    <row r="71" spans="1:6" ht="20.25" customHeight="1" x14ac:dyDescent="0.3">
      <c r="A71" s="235">
        <v>6</v>
      </c>
      <c r="B71" s="236" t="s">
        <v>372</v>
      </c>
      <c r="C71" s="239">
        <v>539</v>
      </c>
      <c r="D71" s="239">
        <v>642</v>
      </c>
      <c r="E71" s="239">
        <f t="shared" si="8"/>
        <v>103</v>
      </c>
      <c r="F71" s="238">
        <f t="shared" si="9"/>
        <v>0.19109461966604824</v>
      </c>
    </row>
    <row r="72" spans="1:6" ht="20.25" customHeight="1" x14ac:dyDescent="0.3">
      <c r="A72" s="235">
        <v>7</v>
      </c>
      <c r="B72" s="236" t="s">
        <v>438</v>
      </c>
      <c r="C72" s="239">
        <v>1097</v>
      </c>
      <c r="D72" s="239">
        <v>520</v>
      </c>
      <c r="E72" s="239">
        <f t="shared" si="8"/>
        <v>-577</v>
      </c>
      <c r="F72" s="238">
        <f t="shared" si="9"/>
        <v>-0.52597994530537828</v>
      </c>
    </row>
    <row r="73" spans="1:6" ht="20.25" customHeight="1" x14ac:dyDescent="0.3">
      <c r="A73" s="235">
        <v>8</v>
      </c>
      <c r="B73" s="236" t="s">
        <v>439</v>
      </c>
      <c r="C73" s="239">
        <v>163</v>
      </c>
      <c r="D73" s="239">
        <v>88</v>
      </c>
      <c r="E73" s="239">
        <f t="shared" si="8"/>
        <v>-75</v>
      </c>
      <c r="F73" s="238">
        <f t="shared" si="9"/>
        <v>-0.46012269938650308</v>
      </c>
    </row>
    <row r="74" spans="1:6" ht="20.25" customHeight="1" x14ac:dyDescent="0.3">
      <c r="A74" s="235">
        <v>9</v>
      </c>
      <c r="B74" s="236" t="s">
        <v>440</v>
      </c>
      <c r="C74" s="239">
        <v>69</v>
      </c>
      <c r="D74" s="239">
        <v>32</v>
      </c>
      <c r="E74" s="239">
        <f t="shared" si="8"/>
        <v>-37</v>
      </c>
      <c r="F74" s="238">
        <f t="shared" si="9"/>
        <v>-0.53623188405797106</v>
      </c>
    </row>
    <row r="75" spans="1:6" s="240" customFormat="1" ht="20.25" customHeight="1" x14ac:dyDescent="0.3">
      <c r="A75" s="241"/>
      <c r="B75" s="242" t="s">
        <v>441</v>
      </c>
      <c r="C75" s="243">
        <f>+C66+C68</f>
        <v>4802105</v>
      </c>
      <c r="D75" s="243">
        <f>+D66+D68</f>
        <v>4323374</v>
      </c>
      <c r="E75" s="243">
        <f t="shared" si="8"/>
        <v>-478731</v>
      </c>
      <c r="F75" s="244">
        <f t="shared" si="9"/>
        <v>-9.9691905945413523E-2</v>
      </c>
    </row>
    <row r="76" spans="1:6" s="240" customFormat="1" ht="20.25" customHeight="1" x14ac:dyDescent="0.3">
      <c r="A76" s="241"/>
      <c r="B76" s="242" t="s">
        <v>442</v>
      </c>
      <c r="C76" s="243">
        <f>+C67+C69</f>
        <v>1561712</v>
      </c>
      <c r="D76" s="243">
        <f>+D67+D69</f>
        <v>1306828</v>
      </c>
      <c r="E76" s="243">
        <f t="shared" si="8"/>
        <v>-254884</v>
      </c>
      <c r="F76" s="244">
        <f t="shared" si="9"/>
        <v>-0.16320806909340518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447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434</v>
      </c>
      <c r="C79" s="237">
        <v>0</v>
      </c>
      <c r="D79" s="237">
        <v>0</v>
      </c>
      <c r="E79" s="237">
        <f t="shared" ref="E79:E89" si="10">D79-C79</f>
        <v>0</v>
      </c>
      <c r="F79" s="238">
        <f t="shared" ref="F79:F89" si="11">IF(C79=0,0,E79/C79)</f>
        <v>0</v>
      </c>
    </row>
    <row r="80" spans="1:6" ht="20.25" customHeight="1" x14ac:dyDescent="0.3">
      <c r="A80" s="235">
        <v>2</v>
      </c>
      <c r="B80" s="236" t="s">
        <v>435</v>
      </c>
      <c r="C80" s="237">
        <v>0</v>
      </c>
      <c r="D80" s="237">
        <v>0</v>
      </c>
      <c r="E80" s="237">
        <f t="shared" si="10"/>
        <v>0</v>
      </c>
      <c r="F80" s="238">
        <f t="shared" si="11"/>
        <v>0</v>
      </c>
    </row>
    <row r="81" spans="1:6" ht="20.25" customHeight="1" x14ac:dyDescent="0.3">
      <c r="A81" s="235">
        <v>3</v>
      </c>
      <c r="B81" s="236" t="s">
        <v>436</v>
      </c>
      <c r="C81" s="237">
        <v>0</v>
      </c>
      <c r="D81" s="237">
        <v>0</v>
      </c>
      <c r="E81" s="237">
        <f t="shared" si="10"/>
        <v>0</v>
      </c>
      <c r="F81" s="238">
        <f t="shared" si="11"/>
        <v>0</v>
      </c>
    </row>
    <row r="82" spans="1:6" ht="20.25" customHeight="1" x14ac:dyDescent="0.3">
      <c r="A82" s="235">
        <v>4</v>
      </c>
      <c r="B82" s="236" t="s">
        <v>437</v>
      </c>
      <c r="C82" s="237">
        <v>0</v>
      </c>
      <c r="D82" s="237">
        <v>0</v>
      </c>
      <c r="E82" s="237">
        <f t="shared" si="10"/>
        <v>0</v>
      </c>
      <c r="F82" s="238">
        <f t="shared" si="11"/>
        <v>0</v>
      </c>
    </row>
    <row r="83" spans="1:6" ht="20.25" customHeight="1" x14ac:dyDescent="0.3">
      <c r="A83" s="235">
        <v>5</v>
      </c>
      <c r="B83" s="236" t="s">
        <v>373</v>
      </c>
      <c r="C83" s="239">
        <v>0</v>
      </c>
      <c r="D83" s="239">
        <v>0</v>
      </c>
      <c r="E83" s="239">
        <f t="shared" si="10"/>
        <v>0</v>
      </c>
      <c r="F83" s="238">
        <f t="shared" si="11"/>
        <v>0</v>
      </c>
    </row>
    <row r="84" spans="1:6" ht="20.25" customHeight="1" x14ac:dyDescent="0.3">
      <c r="A84" s="235">
        <v>6</v>
      </c>
      <c r="B84" s="236" t="s">
        <v>372</v>
      </c>
      <c r="C84" s="239">
        <v>0</v>
      </c>
      <c r="D84" s="239">
        <v>0</v>
      </c>
      <c r="E84" s="239">
        <f t="shared" si="10"/>
        <v>0</v>
      </c>
      <c r="F84" s="238">
        <f t="shared" si="11"/>
        <v>0</v>
      </c>
    </row>
    <row r="85" spans="1:6" ht="20.25" customHeight="1" x14ac:dyDescent="0.3">
      <c r="A85" s="235">
        <v>7</v>
      </c>
      <c r="B85" s="236" t="s">
        <v>438</v>
      </c>
      <c r="C85" s="239">
        <v>0</v>
      </c>
      <c r="D85" s="239">
        <v>0</v>
      </c>
      <c r="E85" s="239">
        <f t="shared" si="10"/>
        <v>0</v>
      </c>
      <c r="F85" s="238">
        <f t="shared" si="11"/>
        <v>0</v>
      </c>
    </row>
    <row r="86" spans="1:6" ht="20.25" customHeight="1" x14ac:dyDescent="0.3">
      <c r="A86" s="235">
        <v>8</v>
      </c>
      <c r="B86" s="236" t="s">
        <v>439</v>
      </c>
      <c r="C86" s="239">
        <v>0</v>
      </c>
      <c r="D86" s="239">
        <v>0</v>
      </c>
      <c r="E86" s="239">
        <f t="shared" si="10"/>
        <v>0</v>
      </c>
      <c r="F86" s="238">
        <f t="shared" si="11"/>
        <v>0</v>
      </c>
    </row>
    <row r="87" spans="1:6" ht="20.25" customHeight="1" x14ac:dyDescent="0.3">
      <c r="A87" s="235">
        <v>9</v>
      </c>
      <c r="B87" s="236" t="s">
        <v>440</v>
      </c>
      <c r="C87" s="239">
        <v>0</v>
      </c>
      <c r="D87" s="239">
        <v>0</v>
      </c>
      <c r="E87" s="239">
        <f t="shared" si="10"/>
        <v>0</v>
      </c>
      <c r="F87" s="238">
        <f t="shared" si="11"/>
        <v>0</v>
      </c>
    </row>
    <row r="88" spans="1:6" s="240" customFormat="1" ht="20.25" customHeight="1" x14ac:dyDescent="0.3">
      <c r="A88" s="241"/>
      <c r="B88" s="242" t="s">
        <v>441</v>
      </c>
      <c r="C88" s="243">
        <f>+C79+C81</f>
        <v>0</v>
      </c>
      <c r="D88" s="243">
        <f>+D79+D81</f>
        <v>0</v>
      </c>
      <c r="E88" s="243">
        <f t="shared" si="10"/>
        <v>0</v>
      </c>
      <c r="F88" s="244">
        <f t="shared" si="11"/>
        <v>0</v>
      </c>
    </row>
    <row r="89" spans="1:6" s="240" customFormat="1" ht="20.25" customHeight="1" x14ac:dyDescent="0.3">
      <c r="A89" s="241"/>
      <c r="B89" s="242" t="s">
        <v>442</v>
      </c>
      <c r="C89" s="243">
        <f>+C80+C82</f>
        <v>0</v>
      </c>
      <c r="D89" s="243">
        <f>+D80+D82</f>
        <v>0</v>
      </c>
      <c r="E89" s="243">
        <f t="shared" si="10"/>
        <v>0</v>
      </c>
      <c r="F89" s="244">
        <f t="shared" si="11"/>
        <v>0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448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434</v>
      </c>
      <c r="C92" s="237">
        <v>0</v>
      </c>
      <c r="D92" s="237">
        <v>0</v>
      </c>
      <c r="E92" s="237">
        <f t="shared" ref="E92:E102" si="12">D92-C92</f>
        <v>0</v>
      </c>
      <c r="F92" s="238">
        <f t="shared" ref="F92:F102" si="13">IF(C92=0,0,E92/C92)</f>
        <v>0</v>
      </c>
    </row>
    <row r="93" spans="1:6" ht="20.25" customHeight="1" x14ac:dyDescent="0.3">
      <c r="A93" s="235">
        <v>2</v>
      </c>
      <c r="B93" s="236" t="s">
        <v>435</v>
      </c>
      <c r="C93" s="237">
        <v>0</v>
      </c>
      <c r="D93" s="237">
        <v>0</v>
      </c>
      <c r="E93" s="237">
        <f t="shared" si="12"/>
        <v>0</v>
      </c>
      <c r="F93" s="238">
        <f t="shared" si="13"/>
        <v>0</v>
      </c>
    </row>
    <row r="94" spans="1:6" ht="20.25" customHeight="1" x14ac:dyDescent="0.3">
      <c r="A94" s="235">
        <v>3</v>
      </c>
      <c r="B94" s="236" t="s">
        <v>436</v>
      </c>
      <c r="C94" s="237">
        <v>0</v>
      </c>
      <c r="D94" s="237">
        <v>0</v>
      </c>
      <c r="E94" s="237">
        <f t="shared" si="12"/>
        <v>0</v>
      </c>
      <c r="F94" s="238">
        <f t="shared" si="13"/>
        <v>0</v>
      </c>
    </row>
    <row r="95" spans="1:6" ht="20.25" customHeight="1" x14ac:dyDescent="0.3">
      <c r="A95" s="235">
        <v>4</v>
      </c>
      <c r="B95" s="236" t="s">
        <v>437</v>
      </c>
      <c r="C95" s="237">
        <v>0</v>
      </c>
      <c r="D95" s="237">
        <v>0</v>
      </c>
      <c r="E95" s="237">
        <f t="shared" si="12"/>
        <v>0</v>
      </c>
      <c r="F95" s="238">
        <f t="shared" si="13"/>
        <v>0</v>
      </c>
    </row>
    <row r="96" spans="1:6" ht="20.25" customHeight="1" x14ac:dyDescent="0.3">
      <c r="A96" s="235">
        <v>5</v>
      </c>
      <c r="B96" s="236" t="s">
        <v>373</v>
      </c>
      <c r="C96" s="239">
        <v>0</v>
      </c>
      <c r="D96" s="239">
        <v>0</v>
      </c>
      <c r="E96" s="239">
        <f t="shared" si="12"/>
        <v>0</v>
      </c>
      <c r="F96" s="238">
        <f t="shared" si="13"/>
        <v>0</v>
      </c>
    </row>
    <row r="97" spans="1:6" ht="20.25" customHeight="1" x14ac:dyDescent="0.3">
      <c r="A97" s="235">
        <v>6</v>
      </c>
      <c r="B97" s="236" t="s">
        <v>372</v>
      </c>
      <c r="C97" s="239">
        <v>0</v>
      </c>
      <c r="D97" s="239">
        <v>0</v>
      </c>
      <c r="E97" s="239">
        <f t="shared" si="12"/>
        <v>0</v>
      </c>
      <c r="F97" s="238">
        <f t="shared" si="13"/>
        <v>0</v>
      </c>
    </row>
    <row r="98" spans="1:6" ht="20.25" customHeight="1" x14ac:dyDescent="0.3">
      <c r="A98" s="235">
        <v>7</v>
      </c>
      <c r="B98" s="236" t="s">
        <v>438</v>
      </c>
      <c r="C98" s="239">
        <v>0</v>
      </c>
      <c r="D98" s="239">
        <v>0</v>
      </c>
      <c r="E98" s="239">
        <f t="shared" si="12"/>
        <v>0</v>
      </c>
      <c r="F98" s="238">
        <f t="shared" si="13"/>
        <v>0</v>
      </c>
    </row>
    <row r="99" spans="1:6" ht="20.25" customHeight="1" x14ac:dyDescent="0.3">
      <c r="A99" s="235">
        <v>8</v>
      </c>
      <c r="B99" s="236" t="s">
        <v>439</v>
      </c>
      <c r="C99" s="239">
        <v>0</v>
      </c>
      <c r="D99" s="239">
        <v>0</v>
      </c>
      <c r="E99" s="239">
        <f t="shared" si="12"/>
        <v>0</v>
      </c>
      <c r="F99" s="238">
        <f t="shared" si="13"/>
        <v>0</v>
      </c>
    </row>
    <row r="100" spans="1:6" ht="20.25" customHeight="1" x14ac:dyDescent="0.3">
      <c r="A100" s="235">
        <v>9</v>
      </c>
      <c r="B100" s="236" t="s">
        <v>440</v>
      </c>
      <c r="C100" s="239">
        <v>0</v>
      </c>
      <c r="D100" s="239">
        <v>0</v>
      </c>
      <c r="E100" s="239">
        <f t="shared" si="12"/>
        <v>0</v>
      </c>
      <c r="F100" s="238">
        <f t="shared" si="13"/>
        <v>0</v>
      </c>
    </row>
    <row r="101" spans="1:6" s="240" customFormat="1" ht="20.25" customHeight="1" x14ac:dyDescent="0.3">
      <c r="A101" s="241"/>
      <c r="B101" s="242" t="s">
        <v>441</v>
      </c>
      <c r="C101" s="243">
        <f>+C92+C94</f>
        <v>0</v>
      </c>
      <c r="D101" s="243">
        <f>+D92+D94</f>
        <v>0</v>
      </c>
      <c r="E101" s="243">
        <f t="shared" si="12"/>
        <v>0</v>
      </c>
      <c r="F101" s="244">
        <f t="shared" si="13"/>
        <v>0</v>
      </c>
    </row>
    <row r="102" spans="1:6" s="240" customFormat="1" ht="20.25" customHeight="1" x14ac:dyDescent="0.3">
      <c r="A102" s="241"/>
      <c r="B102" s="242" t="s">
        <v>442</v>
      </c>
      <c r="C102" s="243">
        <f>+C93+C95</f>
        <v>0</v>
      </c>
      <c r="D102" s="243">
        <f>+D93+D95</f>
        <v>0</v>
      </c>
      <c r="E102" s="243">
        <f t="shared" si="12"/>
        <v>0</v>
      </c>
      <c r="F102" s="244">
        <f t="shared" si="13"/>
        <v>0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449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434</v>
      </c>
      <c r="C105" s="237">
        <v>1186796</v>
      </c>
      <c r="D105" s="237">
        <v>2415073</v>
      </c>
      <c r="E105" s="237">
        <f t="shared" ref="E105:E115" si="14">D105-C105</f>
        <v>1228277</v>
      </c>
      <c r="F105" s="238">
        <f t="shared" ref="F105:F115" si="15">IF(C105=0,0,E105/C105)</f>
        <v>1.03495208949137</v>
      </c>
    </row>
    <row r="106" spans="1:6" ht="20.25" customHeight="1" x14ac:dyDescent="0.3">
      <c r="A106" s="235">
        <v>2</v>
      </c>
      <c r="B106" s="236" t="s">
        <v>435</v>
      </c>
      <c r="C106" s="237">
        <v>462487</v>
      </c>
      <c r="D106" s="237">
        <v>900072</v>
      </c>
      <c r="E106" s="237">
        <f t="shared" si="14"/>
        <v>437585</v>
      </c>
      <c r="F106" s="238">
        <f t="shared" si="15"/>
        <v>0.94615632439398301</v>
      </c>
    </row>
    <row r="107" spans="1:6" ht="20.25" customHeight="1" x14ac:dyDescent="0.3">
      <c r="A107" s="235">
        <v>3</v>
      </c>
      <c r="B107" s="236" t="s">
        <v>436</v>
      </c>
      <c r="C107" s="237">
        <v>944549</v>
      </c>
      <c r="D107" s="237">
        <v>1622487</v>
      </c>
      <c r="E107" s="237">
        <f t="shared" si="14"/>
        <v>677938</v>
      </c>
      <c r="F107" s="238">
        <f t="shared" si="15"/>
        <v>0.71773724814699924</v>
      </c>
    </row>
    <row r="108" spans="1:6" ht="20.25" customHeight="1" x14ac:dyDescent="0.3">
      <c r="A108" s="235">
        <v>4</v>
      </c>
      <c r="B108" s="236" t="s">
        <v>437</v>
      </c>
      <c r="C108" s="237">
        <v>246113</v>
      </c>
      <c r="D108" s="237">
        <v>371441</v>
      </c>
      <c r="E108" s="237">
        <f t="shared" si="14"/>
        <v>125328</v>
      </c>
      <c r="F108" s="238">
        <f t="shared" si="15"/>
        <v>0.50922950027020109</v>
      </c>
    </row>
    <row r="109" spans="1:6" ht="20.25" customHeight="1" x14ac:dyDescent="0.3">
      <c r="A109" s="235">
        <v>5</v>
      </c>
      <c r="B109" s="236" t="s">
        <v>373</v>
      </c>
      <c r="C109" s="239">
        <v>54</v>
      </c>
      <c r="D109" s="239">
        <v>96</v>
      </c>
      <c r="E109" s="239">
        <f t="shared" si="14"/>
        <v>42</v>
      </c>
      <c r="F109" s="238">
        <f t="shared" si="15"/>
        <v>0.77777777777777779</v>
      </c>
    </row>
    <row r="110" spans="1:6" ht="20.25" customHeight="1" x14ac:dyDescent="0.3">
      <c r="A110" s="235">
        <v>6</v>
      </c>
      <c r="B110" s="236" t="s">
        <v>372</v>
      </c>
      <c r="C110" s="239">
        <v>190</v>
      </c>
      <c r="D110" s="239">
        <v>394</v>
      </c>
      <c r="E110" s="239">
        <f t="shared" si="14"/>
        <v>204</v>
      </c>
      <c r="F110" s="238">
        <f t="shared" si="15"/>
        <v>1.0736842105263158</v>
      </c>
    </row>
    <row r="111" spans="1:6" ht="20.25" customHeight="1" x14ac:dyDescent="0.3">
      <c r="A111" s="235">
        <v>7</v>
      </c>
      <c r="B111" s="236" t="s">
        <v>438</v>
      </c>
      <c r="C111" s="239">
        <v>541</v>
      </c>
      <c r="D111" s="239">
        <v>858</v>
      </c>
      <c r="E111" s="239">
        <f t="shared" si="14"/>
        <v>317</v>
      </c>
      <c r="F111" s="238">
        <f t="shared" si="15"/>
        <v>0.58595194085027724</v>
      </c>
    </row>
    <row r="112" spans="1:6" ht="20.25" customHeight="1" x14ac:dyDescent="0.3">
      <c r="A112" s="235">
        <v>8</v>
      </c>
      <c r="B112" s="236" t="s">
        <v>439</v>
      </c>
      <c r="C112" s="239">
        <v>80</v>
      </c>
      <c r="D112" s="239">
        <v>146</v>
      </c>
      <c r="E112" s="239">
        <f t="shared" si="14"/>
        <v>66</v>
      </c>
      <c r="F112" s="238">
        <f t="shared" si="15"/>
        <v>0.82499999999999996</v>
      </c>
    </row>
    <row r="113" spans="1:6" ht="20.25" customHeight="1" x14ac:dyDescent="0.3">
      <c r="A113" s="235">
        <v>9</v>
      </c>
      <c r="B113" s="236" t="s">
        <v>440</v>
      </c>
      <c r="C113" s="239">
        <v>34</v>
      </c>
      <c r="D113" s="239">
        <v>53</v>
      </c>
      <c r="E113" s="239">
        <f t="shared" si="14"/>
        <v>19</v>
      </c>
      <c r="F113" s="238">
        <f t="shared" si="15"/>
        <v>0.55882352941176472</v>
      </c>
    </row>
    <row r="114" spans="1:6" s="240" customFormat="1" ht="20.25" customHeight="1" x14ac:dyDescent="0.3">
      <c r="A114" s="241"/>
      <c r="B114" s="242" t="s">
        <v>441</v>
      </c>
      <c r="C114" s="243">
        <f>+C105+C107</f>
        <v>2131345</v>
      </c>
      <c r="D114" s="243">
        <f>+D105+D107</f>
        <v>4037560</v>
      </c>
      <c r="E114" s="243">
        <f t="shared" si="14"/>
        <v>1906215</v>
      </c>
      <c r="F114" s="244">
        <f t="shared" si="15"/>
        <v>0.89437186377616007</v>
      </c>
    </row>
    <row r="115" spans="1:6" s="240" customFormat="1" ht="20.25" customHeight="1" x14ac:dyDescent="0.3">
      <c r="A115" s="241"/>
      <c r="B115" s="242" t="s">
        <v>442</v>
      </c>
      <c r="C115" s="243">
        <f>+C106+C108</f>
        <v>708600</v>
      </c>
      <c r="D115" s="243">
        <f>+D106+D108</f>
        <v>1271513</v>
      </c>
      <c r="E115" s="243">
        <f t="shared" si="14"/>
        <v>562913</v>
      </c>
      <c r="F115" s="244">
        <f t="shared" si="15"/>
        <v>0.79440163703076494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450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434</v>
      </c>
      <c r="C118" s="237">
        <v>3272085</v>
      </c>
      <c r="D118" s="237">
        <v>2663070</v>
      </c>
      <c r="E118" s="237">
        <f t="shared" ref="E118:E128" si="16">D118-C118</f>
        <v>-609015</v>
      </c>
      <c r="F118" s="238">
        <f t="shared" ref="F118:F128" si="17">IF(C118=0,0,E118/C118)</f>
        <v>-0.18612444358872096</v>
      </c>
    </row>
    <row r="119" spans="1:6" ht="20.25" customHeight="1" x14ac:dyDescent="0.3">
      <c r="A119" s="235">
        <v>2</v>
      </c>
      <c r="B119" s="236" t="s">
        <v>435</v>
      </c>
      <c r="C119" s="237">
        <v>1271360</v>
      </c>
      <c r="D119" s="237">
        <v>1095080</v>
      </c>
      <c r="E119" s="237">
        <f t="shared" si="16"/>
        <v>-176280</v>
      </c>
      <c r="F119" s="238">
        <f t="shared" si="17"/>
        <v>-0.13865466901585705</v>
      </c>
    </row>
    <row r="120" spans="1:6" ht="20.25" customHeight="1" x14ac:dyDescent="0.3">
      <c r="A120" s="235">
        <v>3</v>
      </c>
      <c r="B120" s="236" t="s">
        <v>436</v>
      </c>
      <c r="C120" s="237">
        <v>1964932</v>
      </c>
      <c r="D120" s="237">
        <v>2108781</v>
      </c>
      <c r="E120" s="237">
        <f t="shared" si="16"/>
        <v>143849</v>
      </c>
      <c r="F120" s="238">
        <f t="shared" si="17"/>
        <v>7.3208131375538693E-2</v>
      </c>
    </row>
    <row r="121" spans="1:6" ht="20.25" customHeight="1" x14ac:dyDescent="0.3">
      <c r="A121" s="235">
        <v>4</v>
      </c>
      <c r="B121" s="236" t="s">
        <v>437</v>
      </c>
      <c r="C121" s="237">
        <v>667864</v>
      </c>
      <c r="D121" s="237">
        <v>654465</v>
      </c>
      <c r="E121" s="237">
        <f t="shared" si="16"/>
        <v>-13399</v>
      </c>
      <c r="F121" s="238">
        <f t="shared" si="17"/>
        <v>-2.0062467807817161E-2</v>
      </c>
    </row>
    <row r="122" spans="1:6" ht="20.25" customHeight="1" x14ac:dyDescent="0.3">
      <c r="A122" s="235">
        <v>5</v>
      </c>
      <c r="B122" s="236" t="s">
        <v>373</v>
      </c>
      <c r="C122" s="239">
        <v>123</v>
      </c>
      <c r="D122" s="239">
        <v>115</v>
      </c>
      <c r="E122" s="239">
        <f t="shared" si="16"/>
        <v>-8</v>
      </c>
      <c r="F122" s="238">
        <f t="shared" si="17"/>
        <v>-6.5040650406504072E-2</v>
      </c>
    </row>
    <row r="123" spans="1:6" ht="20.25" customHeight="1" x14ac:dyDescent="0.3">
      <c r="A123" s="235">
        <v>6</v>
      </c>
      <c r="B123" s="236" t="s">
        <v>372</v>
      </c>
      <c r="C123" s="239">
        <v>547</v>
      </c>
      <c r="D123" s="239">
        <v>467</v>
      </c>
      <c r="E123" s="239">
        <f t="shared" si="16"/>
        <v>-80</v>
      </c>
      <c r="F123" s="238">
        <f t="shared" si="17"/>
        <v>-0.14625228519195613</v>
      </c>
    </row>
    <row r="124" spans="1:6" ht="20.25" customHeight="1" x14ac:dyDescent="0.3">
      <c r="A124" s="235">
        <v>7</v>
      </c>
      <c r="B124" s="236" t="s">
        <v>438</v>
      </c>
      <c r="C124" s="239">
        <v>1204</v>
      </c>
      <c r="D124" s="239">
        <v>1106</v>
      </c>
      <c r="E124" s="239">
        <f t="shared" si="16"/>
        <v>-98</v>
      </c>
      <c r="F124" s="238">
        <f t="shared" si="17"/>
        <v>-8.1395348837209308E-2</v>
      </c>
    </row>
    <row r="125" spans="1:6" ht="20.25" customHeight="1" x14ac:dyDescent="0.3">
      <c r="A125" s="235">
        <v>8</v>
      </c>
      <c r="B125" s="236" t="s">
        <v>439</v>
      </c>
      <c r="C125" s="239">
        <v>179</v>
      </c>
      <c r="D125" s="239">
        <v>188</v>
      </c>
      <c r="E125" s="239">
        <f t="shared" si="16"/>
        <v>9</v>
      </c>
      <c r="F125" s="238">
        <f t="shared" si="17"/>
        <v>5.027932960893855E-2</v>
      </c>
    </row>
    <row r="126" spans="1:6" ht="20.25" customHeight="1" x14ac:dyDescent="0.3">
      <c r="A126" s="235">
        <v>9</v>
      </c>
      <c r="B126" s="236" t="s">
        <v>440</v>
      </c>
      <c r="C126" s="239">
        <v>76</v>
      </c>
      <c r="D126" s="239">
        <v>68</v>
      </c>
      <c r="E126" s="239">
        <f t="shared" si="16"/>
        <v>-8</v>
      </c>
      <c r="F126" s="238">
        <f t="shared" si="17"/>
        <v>-0.10526315789473684</v>
      </c>
    </row>
    <row r="127" spans="1:6" s="240" customFormat="1" ht="20.25" customHeight="1" x14ac:dyDescent="0.3">
      <c r="A127" s="241"/>
      <c r="B127" s="242" t="s">
        <v>441</v>
      </c>
      <c r="C127" s="243">
        <f>+C118+C120</f>
        <v>5237017</v>
      </c>
      <c r="D127" s="243">
        <f>+D118+D120</f>
        <v>4771851</v>
      </c>
      <c r="E127" s="243">
        <f t="shared" si="16"/>
        <v>-465166</v>
      </c>
      <c r="F127" s="244">
        <f t="shared" si="17"/>
        <v>-8.8822701931271175E-2</v>
      </c>
    </row>
    <row r="128" spans="1:6" s="240" customFormat="1" ht="20.25" customHeight="1" x14ac:dyDescent="0.3">
      <c r="A128" s="241"/>
      <c r="B128" s="242" t="s">
        <v>442</v>
      </c>
      <c r="C128" s="243">
        <f>+C119+C121</f>
        <v>1939224</v>
      </c>
      <c r="D128" s="243">
        <f>+D119+D121</f>
        <v>1749545</v>
      </c>
      <c r="E128" s="243">
        <f t="shared" si="16"/>
        <v>-189679</v>
      </c>
      <c r="F128" s="244">
        <f t="shared" si="17"/>
        <v>-9.7811805134424903E-2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451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434</v>
      </c>
      <c r="C131" s="237">
        <v>0</v>
      </c>
      <c r="D131" s="237">
        <v>0</v>
      </c>
      <c r="E131" s="237">
        <f t="shared" ref="E131:E141" si="18">D131-C131</f>
        <v>0</v>
      </c>
      <c r="F131" s="238">
        <f t="shared" ref="F131:F141" si="19">IF(C131=0,0,E131/C131)</f>
        <v>0</v>
      </c>
    </row>
    <row r="132" spans="1:6" ht="20.25" customHeight="1" x14ac:dyDescent="0.3">
      <c r="A132" s="235">
        <v>2</v>
      </c>
      <c r="B132" s="236" t="s">
        <v>435</v>
      </c>
      <c r="C132" s="237">
        <v>0</v>
      </c>
      <c r="D132" s="237">
        <v>0</v>
      </c>
      <c r="E132" s="237">
        <f t="shared" si="18"/>
        <v>0</v>
      </c>
      <c r="F132" s="238">
        <f t="shared" si="19"/>
        <v>0</v>
      </c>
    </row>
    <row r="133" spans="1:6" ht="20.25" customHeight="1" x14ac:dyDescent="0.3">
      <c r="A133" s="235">
        <v>3</v>
      </c>
      <c r="B133" s="236" t="s">
        <v>436</v>
      </c>
      <c r="C133" s="237">
        <v>0</v>
      </c>
      <c r="D133" s="237">
        <v>0</v>
      </c>
      <c r="E133" s="237">
        <f t="shared" si="18"/>
        <v>0</v>
      </c>
      <c r="F133" s="238">
        <f t="shared" si="19"/>
        <v>0</v>
      </c>
    </row>
    <row r="134" spans="1:6" ht="20.25" customHeight="1" x14ac:dyDescent="0.3">
      <c r="A134" s="235">
        <v>4</v>
      </c>
      <c r="B134" s="236" t="s">
        <v>437</v>
      </c>
      <c r="C134" s="237">
        <v>0</v>
      </c>
      <c r="D134" s="237">
        <v>0</v>
      </c>
      <c r="E134" s="237">
        <f t="shared" si="18"/>
        <v>0</v>
      </c>
      <c r="F134" s="238">
        <f t="shared" si="19"/>
        <v>0</v>
      </c>
    </row>
    <row r="135" spans="1:6" ht="20.25" customHeight="1" x14ac:dyDescent="0.3">
      <c r="A135" s="235">
        <v>5</v>
      </c>
      <c r="B135" s="236" t="s">
        <v>373</v>
      </c>
      <c r="C135" s="239">
        <v>0</v>
      </c>
      <c r="D135" s="239">
        <v>0</v>
      </c>
      <c r="E135" s="239">
        <f t="shared" si="18"/>
        <v>0</v>
      </c>
      <c r="F135" s="238">
        <f t="shared" si="19"/>
        <v>0</v>
      </c>
    </row>
    <row r="136" spans="1:6" ht="20.25" customHeight="1" x14ac:dyDescent="0.3">
      <c r="A136" s="235">
        <v>6</v>
      </c>
      <c r="B136" s="236" t="s">
        <v>372</v>
      </c>
      <c r="C136" s="239">
        <v>0</v>
      </c>
      <c r="D136" s="239">
        <v>0</v>
      </c>
      <c r="E136" s="239">
        <f t="shared" si="18"/>
        <v>0</v>
      </c>
      <c r="F136" s="238">
        <f t="shared" si="19"/>
        <v>0</v>
      </c>
    </row>
    <row r="137" spans="1:6" ht="20.25" customHeight="1" x14ac:dyDescent="0.3">
      <c r="A137" s="235">
        <v>7</v>
      </c>
      <c r="B137" s="236" t="s">
        <v>438</v>
      </c>
      <c r="C137" s="239">
        <v>0</v>
      </c>
      <c r="D137" s="239">
        <v>0</v>
      </c>
      <c r="E137" s="239">
        <f t="shared" si="18"/>
        <v>0</v>
      </c>
      <c r="F137" s="238">
        <f t="shared" si="19"/>
        <v>0</v>
      </c>
    </row>
    <row r="138" spans="1:6" ht="20.25" customHeight="1" x14ac:dyDescent="0.3">
      <c r="A138" s="235">
        <v>8</v>
      </c>
      <c r="B138" s="236" t="s">
        <v>439</v>
      </c>
      <c r="C138" s="239">
        <v>0</v>
      </c>
      <c r="D138" s="239">
        <v>0</v>
      </c>
      <c r="E138" s="239">
        <f t="shared" si="18"/>
        <v>0</v>
      </c>
      <c r="F138" s="238">
        <f t="shared" si="19"/>
        <v>0</v>
      </c>
    </row>
    <row r="139" spans="1:6" ht="20.25" customHeight="1" x14ac:dyDescent="0.3">
      <c r="A139" s="235">
        <v>9</v>
      </c>
      <c r="B139" s="236" t="s">
        <v>440</v>
      </c>
      <c r="C139" s="239">
        <v>0</v>
      </c>
      <c r="D139" s="239">
        <v>0</v>
      </c>
      <c r="E139" s="239">
        <f t="shared" si="18"/>
        <v>0</v>
      </c>
      <c r="F139" s="238">
        <f t="shared" si="19"/>
        <v>0</v>
      </c>
    </row>
    <row r="140" spans="1:6" s="240" customFormat="1" ht="20.25" customHeight="1" x14ac:dyDescent="0.3">
      <c r="A140" s="241"/>
      <c r="B140" s="242" t="s">
        <v>441</v>
      </c>
      <c r="C140" s="243">
        <f>+C131+C133</f>
        <v>0</v>
      </c>
      <c r="D140" s="243">
        <f>+D131+D133</f>
        <v>0</v>
      </c>
      <c r="E140" s="243">
        <f t="shared" si="18"/>
        <v>0</v>
      </c>
      <c r="F140" s="244">
        <f t="shared" si="19"/>
        <v>0</v>
      </c>
    </row>
    <row r="141" spans="1:6" s="240" customFormat="1" ht="20.25" customHeight="1" x14ac:dyDescent="0.3">
      <c r="A141" s="241"/>
      <c r="B141" s="242" t="s">
        <v>442</v>
      </c>
      <c r="C141" s="243">
        <f>+C132+C134</f>
        <v>0</v>
      </c>
      <c r="D141" s="243">
        <f>+D132+D134</f>
        <v>0</v>
      </c>
      <c r="E141" s="243">
        <f t="shared" si="18"/>
        <v>0</v>
      </c>
      <c r="F141" s="244">
        <f t="shared" si="19"/>
        <v>0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218</v>
      </c>
      <c r="B143" s="231" t="s">
        <v>452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434</v>
      </c>
      <c r="C144" s="237">
        <v>6102878</v>
      </c>
      <c r="D144" s="237">
        <v>24591558</v>
      </c>
      <c r="E144" s="237">
        <f t="shared" ref="E144:E154" si="20">D144-C144</f>
        <v>18488680</v>
      </c>
      <c r="F144" s="238">
        <f t="shared" ref="F144:F154" si="21">IF(C144=0,0,E144/C144)</f>
        <v>3.0295018186501514</v>
      </c>
    </row>
    <row r="145" spans="1:6" ht="20.25" customHeight="1" x14ac:dyDescent="0.3">
      <c r="A145" s="235">
        <v>2</v>
      </c>
      <c r="B145" s="236" t="s">
        <v>435</v>
      </c>
      <c r="C145" s="237">
        <v>2003488</v>
      </c>
      <c r="D145" s="237">
        <v>8735182</v>
      </c>
      <c r="E145" s="237">
        <f t="shared" si="20"/>
        <v>6731694</v>
      </c>
      <c r="F145" s="238">
        <f t="shared" si="21"/>
        <v>3.3599871823539749</v>
      </c>
    </row>
    <row r="146" spans="1:6" ht="20.25" customHeight="1" x14ac:dyDescent="0.3">
      <c r="A146" s="235">
        <v>3</v>
      </c>
      <c r="B146" s="236" t="s">
        <v>436</v>
      </c>
      <c r="C146" s="237">
        <v>2513996</v>
      </c>
      <c r="D146" s="237">
        <v>13217901</v>
      </c>
      <c r="E146" s="237">
        <f t="shared" si="20"/>
        <v>10703905</v>
      </c>
      <c r="F146" s="238">
        <f t="shared" si="21"/>
        <v>4.2577255492848831</v>
      </c>
    </row>
    <row r="147" spans="1:6" ht="20.25" customHeight="1" x14ac:dyDescent="0.3">
      <c r="A147" s="235">
        <v>4</v>
      </c>
      <c r="B147" s="236" t="s">
        <v>437</v>
      </c>
      <c r="C147" s="237">
        <v>680284</v>
      </c>
      <c r="D147" s="237">
        <v>3450163</v>
      </c>
      <c r="E147" s="237">
        <f t="shared" si="20"/>
        <v>2769879</v>
      </c>
      <c r="F147" s="238">
        <f t="shared" si="21"/>
        <v>4.0716509575412623</v>
      </c>
    </row>
    <row r="148" spans="1:6" ht="20.25" customHeight="1" x14ac:dyDescent="0.3">
      <c r="A148" s="235">
        <v>5</v>
      </c>
      <c r="B148" s="236" t="s">
        <v>373</v>
      </c>
      <c r="C148" s="239">
        <v>210</v>
      </c>
      <c r="D148" s="239">
        <v>878</v>
      </c>
      <c r="E148" s="239">
        <f t="shared" si="20"/>
        <v>668</v>
      </c>
      <c r="F148" s="238">
        <f t="shared" si="21"/>
        <v>3.1809523809523808</v>
      </c>
    </row>
    <row r="149" spans="1:6" ht="20.25" customHeight="1" x14ac:dyDescent="0.3">
      <c r="A149" s="235">
        <v>6</v>
      </c>
      <c r="B149" s="236" t="s">
        <v>372</v>
      </c>
      <c r="C149" s="239">
        <v>964</v>
      </c>
      <c r="D149" s="239">
        <v>4173</v>
      </c>
      <c r="E149" s="239">
        <f t="shared" si="20"/>
        <v>3209</v>
      </c>
      <c r="F149" s="238">
        <f t="shared" si="21"/>
        <v>3.3288381742738591</v>
      </c>
    </row>
    <row r="150" spans="1:6" ht="20.25" customHeight="1" x14ac:dyDescent="0.3">
      <c r="A150" s="235">
        <v>7</v>
      </c>
      <c r="B150" s="236" t="s">
        <v>438</v>
      </c>
      <c r="C150" s="239">
        <v>1307</v>
      </c>
      <c r="D150" s="239">
        <v>7666</v>
      </c>
      <c r="E150" s="239">
        <f t="shared" si="20"/>
        <v>6359</v>
      </c>
      <c r="F150" s="238">
        <f t="shared" si="21"/>
        <v>4.8653404743687831</v>
      </c>
    </row>
    <row r="151" spans="1:6" ht="20.25" customHeight="1" x14ac:dyDescent="0.3">
      <c r="A151" s="235">
        <v>8</v>
      </c>
      <c r="B151" s="236" t="s">
        <v>439</v>
      </c>
      <c r="C151" s="239">
        <v>194</v>
      </c>
      <c r="D151" s="239">
        <v>1303</v>
      </c>
      <c r="E151" s="239">
        <f t="shared" si="20"/>
        <v>1109</v>
      </c>
      <c r="F151" s="238">
        <f t="shared" si="21"/>
        <v>5.7164948453608249</v>
      </c>
    </row>
    <row r="152" spans="1:6" ht="20.25" customHeight="1" x14ac:dyDescent="0.3">
      <c r="A152" s="235">
        <v>9</v>
      </c>
      <c r="B152" s="236" t="s">
        <v>440</v>
      </c>
      <c r="C152" s="239">
        <v>83</v>
      </c>
      <c r="D152" s="239">
        <v>472</v>
      </c>
      <c r="E152" s="239">
        <f t="shared" si="20"/>
        <v>389</v>
      </c>
      <c r="F152" s="238">
        <f t="shared" si="21"/>
        <v>4.6867469879518069</v>
      </c>
    </row>
    <row r="153" spans="1:6" s="240" customFormat="1" ht="20.25" customHeight="1" x14ac:dyDescent="0.3">
      <c r="A153" s="241"/>
      <c r="B153" s="242" t="s">
        <v>441</v>
      </c>
      <c r="C153" s="243">
        <f>+C144+C146</f>
        <v>8616874</v>
      </c>
      <c r="D153" s="243">
        <f>+D144+D146</f>
        <v>37809459</v>
      </c>
      <c r="E153" s="243">
        <f t="shared" si="20"/>
        <v>29192585</v>
      </c>
      <c r="F153" s="244">
        <f t="shared" si="21"/>
        <v>3.3878393719114381</v>
      </c>
    </row>
    <row r="154" spans="1:6" s="240" customFormat="1" ht="20.25" customHeight="1" x14ac:dyDescent="0.3">
      <c r="A154" s="241"/>
      <c r="B154" s="242" t="s">
        <v>442</v>
      </c>
      <c r="C154" s="243">
        <f>+C145+C147</f>
        <v>2683772</v>
      </c>
      <c r="D154" s="243">
        <f>+D145+D147</f>
        <v>12185345</v>
      </c>
      <c r="E154" s="243">
        <f t="shared" si="20"/>
        <v>9501573</v>
      </c>
      <c r="F154" s="244">
        <f t="shared" si="21"/>
        <v>3.5403801068048999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453</v>
      </c>
      <c r="B156" s="231" t="s">
        <v>454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434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435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436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437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373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372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438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439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440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441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442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455</v>
      </c>
      <c r="B169" s="231" t="s">
        <v>456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434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435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436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437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373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372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438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439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440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441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442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457</v>
      </c>
      <c r="B182" s="231" t="s">
        <v>458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434</v>
      </c>
      <c r="C183" s="237">
        <v>0</v>
      </c>
      <c r="D183" s="237">
        <v>0</v>
      </c>
      <c r="E183" s="237">
        <f t="shared" ref="E183:E193" si="26">D183-C183</f>
        <v>0</v>
      </c>
      <c r="F183" s="238">
        <f t="shared" ref="F183:F193" si="27">IF(C183=0,0,E183/C183)</f>
        <v>0</v>
      </c>
    </row>
    <row r="184" spans="1:6" ht="20.25" customHeight="1" x14ac:dyDescent="0.3">
      <c r="A184" s="235">
        <v>2</v>
      </c>
      <c r="B184" s="236" t="s">
        <v>435</v>
      </c>
      <c r="C184" s="237">
        <v>0</v>
      </c>
      <c r="D184" s="237">
        <v>0</v>
      </c>
      <c r="E184" s="237">
        <f t="shared" si="26"/>
        <v>0</v>
      </c>
      <c r="F184" s="238">
        <f t="shared" si="27"/>
        <v>0</v>
      </c>
    </row>
    <row r="185" spans="1:6" ht="20.25" customHeight="1" x14ac:dyDescent="0.3">
      <c r="A185" s="235">
        <v>3</v>
      </c>
      <c r="B185" s="236" t="s">
        <v>436</v>
      </c>
      <c r="C185" s="237">
        <v>0</v>
      </c>
      <c r="D185" s="237">
        <v>2106</v>
      </c>
      <c r="E185" s="237">
        <f t="shared" si="26"/>
        <v>2106</v>
      </c>
      <c r="F185" s="238">
        <f t="shared" si="27"/>
        <v>0</v>
      </c>
    </row>
    <row r="186" spans="1:6" ht="20.25" customHeight="1" x14ac:dyDescent="0.3">
      <c r="A186" s="235">
        <v>4</v>
      </c>
      <c r="B186" s="236" t="s">
        <v>437</v>
      </c>
      <c r="C186" s="237">
        <v>0</v>
      </c>
      <c r="D186" s="237">
        <v>403</v>
      </c>
      <c r="E186" s="237">
        <f t="shared" si="26"/>
        <v>403</v>
      </c>
      <c r="F186" s="238">
        <f t="shared" si="27"/>
        <v>0</v>
      </c>
    </row>
    <row r="187" spans="1:6" ht="20.25" customHeight="1" x14ac:dyDescent="0.3">
      <c r="A187" s="235">
        <v>5</v>
      </c>
      <c r="B187" s="236" t="s">
        <v>373</v>
      </c>
      <c r="C187" s="239">
        <v>0</v>
      </c>
      <c r="D187" s="239">
        <v>0</v>
      </c>
      <c r="E187" s="239">
        <f t="shared" si="26"/>
        <v>0</v>
      </c>
      <c r="F187" s="238">
        <f t="shared" si="27"/>
        <v>0</v>
      </c>
    </row>
    <row r="188" spans="1:6" ht="20.25" customHeight="1" x14ac:dyDescent="0.3">
      <c r="A188" s="235">
        <v>6</v>
      </c>
      <c r="B188" s="236" t="s">
        <v>372</v>
      </c>
      <c r="C188" s="239">
        <v>0</v>
      </c>
      <c r="D188" s="239">
        <v>0</v>
      </c>
      <c r="E188" s="239">
        <f t="shared" si="26"/>
        <v>0</v>
      </c>
      <c r="F188" s="238">
        <f t="shared" si="27"/>
        <v>0</v>
      </c>
    </row>
    <row r="189" spans="1:6" ht="20.25" customHeight="1" x14ac:dyDescent="0.3">
      <c r="A189" s="235">
        <v>7</v>
      </c>
      <c r="B189" s="236" t="s">
        <v>438</v>
      </c>
      <c r="C189" s="239">
        <v>0</v>
      </c>
      <c r="D189" s="239">
        <v>3</v>
      </c>
      <c r="E189" s="239">
        <f t="shared" si="26"/>
        <v>3</v>
      </c>
      <c r="F189" s="238">
        <f t="shared" si="27"/>
        <v>0</v>
      </c>
    </row>
    <row r="190" spans="1:6" ht="20.25" customHeight="1" x14ac:dyDescent="0.3">
      <c r="A190" s="235">
        <v>8</v>
      </c>
      <c r="B190" s="236" t="s">
        <v>439</v>
      </c>
      <c r="C190" s="239">
        <v>0</v>
      </c>
      <c r="D190" s="239">
        <v>0</v>
      </c>
      <c r="E190" s="239">
        <f t="shared" si="26"/>
        <v>0</v>
      </c>
      <c r="F190" s="238">
        <f t="shared" si="27"/>
        <v>0</v>
      </c>
    </row>
    <row r="191" spans="1:6" ht="20.25" customHeight="1" x14ac:dyDescent="0.3">
      <c r="A191" s="235">
        <v>9</v>
      </c>
      <c r="B191" s="236" t="s">
        <v>440</v>
      </c>
      <c r="C191" s="239">
        <v>0</v>
      </c>
      <c r="D191" s="239">
        <v>0</v>
      </c>
      <c r="E191" s="239">
        <f t="shared" si="26"/>
        <v>0</v>
      </c>
      <c r="F191" s="238">
        <f t="shared" si="27"/>
        <v>0</v>
      </c>
    </row>
    <row r="192" spans="1:6" s="240" customFormat="1" ht="20.25" customHeight="1" x14ac:dyDescent="0.3">
      <c r="A192" s="241"/>
      <c r="B192" s="242" t="s">
        <v>441</v>
      </c>
      <c r="C192" s="243">
        <f>+C183+C185</f>
        <v>0</v>
      </c>
      <c r="D192" s="243">
        <f>+D183+D185</f>
        <v>2106</v>
      </c>
      <c r="E192" s="243">
        <f t="shared" si="26"/>
        <v>2106</v>
      </c>
      <c r="F192" s="244">
        <f t="shared" si="27"/>
        <v>0</v>
      </c>
    </row>
    <row r="193" spans="1:9" s="240" customFormat="1" ht="20.25" customHeight="1" x14ac:dyDescent="0.3">
      <c r="A193" s="241"/>
      <c r="B193" s="242" t="s">
        <v>442</v>
      </c>
      <c r="C193" s="243">
        <f>+C184+C186</f>
        <v>0</v>
      </c>
      <c r="D193" s="243">
        <f>+D184+D186</f>
        <v>403</v>
      </c>
      <c r="E193" s="243">
        <f t="shared" si="26"/>
        <v>403</v>
      </c>
      <c r="F193" s="244">
        <f t="shared" si="27"/>
        <v>0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2" t="s">
        <v>44</v>
      </c>
      <c r="B195" s="684" t="s">
        <v>459</v>
      </c>
      <c r="C195" s="686"/>
      <c r="D195" s="687"/>
      <c r="E195" s="687"/>
      <c r="F195" s="688"/>
      <c r="G195" s="689"/>
      <c r="H195" s="689"/>
      <c r="I195" s="689"/>
    </row>
    <row r="196" spans="1:9" ht="20.25" customHeight="1" x14ac:dyDescent="0.3">
      <c r="A196" s="683"/>
      <c r="B196" s="685"/>
      <c r="C196" s="679"/>
      <c r="D196" s="680"/>
      <c r="E196" s="680"/>
      <c r="F196" s="681"/>
      <c r="G196" s="689"/>
      <c r="H196" s="689"/>
      <c r="I196" s="689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460</v>
      </c>
      <c r="C198" s="243">
        <f t="shared" ref="C198:D206" si="28">+C183+C170+C157+C144+C131+C118+C105+C92+C79+C66+C53+C40+C27+C14</f>
        <v>43083820</v>
      </c>
      <c r="D198" s="243">
        <f t="shared" si="28"/>
        <v>51512007</v>
      </c>
      <c r="E198" s="243">
        <f t="shared" ref="E198:E208" si="29">D198-C198</f>
        <v>8428187</v>
      </c>
      <c r="F198" s="251">
        <f t="shared" ref="F198:F208" si="30">IF(C198=0,0,E198/C198)</f>
        <v>0.19562302042855068</v>
      </c>
    </row>
    <row r="199" spans="1:9" ht="20.25" customHeight="1" x14ac:dyDescent="0.3">
      <c r="A199" s="249"/>
      <c r="B199" s="250" t="s">
        <v>461</v>
      </c>
      <c r="C199" s="243">
        <f t="shared" si="28"/>
        <v>16457392</v>
      </c>
      <c r="D199" s="243">
        <f t="shared" si="28"/>
        <v>19099024</v>
      </c>
      <c r="E199" s="243">
        <f t="shared" si="29"/>
        <v>2641632</v>
      </c>
      <c r="F199" s="251">
        <f t="shared" si="30"/>
        <v>0.16051340333875502</v>
      </c>
    </row>
    <row r="200" spans="1:9" ht="20.25" customHeight="1" x14ac:dyDescent="0.3">
      <c r="A200" s="249"/>
      <c r="B200" s="250" t="s">
        <v>462</v>
      </c>
      <c r="C200" s="243">
        <f t="shared" si="28"/>
        <v>24772725</v>
      </c>
      <c r="D200" s="243">
        <f t="shared" si="28"/>
        <v>28482396</v>
      </c>
      <c r="E200" s="243">
        <f t="shared" si="29"/>
        <v>3709671</v>
      </c>
      <c r="F200" s="251">
        <f t="shared" si="30"/>
        <v>0.14974820089433036</v>
      </c>
    </row>
    <row r="201" spans="1:9" ht="20.25" customHeight="1" x14ac:dyDescent="0.3">
      <c r="A201" s="249"/>
      <c r="B201" s="250" t="s">
        <v>463</v>
      </c>
      <c r="C201" s="243">
        <f t="shared" si="28"/>
        <v>7233636</v>
      </c>
      <c r="D201" s="243">
        <f t="shared" si="28"/>
        <v>7720876</v>
      </c>
      <c r="E201" s="243">
        <f t="shared" si="29"/>
        <v>487240</v>
      </c>
      <c r="F201" s="251">
        <f t="shared" si="30"/>
        <v>6.7357550200203606E-2</v>
      </c>
    </row>
    <row r="202" spans="1:9" ht="20.25" customHeight="1" x14ac:dyDescent="0.3">
      <c r="A202" s="249"/>
      <c r="B202" s="250" t="s">
        <v>464</v>
      </c>
      <c r="C202" s="252">
        <f t="shared" si="28"/>
        <v>1618</v>
      </c>
      <c r="D202" s="252">
        <f t="shared" si="28"/>
        <v>1906</v>
      </c>
      <c r="E202" s="252">
        <f t="shared" si="29"/>
        <v>288</v>
      </c>
      <c r="F202" s="251">
        <f t="shared" si="30"/>
        <v>0.17799752781211373</v>
      </c>
    </row>
    <row r="203" spans="1:9" ht="20.25" customHeight="1" x14ac:dyDescent="0.3">
      <c r="A203" s="249"/>
      <c r="B203" s="250" t="s">
        <v>465</v>
      </c>
      <c r="C203" s="252">
        <f t="shared" si="28"/>
        <v>7337</v>
      </c>
      <c r="D203" s="252">
        <f t="shared" si="28"/>
        <v>8654</v>
      </c>
      <c r="E203" s="252">
        <f t="shared" si="29"/>
        <v>1317</v>
      </c>
      <c r="F203" s="251">
        <f t="shared" si="30"/>
        <v>0.17950115851165327</v>
      </c>
    </row>
    <row r="204" spans="1:9" ht="39.950000000000003" customHeight="1" x14ac:dyDescent="0.3">
      <c r="A204" s="249"/>
      <c r="B204" s="250" t="s">
        <v>466</v>
      </c>
      <c r="C204" s="252">
        <f t="shared" si="28"/>
        <v>15193</v>
      </c>
      <c r="D204" s="252">
        <f t="shared" si="28"/>
        <v>16499</v>
      </c>
      <c r="E204" s="252">
        <f t="shared" si="29"/>
        <v>1306</v>
      </c>
      <c r="F204" s="251">
        <f t="shared" si="30"/>
        <v>8.5960639768314362E-2</v>
      </c>
    </row>
    <row r="205" spans="1:9" ht="39.950000000000003" customHeight="1" x14ac:dyDescent="0.3">
      <c r="A205" s="249"/>
      <c r="B205" s="250" t="s">
        <v>467</v>
      </c>
      <c r="C205" s="252">
        <f t="shared" si="28"/>
        <v>2260</v>
      </c>
      <c r="D205" s="252">
        <f t="shared" si="28"/>
        <v>2805</v>
      </c>
      <c r="E205" s="252">
        <f t="shared" si="29"/>
        <v>545</v>
      </c>
      <c r="F205" s="251">
        <f t="shared" si="30"/>
        <v>0.24115044247787609</v>
      </c>
    </row>
    <row r="206" spans="1:9" ht="39.950000000000003" customHeight="1" x14ac:dyDescent="0.3">
      <c r="A206" s="249"/>
      <c r="B206" s="250" t="s">
        <v>468</v>
      </c>
      <c r="C206" s="252">
        <f t="shared" si="28"/>
        <v>960</v>
      </c>
      <c r="D206" s="252">
        <f t="shared" si="28"/>
        <v>1015</v>
      </c>
      <c r="E206" s="252">
        <f t="shared" si="29"/>
        <v>55</v>
      </c>
      <c r="F206" s="251">
        <f t="shared" si="30"/>
        <v>5.7291666666666664E-2</v>
      </c>
    </row>
    <row r="207" spans="1:9" ht="20.25" customHeight="1" x14ac:dyDescent="0.3">
      <c r="A207" s="249"/>
      <c r="B207" s="242" t="s">
        <v>469</v>
      </c>
      <c r="C207" s="243">
        <f>+C198+C200</f>
        <v>67856545</v>
      </c>
      <c r="D207" s="243">
        <f>+D198+D200</f>
        <v>79994403</v>
      </c>
      <c r="E207" s="243">
        <f t="shared" si="29"/>
        <v>12137858</v>
      </c>
      <c r="F207" s="251">
        <f t="shared" si="30"/>
        <v>0.17887527282740376</v>
      </c>
    </row>
    <row r="208" spans="1:9" ht="20.25" customHeight="1" x14ac:dyDescent="0.3">
      <c r="A208" s="249"/>
      <c r="B208" s="242" t="s">
        <v>470</v>
      </c>
      <c r="C208" s="243">
        <f>+C199+C201</f>
        <v>23691028</v>
      </c>
      <c r="D208" s="243">
        <f>+D199+D201</f>
        <v>26819900</v>
      </c>
      <c r="E208" s="243">
        <f t="shared" si="29"/>
        <v>3128872</v>
      </c>
      <c r="F208" s="251">
        <f t="shared" si="30"/>
        <v>0.13206991271125931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FILING&amp;RTHE HOSPITAL OF CENTRAL CONNECTICUT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workbookViewId="0"/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90" t="s">
        <v>0</v>
      </c>
      <c r="B2" s="690"/>
      <c r="C2" s="690"/>
      <c r="D2" s="690"/>
      <c r="E2" s="690"/>
      <c r="F2" s="690"/>
    </row>
    <row r="3" spans="1:7" ht="20.25" customHeight="1" x14ac:dyDescent="0.3">
      <c r="A3" s="690" t="s">
        <v>1</v>
      </c>
      <c r="B3" s="690"/>
      <c r="C3" s="690"/>
      <c r="D3" s="690"/>
      <c r="E3" s="690"/>
      <c r="F3" s="690"/>
    </row>
    <row r="4" spans="1:7" ht="20.25" customHeight="1" x14ac:dyDescent="0.3">
      <c r="A4" s="690" t="s">
        <v>2</v>
      </c>
      <c r="B4" s="690"/>
      <c r="C4" s="690"/>
      <c r="D4" s="690"/>
      <c r="E4" s="690"/>
      <c r="F4" s="690"/>
    </row>
    <row r="5" spans="1:7" ht="20.25" customHeight="1" x14ac:dyDescent="0.3">
      <c r="A5" s="690" t="s">
        <v>471</v>
      </c>
      <c r="B5" s="690"/>
      <c r="C5" s="690"/>
      <c r="D5" s="690"/>
      <c r="E5" s="690"/>
      <c r="F5" s="690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2" t="s">
        <v>12</v>
      </c>
      <c r="B10" s="684" t="s">
        <v>115</v>
      </c>
      <c r="C10" s="686"/>
      <c r="D10" s="687"/>
      <c r="E10" s="687"/>
      <c r="F10" s="688"/>
    </row>
    <row r="11" spans="1:7" ht="20.25" customHeight="1" x14ac:dyDescent="0.3">
      <c r="A11" s="683"/>
      <c r="B11" s="685"/>
      <c r="C11" s="679"/>
      <c r="D11" s="680"/>
      <c r="E11" s="680"/>
      <c r="F11" s="681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472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0</v>
      </c>
      <c r="D14" s="237">
        <v>0</v>
      </c>
      <c r="E14" s="237">
        <f t="shared" ref="E14:E24" si="0">D14-C14</f>
        <v>0</v>
      </c>
      <c r="F14" s="238">
        <f t="shared" ref="F14:F24" si="1">IF(C14=0,0,E14/C14)</f>
        <v>0</v>
      </c>
    </row>
    <row r="15" spans="1:7" ht="20.25" customHeight="1" x14ac:dyDescent="0.3">
      <c r="A15" s="235">
        <v>2</v>
      </c>
      <c r="B15" s="236" t="s">
        <v>435</v>
      </c>
      <c r="C15" s="237">
        <v>0</v>
      </c>
      <c r="D15" s="237">
        <v>0</v>
      </c>
      <c r="E15" s="237">
        <f t="shared" si="0"/>
        <v>0</v>
      </c>
      <c r="F15" s="238">
        <f t="shared" si="1"/>
        <v>0</v>
      </c>
    </row>
    <row r="16" spans="1:7" ht="20.25" customHeight="1" x14ac:dyDescent="0.3">
      <c r="A16" s="235">
        <v>3</v>
      </c>
      <c r="B16" s="236" t="s">
        <v>436</v>
      </c>
      <c r="C16" s="237">
        <v>0</v>
      </c>
      <c r="D16" s="237">
        <v>0</v>
      </c>
      <c r="E16" s="237">
        <f t="shared" si="0"/>
        <v>0</v>
      </c>
      <c r="F16" s="238">
        <f t="shared" si="1"/>
        <v>0</v>
      </c>
    </row>
    <row r="17" spans="1:6" ht="20.25" customHeight="1" x14ac:dyDescent="0.3">
      <c r="A17" s="235">
        <v>4</v>
      </c>
      <c r="B17" s="236" t="s">
        <v>437</v>
      </c>
      <c r="C17" s="237">
        <v>0</v>
      </c>
      <c r="D17" s="237">
        <v>0</v>
      </c>
      <c r="E17" s="237">
        <f t="shared" si="0"/>
        <v>0</v>
      </c>
      <c r="F17" s="238">
        <f t="shared" si="1"/>
        <v>0</v>
      </c>
    </row>
    <row r="18" spans="1:6" ht="20.25" customHeight="1" x14ac:dyDescent="0.3">
      <c r="A18" s="235">
        <v>5</v>
      </c>
      <c r="B18" s="236" t="s">
        <v>373</v>
      </c>
      <c r="C18" s="239">
        <v>0</v>
      </c>
      <c r="D18" s="239">
        <v>0</v>
      </c>
      <c r="E18" s="239">
        <f t="shared" si="0"/>
        <v>0</v>
      </c>
      <c r="F18" s="238">
        <f t="shared" si="1"/>
        <v>0</v>
      </c>
    </row>
    <row r="19" spans="1:6" ht="20.25" customHeight="1" x14ac:dyDescent="0.3">
      <c r="A19" s="235">
        <v>6</v>
      </c>
      <c r="B19" s="236" t="s">
        <v>372</v>
      </c>
      <c r="C19" s="239">
        <v>0</v>
      </c>
      <c r="D19" s="239">
        <v>0</v>
      </c>
      <c r="E19" s="239">
        <f t="shared" si="0"/>
        <v>0</v>
      </c>
      <c r="F19" s="238">
        <f t="shared" si="1"/>
        <v>0</v>
      </c>
    </row>
    <row r="20" spans="1:6" ht="20.25" customHeight="1" x14ac:dyDescent="0.3">
      <c r="A20" s="235">
        <v>7</v>
      </c>
      <c r="B20" s="236" t="s">
        <v>438</v>
      </c>
      <c r="C20" s="239">
        <v>0</v>
      </c>
      <c r="D20" s="239">
        <v>0</v>
      </c>
      <c r="E20" s="239">
        <f t="shared" si="0"/>
        <v>0</v>
      </c>
      <c r="F20" s="238">
        <f t="shared" si="1"/>
        <v>0</v>
      </c>
    </row>
    <row r="21" spans="1:6" ht="20.25" customHeight="1" x14ac:dyDescent="0.3">
      <c r="A21" s="235">
        <v>8</v>
      </c>
      <c r="B21" s="236" t="s">
        <v>439</v>
      </c>
      <c r="C21" s="239">
        <v>0</v>
      </c>
      <c r="D21" s="239">
        <v>0</v>
      </c>
      <c r="E21" s="239">
        <f t="shared" si="0"/>
        <v>0</v>
      </c>
      <c r="F21" s="238">
        <f t="shared" si="1"/>
        <v>0</v>
      </c>
    </row>
    <row r="22" spans="1:6" ht="20.25" customHeight="1" x14ac:dyDescent="0.3">
      <c r="A22" s="235">
        <v>9</v>
      </c>
      <c r="B22" s="236" t="s">
        <v>440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39.950000000000003" customHeight="1" x14ac:dyDescent="0.3">
      <c r="A23" s="245"/>
      <c r="B23" s="242" t="s">
        <v>441</v>
      </c>
      <c r="C23" s="243">
        <f>+C14+C16</f>
        <v>0</v>
      </c>
      <c r="D23" s="243">
        <f>+D14+D16</f>
        <v>0</v>
      </c>
      <c r="E23" s="243">
        <f t="shared" si="0"/>
        <v>0</v>
      </c>
      <c r="F23" s="244">
        <f t="shared" si="1"/>
        <v>0</v>
      </c>
    </row>
    <row r="24" spans="1:6" s="240" customFormat="1" ht="39.950000000000003" customHeight="1" x14ac:dyDescent="0.3">
      <c r="A24" s="245"/>
      <c r="B24" s="242" t="s">
        <v>470</v>
      </c>
      <c r="C24" s="243">
        <f>+C15+C17</f>
        <v>0</v>
      </c>
      <c r="D24" s="243">
        <f>+D15+D17</f>
        <v>0</v>
      </c>
      <c r="E24" s="243">
        <f t="shared" si="0"/>
        <v>0</v>
      </c>
      <c r="F24" s="244">
        <f t="shared" si="1"/>
        <v>0</v>
      </c>
    </row>
    <row r="25" spans="1:6" ht="42" customHeight="1" x14ac:dyDescent="0.3">
      <c r="A25" s="227" t="s">
        <v>124</v>
      </c>
      <c r="B25" s="261" t="s">
        <v>473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434</v>
      </c>
      <c r="C26" s="237">
        <v>21099890</v>
      </c>
      <c r="D26" s="237">
        <v>22476467</v>
      </c>
      <c r="E26" s="237">
        <f t="shared" ref="E26:E36" si="2">D26-C26</f>
        <v>1376577</v>
      </c>
      <c r="F26" s="238">
        <f t="shared" ref="F26:F36" si="3">IF(C26=0,0,E26/C26)</f>
        <v>6.5240956232473252E-2</v>
      </c>
    </row>
    <row r="27" spans="1:6" ht="20.25" customHeight="1" x14ac:dyDescent="0.3">
      <c r="A27" s="235">
        <v>2</v>
      </c>
      <c r="B27" s="236" t="s">
        <v>435</v>
      </c>
      <c r="C27" s="237">
        <v>7347309</v>
      </c>
      <c r="D27" s="237">
        <v>7681508</v>
      </c>
      <c r="E27" s="237">
        <f t="shared" si="2"/>
        <v>334199</v>
      </c>
      <c r="F27" s="238">
        <f t="shared" si="3"/>
        <v>4.5485905111653804E-2</v>
      </c>
    </row>
    <row r="28" spans="1:6" ht="20.25" customHeight="1" x14ac:dyDescent="0.3">
      <c r="A28" s="235">
        <v>3</v>
      </c>
      <c r="B28" s="236" t="s">
        <v>436</v>
      </c>
      <c r="C28" s="237">
        <v>39257142</v>
      </c>
      <c r="D28" s="237">
        <v>40773829</v>
      </c>
      <c r="E28" s="237">
        <f t="shared" si="2"/>
        <v>1516687</v>
      </c>
      <c r="F28" s="238">
        <f t="shared" si="3"/>
        <v>3.8634676971645056E-2</v>
      </c>
    </row>
    <row r="29" spans="1:6" ht="20.25" customHeight="1" x14ac:dyDescent="0.3">
      <c r="A29" s="235">
        <v>4</v>
      </c>
      <c r="B29" s="236" t="s">
        <v>437</v>
      </c>
      <c r="C29" s="237">
        <v>18406649</v>
      </c>
      <c r="D29" s="237">
        <v>17735703</v>
      </c>
      <c r="E29" s="237">
        <f t="shared" si="2"/>
        <v>-670946</v>
      </c>
      <c r="F29" s="238">
        <f t="shared" si="3"/>
        <v>-3.6451284533105401E-2</v>
      </c>
    </row>
    <row r="30" spans="1:6" ht="20.25" customHeight="1" x14ac:dyDescent="0.3">
      <c r="A30" s="235">
        <v>5</v>
      </c>
      <c r="B30" s="236" t="s">
        <v>373</v>
      </c>
      <c r="C30" s="239">
        <v>2080</v>
      </c>
      <c r="D30" s="239">
        <v>2027</v>
      </c>
      <c r="E30" s="239">
        <f t="shared" si="2"/>
        <v>-53</v>
      </c>
      <c r="F30" s="238">
        <f t="shared" si="3"/>
        <v>-2.548076923076923E-2</v>
      </c>
    </row>
    <row r="31" spans="1:6" ht="20.25" customHeight="1" x14ac:dyDescent="0.3">
      <c r="A31" s="235">
        <v>6</v>
      </c>
      <c r="B31" s="236" t="s">
        <v>372</v>
      </c>
      <c r="C31" s="239">
        <v>5697</v>
      </c>
      <c r="D31" s="239">
        <v>6025</v>
      </c>
      <c r="E31" s="239">
        <f t="shared" si="2"/>
        <v>328</v>
      </c>
      <c r="F31" s="238">
        <f t="shared" si="3"/>
        <v>5.757416183956468E-2</v>
      </c>
    </row>
    <row r="32" spans="1:6" ht="20.25" customHeight="1" x14ac:dyDescent="0.3">
      <c r="A32" s="235">
        <v>7</v>
      </c>
      <c r="B32" s="236" t="s">
        <v>438</v>
      </c>
      <c r="C32" s="239">
        <v>9799</v>
      </c>
      <c r="D32" s="239">
        <v>7644</v>
      </c>
      <c r="E32" s="239">
        <f t="shared" si="2"/>
        <v>-2155</v>
      </c>
      <c r="F32" s="238">
        <f t="shared" si="3"/>
        <v>-0.2199204000408205</v>
      </c>
    </row>
    <row r="33" spans="1:6" ht="20.25" customHeight="1" x14ac:dyDescent="0.3">
      <c r="A33" s="235">
        <v>8</v>
      </c>
      <c r="B33" s="236" t="s">
        <v>439</v>
      </c>
      <c r="C33" s="239">
        <v>24502</v>
      </c>
      <c r="D33" s="239">
        <v>25284</v>
      </c>
      <c r="E33" s="239">
        <f t="shared" si="2"/>
        <v>782</v>
      </c>
      <c r="F33" s="238">
        <f t="shared" si="3"/>
        <v>3.1915761978613989E-2</v>
      </c>
    </row>
    <row r="34" spans="1:6" ht="20.25" customHeight="1" x14ac:dyDescent="0.3">
      <c r="A34" s="235">
        <v>9</v>
      </c>
      <c r="B34" s="236" t="s">
        <v>440</v>
      </c>
      <c r="C34" s="239">
        <v>1888</v>
      </c>
      <c r="D34" s="239">
        <v>1731</v>
      </c>
      <c r="E34" s="239">
        <f t="shared" si="2"/>
        <v>-157</v>
      </c>
      <c r="F34" s="238">
        <f t="shared" si="3"/>
        <v>-8.315677966101695E-2</v>
      </c>
    </row>
    <row r="35" spans="1:6" s="240" customFormat="1" ht="39.950000000000003" customHeight="1" x14ac:dyDescent="0.3">
      <c r="A35" s="245"/>
      <c r="B35" s="242" t="s">
        <v>441</v>
      </c>
      <c r="C35" s="243">
        <f>+C26+C28</f>
        <v>60357032</v>
      </c>
      <c r="D35" s="243">
        <f>+D26+D28</f>
        <v>63250296</v>
      </c>
      <c r="E35" s="243">
        <f t="shared" si="2"/>
        <v>2893264</v>
      </c>
      <c r="F35" s="244">
        <f t="shared" si="3"/>
        <v>4.793582295431624E-2</v>
      </c>
    </row>
    <row r="36" spans="1:6" s="240" customFormat="1" ht="39.950000000000003" customHeight="1" x14ac:dyDescent="0.3">
      <c r="A36" s="245"/>
      <c r="B36" s="242" t="s">
        <v>470</v>
      </c>
      <c r="C36" s="243">
        <f>+C27+C29</f>
        <v>25753958</v>
      </c>
      <c r="D36" s="243">
        <f>+D27+D29</f>
        <v>25417211</v>
      </c>
      <c r="E36" s="243">
        <f t="shared" si="2"/>
        <v>-336747</v>
      </c>
      <c r="F36" s="244">
        <f t="shared" si="3"/>
        <v>-1.3075543572758797E-2</v>
      </c>
    </row>
    <row r="37" spans="1:6" ht="42" customHeight="1" x14ac:dyDescent="0.3">
      <c r="A37" s="227" t="s">
        <v>141</v>
      </c>
      <c r="B37" s="261" t="s">
        <v>474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434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435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436</v>
      </c>
      <c r="C40" s="237">
        <v>0</v>
      </c>
      <c r="D40" s="237">
        <v>0</v>
      </c>
      <c r="E40" s="237">
        <f t="shared" si="4"/>
        <v>0</v>
      </c>
      <c r="F40" s="238">
        <f t="shared" si="5"/>
        <v>0</v>
      </c>
    </row>
    <row r="41" spans="1:6" ht="20.25" customHeight="1" x14ac:dyDescent="0.3">
      <c r="A41" s="235">
        <v>4</v>
      </c>
      <c r="B41" s="236" t="s">
        <v>437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5</v>
      </c>
      <c r="B42" s="236" t="s">
        <v>373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372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438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439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440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441</v>
      </c>
      <c r="C47" s="243">
        <f>+C38+C40</f>
        <v>0</v>
      </c>
      <c r="D47" s="243">
        <f>+D38+D40</f>
        <v>0</v>
      </c>
      <c r="E47" s="243">
        <f t="shared" si="4"/>
        <v>0</v>
      </c>
      <c r="F47" s="244">
        <f t="shared" si="5"/>
        <v>0</v>
      </c>
    </row>
    <row r="48" spans="1:6" s="240" customFormat="1" ht="39.950000000000003" customHeight="1" x14ac:dyDescent="0.3">
      <c r="A48" s="245"/>
      <c r="B48" s="242" t="s">
        <v>470</v>
      </c>
      <c r="C48" s="243">
        <f>+C39+C41</f>
        <v>0</v>
      </c>
      <c r="D48" s="243">
        <f>+D39+D41</f>
        <v>0</v>
      </c>
      <c r="E48" s="243">
        <f t="shared" si="4"/>
        <v>0</v>
      </c>
      <c r="F48" s="244">
        <f t="shared" si="5"/>
        <v>0</v>
      </c>
    </row>
    <row r="49" spans="1:6" ht="42" customHeight="1" x14ac:dyDescent="0.3">
      <c r="A49" s="227" t="s">
        <v>171</v>
      </c>
      <c r="B49" s="261" t="s">
        <v>475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434</v>
      </c>
      <c r="C50" s="237">
        <v>0</v>
      </c>
      <c r="D50" s="237">
        <v>0</v>
      </c>
      <c r="E50" s="237">
        <f t="shared" ref="E50:E60" si="6">D50-C50</f>
        <v>0</v>
      </c>
      <c r="F50" s="238">
        <f t="shared" ref="F50:F60" si="7">IF(C50=0,0,E50/C50)</f>
        <v>0</v>
      </c>
    </row>
    <row r="51" spans="1:6" ht="20.25" customHeight="1" x14ac:dyDescent="0.3">
      <c r="A51" s="235">
        <v>2</v>
      </c>
      <c r="B51" s="236" t="s">
        <v>435</v>
      </c>
      <c r="C51" s="237">
        <v>0</v>
      </c>
      <c r="D51" s="237">
        <v>0</v>
      </c>
      <c r="E51" s="237">
        <f t="shared" si="6"/>
        <v>0</v>
      </c>
      <c r="F51" s="238">
        <f t="shared" si="7"/>
        <v>0</v>
      </c>
    </row>
    <row r="52" spans="1:6" ht="20.25" customHeight="1" x14ac:dyDescent="0.3">
      <c r="A52" s="235">
        <v>3</v>
      </c>
      <c r="B52" s="236" t="s">
        <v>436</v>
      </c>
      <c r="C52" s="237">
        <v>0</v>
      </c>
      <c r="D52" s="237">
        <v>0</v>
      </c>
      <c r="E52" s="237">
        <f t="shared" si="6"/>
        <v>0</v>
      </c>
      <c r="F52" s="238">
        <f t="shared" si="7"/>
        <v>0</v>
      </c>
    </row>
    <row r="53" spans="1:6" ht="20.25" customHeight="1" x14ac:dyDescent="0.3">
      <c r="A53" s="235">
        <v>4</v>
      </c>
      <c r="B53" s="236" t="s">
        <v>437</v>
      </c>
      <c r="C53" s="237">
        <v>0</v>
      </c>
      <c r="D53" s="237">
        <v>0</v>
      </c>
      <c r="E53" s="237">
        <f t="shared" si="6"/>
        <v>0</v>
      </c>
      <c r="F53" s="238">
        <f t="shared" si="7"/>
        <v>0</v>
      </c>
    </row>
    <row r="54" spans="1:6" ht="20.25" customHeight="1" x14ac:dyDescent="0.3">
      <c r="A54" s="235">
        <v>5</v>
      </c>
      <c r="B54" s="236" t="s">
        <v>373</v>
      </c>
      <c r="C54" s="239">
        <v>0</v>
      </c>
      <c r="D54" s="239">
        <v>0</v>
      </c>
      <c r="E54" s="239">
        <f t="shared" si="6"/>
        <v>0</v>
      </c>
      <c r="F54" s="238">
        <f t="shared" si="7"/>
        <v>0</v>
      </c>
    </row>
    <row r="55" spans="1:6" ht="20.25" customHeight="1" x14ac:dyDescent="0.3">
      <c r="A55" s="235">
        <v>6</v>
      </c>
      <c r="B55" s="236" t="s">
        <v>372</v>
      </c>
      <c r="C55" s="239">
        <v>0</v>
      </c>
      <c r="D55" s="239">
        <v>0</v>
      </c>
      <c r="E55" s="239">
        <f t="shared" si="6"/>
        <v>0</v>
      </c>
      <c r="F55" s="238">
        <f t="shared" si="7"/>
        <v>0</v>
      </c>
    </row>
    <row r="56" spans="1:6" ht="20.25" customHeight="1" x14ac:dyDescent="0.3">
      <c r="A56" s="235">
        <v>7</v>
      </c>
      <c r="B56" s="236" t="s">
        <v>438</v>
      </c>
      <c r="C56" s="239">
        <v>0</v>
      </c>
      <c r="D56" s="239">
        <v>0</v>
      </c>
      <c r="E56" s="239">
        <f t="shared" si="6"/>
        <v>0</v>
      </c>
      <c r="F56" s="238">
        <f t="shared" si="7"/>
        <v>0</v>
      </c>
    </row>
    <row r="57" spans="1:6" ht="20.25" customHeight="1" x14ac:dyDescent="0.3">
      <c r="A57" s="235">
        <v>8</v>
      </c>
      <c r="B57" s="236" t="s">
        <v>439</v>
      </c>
      <c r="C57" s="239">
        <v>0</v>
      </c>
      <c r="D57" s="239">
        <v>0</v>
      </c>
      <c r="E57" s="239">
        <f t="shared" si="6"/>
        <v>0</v>
      </c>
      <c r="F57" s="238">
        <f t="shared" si="7"/>
        <v>0</v>
      </c>
    </row>
    <row r="58" spans="1:6" ht="20.25" customHeight="1" x14ac:dyDescent="0.3">
      <c r="A58" s="235">
        <v>9</v>
      </c>
      <c r="B58" s="236" t="s">
        <v>440</v>
      </c>
      <c r="C58" s="239">
        <v>0</v>
      </c>
      <c r="D58" s="239">
        <v>0</v>
      </c>
      <c r="E58" s="239">
        <f t="shared" si="6"/>
        <v>0</v>
      </c>
      <c r="F58" s="238">
        <f t="shared" si="7"/>
        <v>0</v>
      </c>
    </row>
    <row r="59" spans="1:6" s="240" customFormat="1" ht="39.950000000000003" customHeight="1" x14ac:dyDescent="0.3">
      <c r="A59" s="245"/>
      <c r="B59" s="242" t="s">
        <v>441</v>
      </c>
      <c r="C59" s="243">
        <f>+C50+C52</f>
        <v>0</v>
      </c>
      <c r="D59" s="243">
        <f>+D50+D52</f>
        <v>0</v>
      </c>
      <c r="E59" s="243">
        <f t="shared" si="6"/>
        <v>0</v>
      </c>
      <c r="F59" s="244">
        <f t="shared" si="7"/>
        <v>0</v>
      </c>
    </row>
    <row r="60" spans="1:6" s="240" customFormat="1" ht="39.950000000000003" customHeight="1" x14ac:dyDescent="0.3">
      <c r="A60" s="245"/>
      <c r="B60" s="242" t="s">
        <v>470</v>
      </c>
      <c r="C60" s="243">
        <f>+C51+C53</f>
        <v>0</v>
      </c>
      <c r="D60" s="243">
        <f>+D51+D53</f>
        <v>0</v>
      </c>
      <c r="E60" s="243">
        <f t="shared" si="6"/>
        <v>0</v>
      </c>
      <c r="F60" s="244">
        <f t="shared" si="7"/>
        <v>0</v>
      </c>
    </row>
    <row r="61" spans="1:6" ht="42" customHeight="1" x14ac:dyDescent="0.3">
      <c r="A61" s="227" t="s">
        <v>176</v>
      </c>
      <c r="B61" s="261" t="s">
        <v>449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434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435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436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437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373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372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438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439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440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441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470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476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434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435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436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437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373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372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438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439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440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441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470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477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434</v>
      </c>
      <c r="C86" s="237">
        <v>2064962</v>
      </c>
      <c r="D86" s="237">
        <v>2535314</v>
      </c>
      <c r="E86" s="237">
        <f t="shared" ref="E86:E96" si="12">D86-C86</f>
        <v>470352</v>
      </c>
      <c r="F86" s="238">
        <f t="shared" ref="F86:F96" si="13">IF(C86=0,0,E86/C86)</f>
        <v>0.22777755716570086</v>
      </c>
    </row>
    <row r="87" spans="1:6" ht="20.25" customHeight="1" x14ac:dyDescent="0.3">
      <c r="A87" s="235">
        <v>2</v>
      </c>
      <c r="B87" s="236" t="s">
        <v>435</v>
      </c>
      <c r="C87" s="237">
        <v>976203</v>
      </c>
      <c r="D87" s="237">
        <v>922581</v>
      </c>
      <c r="E87" s="237">
        <f t="shared" si="12"/>
        <v>-53622</v>
      </c>
      <c r="F87" s="238">
        <f t="shared" si="13"/>
        <v>-5.4929148957747517E-2</v>
      </c>
    </row>
    <row r="88" spans="1:6" ht="20.25" customHeight="1" x14ac:dyDescent="0.3">
      <c r="A88" s="235">
        <v>3</v>
      </c>
      <c r="B88" s="236" t="s">
        <v>436</v>
      </c>
      <c r="C88" s="237">
        <v>3075760</v>
      </c>
      <c r="D88" s="237">
        <v>3725908</v>
      </c>
      <c r="E88" s="237">
        <f t="shared" si="12"/>
        <v>650148</v>
      </c>
      <c r="F88" s="238">
        <f t="shared" si="13"/>
        <v>0.21137800088433428</v>
      </c>
    </row>
    <row r="89" spans="1:6" ht="20.25" customHeight="1" x14ac:dyDescent="0.3">
      <c r="A89" s="235">
        <v>4</v>
      </c>
      <c r="B89" s="236" t="s">
        <v>437</v>
      </c>
      <c r="C89" s="237">
        <v>1078771</v>
      </c>
      <c r="D89" s="237">
        <v>1239796</v>
      </c>
      <c r="E89" s="237">
        <f t="shared" si="12"/>
        <v>161025</v>
      </c>
      <c r="F89" s="238">
        <f t="shared" si="13"/>
        <v>0.14926708263384908</v>
      </c>
    </row>
    <row r="90" spans="1:6" ht="20.25" customHeight="1" x14ac:dyDescent="0.3">
      <c r="A90" s="235">
        <v>5</v>
      </c>
      <c r="B90" s="236" t="s">
        <v>373</v>
      </c>
      <c r="C90" s="239">
        <v>205</v>
      </c>
      <c r="D90" s="239">
        <v>210</v>
      </c>
      <c r="E90" s="239">
        <f t="shared" si="12"/>
        <v>5</v>
      </c>
      <c r="F90" s="238">
        <f t="shared" si="13"/>
        <v>2.4390243902439025E-2</v>
      </c>
    </row>
    <row r="91" spans="1:6" ht="20.25" customHeight="1" x14ac:dyDescent="0.3">
      <c r="A91" s="235">
        <v>6</v>
      </c>
      <c r="B91" s="236" t="s">
        <v>372</v>
      </c>
      <c r="C91" s="239">
        <v>617</v>
      </c>
      <c r="D91" s="239">
        <v>641</v>
      </c>
      <c r="E91" s="239">
        <f t="shared" si="12"/>
        <v>24</v>
      </c>
      <c r="F91" s="238">
        <f t="shared" si="13"/>
        <v>3.8897893030794169E-2</v>
      </c>
    </row>
    <row r="92" spans="1:6" ht="20.25" customHeight="1" x14ac:dyDescent="0.3">
      <c r="A92" s="235">
        <v>7</v>
      </c>
      <c r="B92" s="236" t="s">
        <v>438</v>
      </c>
      <c r="C92" s="239">
        <v>718</v>
      </c>
      <c r="D92" s="239">
        <v>672</v>
      </c>
      <c r="E92" s="239">
        <f t="shared" si="12"/>
        <v>-46</v>
      </c>
      <c r="F92" s="238">
        <f t="shared" si="13"/>
        <v>-6.4066852367688026E-2</v>
      </c>
    </row>
    <row r="93" spans="1:6" ht="20.25" customHeight="1" x14ac:dyDescent="0.3">
      <c r="A93" s="235">
        <v>8</v>
      </c>
      <c r="B93" s="236" t="s">
        <v>439</v>
      </c>
      <c r="C93" s="239">
        <v>1795</v>
      </c>
      <c r="D93" s="239">
        <v>2221</v>
      </c>
      <c r="E93" s="239">
        <f t="shared" si="12"/>
        <v>426</v>
      </c>
      <c r="F93" s="238">
        <f t="shared" si="13"/>
        <v>0.2373259052924791</v>
      </c>
    </row>
    <row r="94" spans="1:6" ht="20.25" customHeight="1" x14ac:dyDescent="0.3">
      <c r="A94" s="235">
        <v>9</v>
      </c>
      <c r="B94" s="236" t="s">
        <v>440</v>
      </c>
      <c r="C94" s="239">
        <v>138</v>
      </c>
      <c r="D94" s="239">
        <v>152</v>
      </c>
      <c r="E94" s="239">
        <f t="shared" si="12"/>
        <v>14</v>
      </c>
      <c r="F94" s="238">
        <f t="shared" si="13"/>
        <v>0.10144927536231885</v>
      </c>
    </row>
    <row r="95" spans="1:6" s="240" customFormat="1" ht="39.950000000000003" customHeight="1" x14ac:dyDescent="0.3">
      <c r="A95" s="245"/>
      <c r="B95" s="242" t="s">
        <v>441</v>
      </c>
      <c r="C95" s="243">
        <f>+C86+C88</f>
        <v>5140722</v>
      </c>
      <c r="D95" s="243">
        <f>+D86+D88</f>
        <v>6261222</v>
      </c>
      <c r="E95" s="243">
        <f t="shared" si="12"/>
        <v>1120500</v>
      </c>
      <c r="F95" s="244">
        <f t="shared" si="13"/>
        <v>0.21796549200676482</v>
      </c>
    </row>
    <row r="96" spans="1:6" s="240" customFormat="1" ht="39.950000000000003" customHeight="1" x14ac:dyDescent="0.3">
      <c r="A96" s="245"/>
      <c r="B96" s="242" t="s">
        <v>470</v>
      </c>
      <c r="C96" s="243">
        <f>+C87+C89</f>
        <v>2054974</v>
      </c>
      <c r="D96" s="243">
        <f>+D87+D89</f>
        <v>2162377</v>
      </c>
      <c r="E96" s="243">
        <f t="shared" si="12"/>
        <v>107403</v>
      </c>
      <c r="F96" s="244">
        <f t="shared" si="13"/>
        <v>5.2264894835652422E-2</v>
      </c>
    </row>
    <row r="97" spans="1:7" ht="42" customHeight="1" x14ac:dyDescent="0.3">
      <c r="A97" s="227" t="s">
        <v>187</v>
      </c>
      <c r="B97" s="261" t="s">
        <v>450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434</v>
      </c>
      <c r="C98" s="237">
        <v>1457156</v>
      </c>
      <c r="D98" s="237">
        <v>1854306</v>
      </c>
      <c r="E98" s="237">
        <f t="shared" ref="E98:E108" si="14">D98-C98</f>
        <v>397150</v>
      </c>
      <c r="F98" s="238">
        <f t="shared" ref="F98:F108" si="15">IF(C98=0,0,E98/C98)</f>
        <v>0.27255146326131174</v>
      </c>
    </row>
    <row r="99" spans="1:7" ht="20.25" customHeight="1" x14ac:dyDescent="0.3">
      <c r="A99" s="235">
        <v>2</v>
      </c>
      <c r="B99" s="236" t="s">
        <v>435</v>
      </c>
      <c r="C99" s="237">
        <v>423371</v>
      </c>
      <c r="D99" s="237">
        <v>648581</v>
      </c>
      <c r="E99" s="237">
        <f t="shared" si="14"/>
        <v>225210</v>
      </c>
      <c r="F99" s="238">
        <f t="shared" si="15"/>
        <v>0.53194479546308082</v>
      </c>
    </row>
    <row r="100" spans="1:7" ht="20.25" customHeight="1" x14ac:dyDescent="0.3">
      <c r="A100" s="235">
        <v>3</v>
      </c>
      <c r="B100" s="236" t="s">
        <v>436</v>
      </c>
      <c r="C100" s="237">
        <v>3152356</v>
      </c>
      <c r="D100" s="237">
        <v>3377711</v>
      </c>
      <c r="E100" s="237">
        <f t="shared" si="14"/>
        <v>225355</v>
      </c>
      <c r="F100" s="238">
        <f t="shared" si="15"/>
        <v>7.1487801504652393E-2</v>
      </c>
    </row>
    <row r="101" spans="1:7" ht="20.25" customHeight="1" x14ac:dyDescent="0.3">
      <c r="A101" s="235">
        <v>4</v>
      </c>
      <c r="B101" s="236" t="s">
        <v>437</v>
      </c>
      <c r="C101" s="237">
        <v>996592</v>
      </c>
      <c r="D101" s="237">
        <v>938649</v>
      </c>
      <c r="E101" s="237">
        <f t="shared" si="14"/>
        <v>-57943</v>
      </c>
      <c r="F101" s="238">
        <f t="shared" si="15"/>
        <v>-5.8141145022235781E-2</v>
      </c>
    </row>
    <row r="102" spans="1:7" ht="20.25" customHeight="1" x14ac:dyDescent="0.3">
      <c r="A102" s="235">
        <v>5</v>
      </c>
      <c r="B102" s="236" t="s">
        <v>373</v>
      </c>
      <c r="C102" s="239">
        <v>125</v>
      </c>
      <c r="D102" s="239">
        <v>149</v>
      </c>
      <c r="E102" s="239">
        <f t="shared" si="14"/>
        <v>24</v>
      </c>
      <c r="F102" s="238">
        <f t="shared" si="15"/>
        <v>0.192</v>
      </c>
    </row>
    <row r="103" spans="1:7" ht="20.25" customHeight="1" x14ac:dyDescent="0.3">
      <c r="A103" s="235">
        <v>6</v>
      </c>
      <c r="B103" s="236" t="s">
        <v>372</v>
      </c>
      <c r="C103" s="239">
        <v>325</v>
      </c>
      <c r="D103" s="239">
        <v>503</v>
      </c>
      <c r="E103" s="239">
        <f t="shared" si="14"/>
        <v>178</v>
      </c>
      <c r="F103" s="238">
        <f t="shared" si="15"/>
        <v>0.5476923076923077</v>
      </c>
    </row>
    <row r="104" spans="1:7" ht="20.25" customHeight="1" x14ac:dyDescent="0.3">
      <c r="A104" s="235">
        <v>7</v>
      </c>
      <c r="B104" s="236" t="s">
        <v>438</v>
      </c>
      <c r="C104" s="239">
        <v>606</v>
      </c>
      <c r="D104" s="239">
        <v>521</v>
      </c>
      <c r="E104" s="239">
        <f t="shared" si="14"/>
        <v>-85</v>
      </c>
      <c r="F104" s="238">
        <f t="shared" si="15"/>
        <v>-0.14026402640264027</v>
      </c>
    </row>
    <row r="105" spans="1:7" ht="20.25" customHeight="1" x14ac:dyDescent="0.3">
      <c r="A105" s="235">
        <v>8</v>
      </c>
      <c r="B105" s="236" t="s">
        <v>439</v>
      </c>
      <c r="C105" s="239">
        <v>1515</v>
      </c>
      <c r="D105" s="239">
        <v>1722</v>
      </c>
      <c r="E105" s="239">
        <f t="shared" si="14"/>
        <v>207</v>
      </c>
      <c r="F105" s="238">
        <f t="shared" si="15"/>
        <v>0.13663366336633664</v>
      </c>
    </row>
    <row r="106" spans="1:7" ht="20.25" customHeight="1" x14ac:dyDescent="0.3">
      <c r="A106" s="235">
        <v>9</v>
      </c>
      <c r="B106" s="236" t="s">
        <v>440</v>
      </c>
      <c r="C106" s="239">
        <v>117</v>
      </c>
      <c r="D106" s="239">
        <v>118</v>
      </c>
      <c r="E106" s="239">
        <f t="shared" si="14"/>
        <v>1</v>
      </c>
      <c r="F106" s="238">
        <f t="shared" si="15"/>
        <v>8.5470085470085479E-3</v>
      </c>
    </row>
    <row r="107" spans="1:7" s="240" customFormat="1" ht="39.950000000000003" customHeight="1" x14ac:dyDescent="0.3">
      <c r="A107" s="245"/>
      <c r="B107" s="242" t="s">
        <v>441</v>
      </c>
      <c r="C107" s="243">
        <f>+C98+C100</f>
        <v>4609512</v>
      </c>
      <c r="D107" s="243">
        <f>+D98+D100</f>
        <v>5232017</v>
      </c>
      <c r="E107" s="243">
        <f t="shared" si="14"/>
        <v>622505</v>
      </c>
      <c r="F107" s="244">
        <f t="shared" si="15"/>
        <v>0.1350479183045841</v>
      </c>
    </row>
    <row r="108" spans="1:7" s="240" customFormat="1" ht="39.950000000000003" customHeight="1" x14ac:dyDescent="0.3">
      <c r="A108" s="245"/>
      <c r="B108" s="242" t="s">
        <v>470</v>
      </c>
      <c r="C108" s="243">
        <f>+C99+C101</f>
        <v>1419963</v>
      </c>
      <c r="D108" s="243">
        <f>+D99+D101</f>
        <v>1587230</v>
      </c>
      <c r="E108" s="243">
        <f t="shared" si="14"/>
        <v>167267</v>
      </c>
      <c r="F108" s="244">
        <f t="shared" si="15"/>
        <v>0.11779673132328096</v>
      </c>
    </row>
    <row r="109" spans="1:7" s="240" customFormat="1" ht="20.25" customHeight="1" x14ac:dyDescent="0.3">
      <c r="A109" s="682" t="s">
        <v>44</v>
      </c>
      <c r="B109" s="684" t="s">
        <v>478</v>
      </c>
      <c r="C109" s="686"/>
      <c r="D109" s="687"/>
      <c r="E109" s="687"/>
      <c r="F109" s="688"/>
      <c r="G109" s="212"/>
    </row>
    <row r="110" spans="1:7" ht="20.25" customHeight="1" x14ac:dyDescent="0.3">
      <c r="A110" s="683"/>
      <c r="B110" s="685"/>
      <c r="C110" s="679"/>
      <c r="D110" s="680"/>
      <c r="E110" s="680"/>
      <c r="F110" s="681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460</v>
      </c>
      <c r="C112" s="243">
        <f t="shared" ref="C112:D120" si="16">+C98+C86+C74+C62+C50+C38+C26+C14</f>
        <v>24622008</v>
      </c>
      <c r="D112" s="243">
        <f t="shared" si="16"/>
        <v>26866087</v>
      </c>
      <c r="E112" s="243">
        <f t="shared" ref="E112:E122" si="17">D112-C112</f>
        <v>2244079</v>
      </c>
      <c r="F112" s="244">
        <f t="shared" ref="F112:F122" si="18">IF(C112=0,0,E112/C112)</f>
        <v>9.1141185560495316E-2</v>
      </c>
    </row>
    <row r="113" spans="1:6" ht="20.25" customHeight="1" x14ac:dyDescent="0.3">
      <c r="A113" s="249"/>
      <c r="B113" s="250" t="s">
        <v>461</v>
      </c>
      <c r="C113" s="243">
        <f t="shared" si="16"/>
        <v>8746883</v>
      </c>
      <c r="D113" s="243">
        <f t="shared" si="16"/>
        <v>9252670</v>
      </c>
      <c r="E113" s="243">
        <f t="shared" si="17"/>
        <v>505787</v>
      </c>
      <c r="F113" s="244">
        <f t="shared" si="18"/>
        <v>5.7824827427096027E-2</v>
      </c>
    </row>
    <row r="114" spans="1:6" ht="20.25" customHeight="1" x14ac:dyDescent="0.3">
      <c r="A114" s="249"/>
      <c r="B114" s="250" t="s">
        <v>462</v>
      </c>
      <c r="C114" s="243">
        <f t="shared" si="16"/>
        <v>45485258</v>
      </c>
      <c r="D114" s="243">
        <f t="shared" si="16"/>
        <v>47877448</v>
      </c>
      <c r="E114" s="243">
        <f t="shared" si="17"/>
        <v>2392190</v>
      </c>
      <c r="F114" s="244">
        <f t="shared" si="18"/>
        <v>5.2592644412394009E-2</v>
      </c>
    </row>
    <row r="115" spans="1:6" ht="20.25" customHeight="1" x14ac:dyDescent="0.3">
      <c r="A115" s="249"/>
      <c r="B115" s="250" t="s">
        <v>463</v>
      </c>
      <c r="C115" s="243">
        <f t="shared" si="16"/>
        <v>20482012</v>
      </c>
      <c r="D115" s="243">
        <f t="shared" si="16"/>
        <v>19914148</v>
      </c>
      <c r="E115" s="243">
        <f t="shared" si="17"/>
        <v>-567864</v>
      </c>
      <c r="F115" s="244">
        <f t="shared" si="18"/>
        <v>-2.7725010609309281E-2</v>
      </c>
    </row>
    <row r="116" spans="1:6" ht="20.25" customHeight="1" x14ac:dyDescent="0.3">
      <c r="A116" s="249"/>
      <c r="B116" s="250" t="s">
        <v>464</v>
      </c>
      <c r="C116" s="252">
        <f t="shared" si="16"/>
        <v>2410</v>
      </c>
      <c r="D116" s="252">
        <f t="shared" si="16"/>
        <v>2386</v>
      </c>
      <c r="E116" s="252">
        <f t="shared" si="17"/>
        <v>-24</v>
      </c>
      <c r="F116" s="244">
        <f t="shared" si="18"/>
        <v>-9.9585062240663894E-3</v>
      </c>
    </row>
    <row r="117" spans="1:6" ht="20.25" customHeight="1" x14ac:dyDescent="0.3">
      <c r="A117" s="249"/>
      <c r="B117" s="250" t="s">
        <v>465</v>
      </c>
      <c r="C117" s="252">
        <f t="shared" si="16"/>
        <v>6639</v>
      </c>
      <c r="D117" s="252">
        <f t="shared" si="16"/>
        <v>7169</v>
      </c>
      <c r="E117" s="252">
        <f t="shared" si="17"/>
        <v>530</v>
      </c>
      <c r="F117" s="244">
        <f t="shared" si="18"/>
        <v>7.9831299894562432E-2</v>
      </c>
    </row>
    <row r="118" spans="1:6" ht="39.950000000000003" customHeight="1" x14ac:dyDescent="0.3">
      <c r="A118" s="249"/>
      <c r="B118" s="250" t="s">
        <v>466</v>
      </c>
      <c r="C118" s="252">
        <f t="shared" si="16"/>
        <v>11123</v>
      </c>
      <c r="D118" s="252">
        <f t="shared" si="16"/>
        <v>8837</v>
      </c>
      <c r="E118" s="252">
        <f t="shared" si="17"/>
        <v>-2286</v>
      </c>
      <c r="F118" s="244">
        <f t="shared" si="18"/>
        <v>-0.20552009349995504</v>
      </c>
    </row>
    <row r="119" spans="1:6" ht="39.950000000000003" customHeight="1" x14ac:dyDescent="0.3">
      <c r="A119" s="249"/>
      <c r="B119" s="250" t="s">
        <v>467</v>
      </c>
      <c r="C119" s="252">
        <f t="shared" si="16"/>
        <v>27812</v>
      </c>
      <c r="D119" s="252">
        <f t="shared" si="16"/>
        <v>29227</v>
      </c>
      <c r="E119" s="252">
        <f t="shared" si="17"/>
        <v>1415</v>
      </c>
      <c r="F119" s="244">
        <f t="shared" si="18"/>
        <v>5.0877319142816048E-2</v>
      </c>
    </row>
    <row r="120" spans="1:6" ht="39.950000000000003" customHeight="1" x14ac:dyDescent="0.3">
      <c r="A120" s="249"/>
      <c r="B120" s="250" t="s">
        <v>468</v>
      </c>
      <c r="C120" s="252">
        <f t="shared" si="16"/>
        <v>2143</v>
      </c>
      <c r="D120" s="252">
        <f t="shared" si="16"/>
        <v>2001</v>
      </c>
      <c r="E120" s="252">
        <f t="shared" si="17"/>
        <v>-142</v>
      </c>
      <c r="F120" s="244">
        <f t="shared" si="18"/>
        <v>-6.6262249183387772E-2</v>
      </c>
    </row>
    <row r="121" spans="1:6" ht="39.950000000000003" customHeight="1" x14ac:dyDescent="0.3">
      <c r="A121" s="249"/>
      <c r="B121" s="242" t="s">
        <v>441</v>
      </c>
      <c r="C121" s="243">
        <f>+C112+C114</f>
        <v>70107266</v>
      </c>
      <c r="D121" s="243">
        <f>+D112+D114</f>
        <v>74743535</v>
      </c>
      <c r="E121" s="243">
        <f t="shared" si="17"/>
        <v>4636269</v>
      </c>
      <c r="F121" s="244">
        <f t="shared" si="18"/>
        <v>6.6131076912912284E-2</v>
      </c>
    </row>
    <row r="122" spans="1:6" ht="39.950000000000003" customHeight="1" x14ac:dyDescent="0.3">
      <c r="A122" s="249"/>
      <c r="B122" s="242" t="s">
        <v>470</v>
      </c>
      <c r="C122" s="243">
        <f>+C113+C115</f>
        <v>29228895</v>
      </c>
      <c r="D122" s="243">
        <f>+D113+D115</f>
        <v>29166818</v>
      </c>
      <c r="E122" s="243">
        <f t="shared" si="17"/>
        <v>-62077</v>
      </c>
      <c r="F122" s="244">
        <f t="shared" si="18"/>
        <v>-2.1238230182837907E-3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/>
  <headerFooter>
    <oddHeader>&amp;LOFFICE OF HEALTH CARE ACCESS&amp;CTWELVE MONTHS ACTUAL FILING&amp;RTHE HOSPITAL OF CENTRAL CONNECTICUT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479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480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43866837</v>
      </c>
      <c r="D13" s="23">
        <v>20299387</v>
      </c>
      <c r="E13" s="23">
        <f t="shared" ref="E13:E22" si="0">D13-C13</f>
        <v>-23567450</v>
      </c>
      <c r="F13" s="24">
        <f t="shared" ref="F13:F22" si="1">IF(C13=0,0,E13/C13)</f>
        <v>-0.5372498135664534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35.1" customHeight="1" x14ac:dyDescent="0.2">
      <c r="A15" s="21">
        <v>3</v>
      </c>
      <c r="B15" s="22" t="s">
        <v>18</v>
      </c>
      <c r="C15" s="23">
        <v>40669114</v>
      </c>
      <c r="D15" s="23">
        <v>48945018</v>
      </c>
      <c r="E15" s="23">
        <f t="shared" si="0"/>
        <v>8275904</v>
      </c>
      <c r="F15" s="24">
        <f t="shared" si="1"/>
        <v>0.20349358975462312</v>
      </c>
    </row>
    <row r="16" spans="1:8" ht="35.1" customHeight="1" x14ac:dyDescent="0.2">
      <c r="A16" s="21">
        <v>4</v>
      </c>
      <c r="B16" s="22" t="s">
        <v>19</v>
      </c>
      <c r="C16" s="23">
        <v>160737</v>
      </c>
      <c r="D16" s="23">
        <v>0</v>
      </c>
      <c r="E16" s="23">
        <f t="shared" si="0"/>
        <v>-160737</v>
      </c>
      <c r="F16" s="24">
        <f t="shared" si="1"/>
        <v>-1</v>
      </c>
    </row>
    <row r="17" spans="1:11" ht="24" customHeight="1" x14ac:dyDescent="0.2">
      <c r="A17" s="21">
        <v>5</v>
      </c>
      <c r="B17" s="22" t="s">
        <v>20</v>
      </c>
      <c r="C17" s="23">
        <v>148183</v>
      </c>
      <c r="D17" s="23">
        <v>73947</v>
      </c>
      <c r="E17" s="23">
        <f t="shared" si="0"/>
        <v>-74236</v>
      </c>
      <c r="F17" s="24">
        <f t="shared" si="1"/>
        <v>-0.50097514559699829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4888973</v>
      </c>
      <c r="D19" s="23">
        <v>5586310</v>
      </c>
      <c r="E19" s="23">
        <f t="shared" si="0"/>
        <v>697337</v>
      </c>
      <c r="F19" s="24">
        <f t="shared" si="1"/>
        <v>0.14263465967187791</v>
      </c>
    </row>
    <row r="20" spans="1:11" ht="24" customHeight="1" x14ac:dyDescent="0.2">
      <c r="A20" s="21">
        <v>8</v>
      </c>
      <c r="B20" s="22" t="s">
        <v>23</v>
      </c>
      <c r="C20" s="23">
        <v>4045580</v>
      </c>
      <c r="D20" s="23">
        <v>4291812</v>
      </c>
      <c r="E20" s="23">
        <f t="shared" si="0"/>
        <v>246232</v>
      </c>
      <c r="F20" s="24">
        <f t="shared" si="1"/>
        <v>6.0864449596843964E-2</v>
      </c>
    </row>
    <row r="21" spans="1:11" ht="24" customHeight="1" x14ac:dyDescent="0.2">
      <c r="A21" s="21">
        <v>9</v>
      </c>
      <c r="B21" s="22" t="s">
        <v>24</v>
      </c>
      <c r="C21" s="23">
        <v>10197055</v>
      </c>
      <c r="D21" s="23">
        <v>10868943</v>
      </c>
      <c r="E21" s="23">
        <f t="shared" si="0"/>
        <v>671888</v>
      </c>
      <c r="F21" s="24">
        <f t="shared" si="1"/>
        <v>6.58903967861309E-2</v>
      </c>
    </row>
    <row r="22" spans="1:11" ht="24" customHeight="1" x14ac:dyDescent="0.25">
      <c r="A22" s="25"/>
      <c r="B22" s="26" t="s">
        <v>25</v>
      </c>
      <c r="C22" s="27">
        <f>SUM(C13:C21)</f>
        <v>103976479</v>
      </c>
      <c r="D22" s="27">
        <f>SUM(D13:D21)</f>
        <v>90065417</v>
      </c>
      <c r="E22" s="27">
        <f t="shared" si="0"/>
        <v>-13911062</v>
      </c>
      <c r="F22" s="28">
        <f t="shared" si="1"/>
        <v>-0.13379047005428987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14040818</v>
      </c>
      <c r="D25" s="23">
        <v>13488594</v>
      </c>
      <c r="E25" s="23">
        <f>D25-C25</f>
        <v>-552224</v>
      </c>
      <c r="F25" s="24">
        <f>IF(C25=0,0,E25/C25)</f>
        <v>-3.932990228916862E-2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1396043</v>
      </c>
      <c r="D27" s="23">
        <v>0</v>
      </c>
      <c r="E27" s="23">
        <f>D27-C27</f>
        <v>-1396043</v>
      </c>
      <c r="F27" s="24">
        <f>IF(C27=0,0,E27/C27)</f>
        <v>-1</v>
      </c>
    </row>
    <row r="28" spans="1:11" ht="35.1" customHeight="1" x14ac:dyDescent="0.2">
      <c r="A28" s="21">
        <v>4</v>
      </c>
      <c r="B28" s="22" t="s">
        <v>31</v>
      </c>
      <c r="C28" s="23">
        <v>23353986</v>
      </c>
      <c r="D28" s="23">
        <v>0</v>
      </c>
      <c r="E28" s="23">
        <f>D28-C28</f>
        <v>-23353986</v>
      </c>
      <c r="F28" s="24">
        <f>IF(C28=0,0,E28/C28)</f>
        <v>-1</v>
      </c>
    </row>
    <row r="29" spans="1:11" ht="35.1" customHeight="1" x14ac:dyDescent="0.25">
      <c r="A29" s="25"/>
      <c r="B29" s="26" t="s">
        <v>32</v>
      </c>
      <c r="C29" s="27">
        <f>SUM(C25:C28)</f>
        <v>38790847</v>
      </c>
      <c r="D29" s="27">
        <f>SUM(D25:D28)</f>
        <v>13488594</v>
      </c>
      <c r="E29" s="27">
        <f>D29-C29</f>
        <v>-25302253</v>
      </c>
      <c r="F29" s="28">
        <f>IF(C29=0,0,E29/C29)</f>
        <v>-0.65227379541364483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123374913</v>
      </c>
      <c r="D32" s="23">
        <v>135698992</v>
      </c>
      <c r="E32" s="23">
        <f>D32-C32</f>
        <v>12324079</v>
      </c>
      <c r="F32" s="24">
        <f>IF(C32=0,0,E32/C32)</f>
        <v>9.9891288271870965E-2</v>
      </c>
    </row>
    <row r="33" spans="1:8" ht="24" customHeight="1" x14ac:dyDescent="0.2">
      <c r="A33" s="21">
        <v>7</v>
      </c>
      <c r="B33" s="22" t="s">
        <v>35</v>
      </c>
      <c r="C33" s="23">
        <v>5469393</v>
      </c>
      <c r="D33" s="23">
        <v>11461992</v>
      </c>
      <c r="E33" s="23">
        <f>D33-C33</f>
        <v>5992599</v>
      </c>
      <c r="F33" s="24">
        <f>IF(C33=0,0,E33/C33)</f>
        <v>1.0956607067731281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414566007</v>
      </c>
      <c r="D36" s="23">
        <v>411952507</v>
      </c>
      <c r="E36" s="23">
        <f>D36-C36</f>
        <v>-2613500</v>
      </c>
      <c r="F36" s="24">
        <f>IF(C36=0,0,E36/C36)</f>
        <v>-6.304183063422274E-3</v>
      </c>
    </row>
    <row r="37" spans="1:8" ht="24" customHeight="1" x14ac:dyDescent="0.2">
      <c r="A37" s="21">
        <v>2</v>
      </c>
      <c r="B37" s="22" t="s">
        <v>39</v>
      </c>
      <c r="C37" s="23">
        <v>268873447</v>
      </c>
      <c r="D37" s="23">
        <v>260274904</v>
      </c>
      <c r="E37" s="23">
        <f>D37-C37</f>
        <v>-8598543</v>
      </c>
      <c r="F37" s="23">
        <f>IF(C37=0,0,E37/C37)</f>
        <v>-3.1979889036792837E-2</v>
      </c>
    </row>
    <row r="38" spans="1:8" ht="24" customHeight="1" x14ac:dyDescent="0.25">
      <c r="A38" s="25"/>
      <c r="B38" s="26" t="s">
        <v>40</v>
      </c>
      <c r="C38" s="27">
        <f>C36-C37</f>
        <v>145692560</v>
      </c>
      <c r="D38" s="27">
        <f>D36-D37</f>
        <v>151677603</v>
      </c>
      <c r="E38" s="27">
        <f>D38-C38</f>
        <v>5985043</v>
      </c>
      <c r="F38" s="28">
        <f>IF(C38=0,0,E38/C38)</f>
        <v>4.1079949449717955E-2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3403411</v>
      </c>
      <c r="D40" s="23">
        <v>1087467</v>
      </c>
      <c r="E40" s="23">
        <f>D40-C40</f>
        <v>-2315944</v>
      </c>
      <c r="F40" s="24">
        <f>IF(C40=0,0,E40/C40)</f>
        <v>-0.68047732113459114</v>
      </c>
    </row>
    <row r="41" spans="1:8" ht="24" customHeight="1" x14ac:dyDescent="0.25">
      <c r="A41" s="25"/>
      <c r="B41" s="26" t="s">
        <v>42</v>
      </c>
      <c r="C41" s="27">
        <f>+C38+C40</f>
        <v>149095971</v>
      </c>
      <c r="D41" s="27">
        <f>+D38+D40</f>
        <v>152765070</v>
      </c>
      <c r="E41" s="27">
        <f>D41-C41</f>
        <v>3669099</v>
      </c>
      <c r="F41" s="28">
        <f>IF(C41=0,0,E41/C41)</f>
        <v>2.4608974846141215E-2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420707603</v>
      </c>
      <c r="D43" s="27">
        <f>D22+D29+D31+D32+D33+D41</f>
        <v>403480065</v>
      </c>
      <c r="E43" s="27">
        <f>D43-C43</f>
        <v>-17227538</v>
      </c>
      <c r="F43" s="28">
        <f>IF(C43=0,0,E43/C43)</f>
        <v>-4.0948958081938922E-2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27931108</v>
      </c>
      <c r="D49" s="23">
        <v>23448266</v>
      </c>
      <c r="E49" s="23">
        <f t="shared" ref="E49:E56" si="2">D49-C49</f>
        <v>-4482842</v>
      </c>
      <c r="F49" s="24">
        <f t="shared" ref="F49:F56" si="3">IF(C49=0,0,E49/C49)</f>
        <v>-0.16049638990332929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14564699</v>
      </c>
      <c r="D50" s="23">
        <v>12301012</v>
      </c>
      <c r="E50" s="23">
        <f t="shared" si="2"/>
        <v>-2263687</v>
      </c>
      <c r="F50" s="24">
        <f t="shared" si="3"/>
        <v>-0.15542284807945567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20263312</v>
      </c>
      <c r="D51" s="23">
        <v>23838552</v>
      </c>
      <c r="E51" s="23">
        <f t="shared" si="2"/>
        <v>3575240</v>
      </c>
      <c r="F51" s="24">
        <f t="shared" si="3"/>
        <v>0.1764390737308886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374021</v>
      </c>
      <c r="E52" s="23">
        <f t="shared" si="2"/>
        <v>374021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5155846</v>
      </c>
      <c r="D53" s="23">
        <v>2724400</v>
      </c>
      <c r="E53" s="23">
        <f t="shared" si="2"/>
        <v>-2431446</v>
      </c>
      <c r="F53" s="24">
        <f t="shared" si="3"/>
        <v>-0.47159011343628182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22438833</v>
      </c>
      <c r="D55" s="23">
        <v>17167413</v>
      </c>
      <c r="E55" s="23">
        <f t="shared" si="2"/>
        <v>-5271420</v>
      </c>
      <c r="F55" s="24">
        <f t="shared" si="3"/>
        <v>-0.23492398200922482</v>
      </c>
    </row>
    <row r="56" spans="1:6" ht="24" customHeight="1" x14ac:dyDescent="0.25">
      <c r="A56" s="25"/>
      <c r="B56" s="26" t="s">
        <v>54</v>
      </c>
      <c r="C56" s="27">
        <f>SUM(C49:C55)</f>
        <v>90353798</v>
      </c>
      <c r="D56" s="27">
        <f>SUM(D49:D55)</f>
        <v>79853664</v>
      </c>
      <c r="E56" s="27">
        <f t="shared" si="2"/>
        <v>-10500134</v>
      </c>
      <c r="F56" s="28">
        <f t="shared" si="3"/>
        <v>-0.11621131853250928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47823695</v>
      </c>
      <c r="D59" s="23">
        <v>0</v>
      </c>
      <c r="E59" s="23">
        <f>D59-C59</f>
        <v>-47823695</v>
      </c>
      <c r="F59" s="24">
        <f>IF(C59=0,0,E59/C59)</f>
        <v>-1</v>
      </c>
    </row>
    <row r="60" spans="1:6" ht="24" customHeight="1" x14ac:dyDescent="0.2">
      <c r="A60" s="21">
        <v>2</v>
      </c>
      <c r="B60" s="22" t="s">
        <v>57</v>
      </c>
      <c r="C60" s="23">
        <v>7813315</v>
      </c>
      <c r="D60" s="23">
        <v>3640365</v>
      </c>
      <c r="E60" s="23">
        <f>D60-C60</f>
        <v>-4172950</v>
      </c>
      <c r="F60" s="24">
        <f>IF(C60=0,0,E60/C60)</f>
        <v>-0.53408188457780081</v>
      </c>
    </row>
    <row r="61" spans="1:6" ht="24" customHeight="1" x14ac:dyDescent="0.25">
      <c r="A61" s="25"/>
      <c r="B61" s="26" t="s">
        <v>58</v>
      </c>
      <c r="C61" s="27">
        <f>SUM(C59:C60)</f>
        <v>55637010</v>
      </c>
      <c r="D61" s="27">
        <f>SUM(D59:D60)</f>
        <v>3640365</v>
      </c>
      <c r="E61" s="27">
        <f>D61-C61</f>
        <v>-51996645</v>
      </c>
      <c r="F61" s="28">
        <f>IF(C61=0,0,E61/C61)</f>
        <v>-0.93456936309122296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95816944</v>
      </c>
      <c r="D63" s="23">
        <v>82716227</v>
      </c>
      <c r="E63" s="23">
        <f>D63-C63</f>
        <v>-13100717</v>
      </c>
      <c r="F63" s="24">
        <f>IF(C63=0,0,E63/C63)</f>
        <v>-0.13672651676304767</v>
      </c>
    </row>
    <row r="64" spans="1:6" ht="24" customHeight="1" x14ac:dyDescent="0.2">
      <c r="A64" s="21">
        <v>4</v>
      </c>
      <c r="B64" s="22" t="s">
        <v>60</v>
      </c>
      <c r="C64" s="23">
        <v>23906033</v>
      </c>
      <c r="D64" s="23">
        <v>62072042</v>
      </c>
      <c r="E64" s="23">
        <f>D64-C64</f>
        <v>38166009</v>
      </c>
      <c r="F64" s="24">
        <f>IF(C64=0,0,E64/C64)</f>
        <v>1.5965011426195219</v>
      </c>
    </row>
    <row r="65" spans="1:6" ht="24" customHeight="1" x14ac:dyDescent="0.25">
      <c r="A65" s="25"/>
      <c r="B65" s="26" t="s">
        <v>61</v>
      </c>
      <c r="C65" s="27">
        <f>SUM(C61:C64)</f>
        <v>175359987</v>
      </c>
      <c r="D65" s="27">
        <f>SUM(D61:D64)</f>
        <v>148428634</v>
      </c>
      <c r="E65" s="27">
        <f>D65-C65</f>
        <v>-26931353</v>
      </c>
      <c r="F65" s="28">
        <f>IF(C65=0,0,E65/C65)</f>
        <v>-0.1535775262118376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117892402</v>
      </c>
      <c r="D70" s="23">
        <v>138381964</v>
      </c>
      <c r="E70" s="23">
        <f>D70-C70</f>
        <v>20489562</v>
      </c>
      <c r="F70" s="24">
        <f>IF(C70=0,0,E70/C70)</f>
        <v>0.17379883395708573</v>
      </c>
    </row>
    <row r="71" spans="1:6" ht="24" customHeight="1" x14ac:dyDescent="0.2">
      <c r="A71" s="21">
        <v>2</v>
      </c>
      <c r="B71" s="22" t="s">
        <v>65</v>
      </c>
      <c r="C71" s="23">
        <v>16376223</v>
      </c>
      <c r="D71" s="23">
        <v>16726765</v>
      </c>
      <c r="E71" s="23">
        <f>D71-C71</f>
        <v>350542</v>
      </c>
      <c r="F71" s="24">
        <f>IF(C71=0,0,E71/C71)</f>
        <v>2.1405546321639612E-2</v>
      </c>
    </row>
    <row r="72" spans="1:6" ht="24" customHeight="1" x14ac:dyDescent="0.2">
      <c r="A72" s="21">
        <v>3</v>
      </c>
      <c r="B72" s="22" t="s">
        <v>66</v>
      </c>
      <c r="C72" s="23">
        <v>20725193</v>
      </c>
      <c r="D72" s="23">
        <v>20089038</v>
      </c>
      <c r="E72" s="23">
        <f>D72-C72</f>
        <v>-636155</v>
      </c>
      <c r="F72" s="24">
        <f>IF(C72=0,0,E72/C72)</f>
        <v>-3.0694768439550841E-2</v>
      </c>
    </row>
    <row r="73" spans="1:6" ht="24" customHeight="1" x14ac:dyDescent="0.25">
      <c r="A73" s="21"/>
      <c r="B73" s="26" t="s">
        <v>67</v>
      </c>
      <c r="C73" s="27">
        <f>SUM(C70:C72)</f>
        <v>154993818</v>
      </c>
      <c r="D73" s="27">
        <f>SUM(D70:D72)</f>
        <v>175197767</v>
      </c>
      <c r="E73" s="27">
        <f>D73-C73</f>
        <v>20203949</v>
      </c>
      <c r="F73" s="28">
        <f>IF(C73=0,0,E73/C73)</f>
        <v>0.13035325705700082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420707603</v>
      </c>
      <c r="D75" s="27">
        <f>D56+D65+D67+D73</f>
        <v>403480065</v>
      </c>
      <c r="E75" s="27">
        <f>D75-C75</f>
        <v>-17227538</v>
      </c>
      <c r="F75" s="28">
        <f>IF(C75=0,0,E75/C75)</f>
        <v>-4.0948958081938922E-2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/>
  <headerFooter>
    <oddHeader>&amp;LOFFICE OF HEALTH CARE ACCESS&amp;CTWELVE MONTHS ACTUAL FILING&amp;RHARTFORD HEALTH CARE CORPORATION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479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481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840676112</v>
      </c>
      <c r="D12" s="51">
        <v>850595830</v>
      </c>
      <c r="E12" s="51">
        <f t="shared" ref="E12:E19" si="0">D12-C12</f>
        <v>9919718</v>
      </c>
      <c r="F12" s="70">
        <f t="shared" ref="F12:F19" si="1">IF(C12=0,0,E12/C12)</f>
        <v>1.1799690580478871E-2</v>
      </c>
    </row>
    <row r="13" spans="1:8" ht="23.1" customHeight="1" x14ac:dyDescent="0.2">
      <c r="A13" s="25">
        <v>2</v>
      </c>
      <c r="B13" s="48" t="s">
        <v>72</v>
      </c>
      <c r="C13" s="51">
        <v>442345826</v>
      </c>
      <c r="D13" s="51">
        <v>453266693</v>
      </c>
      <c r="E13" s="51">
        <f t="shared" si="0"/>
        <v>10920867</v>
      </c>
      <c r="F13" s="70">
        <f t="shared" si="1"/>
        <v>2.468852729719213E-2</v>
      </c>
    </row>
    <row r="14" spans="1:8" ht="23.1" customHeight="1" x14ac:dyDescent="0.2">
      <c r="A14" s="25">
        <v>3</v>
      </c>
      <c r="B14" s="48" t="s">
        <v>73</v>
      </c>
      <c r="C14" s="51">
        <v>8420571</v>
      </c>
      <c r="D14" s="51">
        <v>17262086</v>
      </c>
      <c r="E14" s="51">
        <f t="shared" si="0"/>
        <v>8841515</v>
      </c>
      <c r="F14" s="70">
        <f t="shared" si="1"/>
        <v>1.049989959113224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389909715</v>
      </c>
      <c r="D16" s="27">
        <f>D12-D13-D14-D15</f>
        <v>380067051</v>
      </c>
      <c r="E16" s="27">
        <f t="shared" si="0"/>
        <v>-9842664</v>
      </c>
      <c r="F16" s="28">
        <f t="shared" si="1"/>
        <v>-2.5243443857252953E-2</v>
      </c>
    </row>
    <row r="17" spans="1:7" ht="23.1" customHeight="1" x14ac:dyDescent="0.2">
      <c r="A17" s="25">
        <v>5</v>
      </c>
      <c r="B17" s="48" t="s">
        <v>76</v>
      </c>
      <c r="C17" s="51">
        <v>55840758</v>
      </c>
      <c r="D17" s="51">
        <v>11956842</v>
      </c>
      <c r="E17" s="51">
        <f t="shared" si="0"/>
        <v>-43883916</v>
      </c>
      <c r="F17" s="70">
        <f t="shared" si="1"/>
        <v>-0.78587607997728115</v>
      </c>
      <c r="G17" s="64"/>
    </row>
    <row r="18" spans="1:7" ht="33" customHeight="1" x14ac:dyDescent="0.2">
      <c r="A18" s="25">
        <v>6</v>
      </c>
      <c r="B18" s="45" t="s">
        <v>77</v>
      </c>
      <c r="C18" s="51">
        <v>1168686</v>
      </c>
      <c r="D18" s="51">
        <v>747896</v>
      </c>
      <c r="E18" s="51">
        <f t="shared" si="0"/>
        <v>-420790</v>
      </c>
      <c r="F18" s="70">
        <f t="shared" si="1"/>
        <v>-0.36005394092168469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446919159</v>
      </c>
      <c r="D19" s="27">
        <f>SUM(D16:D18)</f>
        <v>392771789</v>
      </c>
      <c r="E19" s="27">
        <f t="shared" si="0"/>
        <v>-54147370</v>
      </c>
      <c r="F19" s="28">
        <f t="shared" si="1"/>
        <v>-0.12115696745057197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179619949</v>
      </c>
      <c r="D22" s="51">
        <v>153162089</v>
      </c>
      <c r="E22" s="51">
        <f t="shared" ref="E22:E31" si="2">D22-C22</f>
        <v>-26457860</v>
      </c>
      <c r="F22" s="70">
        <f t="shared" ref="F22:F31" si="3">IF(C22=0,0,E22/C22)</f>
        <v>-0.14729911764978845</v>
      </c>
    </row>
    <row r="23" spans="1:7" ht="23.1" customHeight="1" x14ac:dyDescent="0.2">
      <c r="A23" s="25">
        <v>2</v>
      </c>
      <c r="B23" s="48" t="s">
        <v>81</v>
      </c>
      <c r="C23" s="51">
        <v>53001473</v>
      </c>
      <c r="D23" s="51">
        <v>52159661</v>
      </c>
      <c r="E23" s="51">
        <f t="shared" si="2"/>
        <v>-841812</v>
      </c>
      <c r="F23" s="70">
        <f t="shared" si="3"/>
        <v>-1.5882803860941753E-2</v>
      </c>
    </row>
    <row r="24" spans="1:7" ht="23.1" customHeight="1" x14ac:dyDescent="0.2">
      <c r="A24" s="25">
        <v>3</v>
      </c>
      <c r="B24" s="48" t="s">
        <v>82</v>
      </c>
      <c r="C24" s="51">
        <v>8591910</v>
      </c>
      <c r="D24" s="51">
        <v>11127118</v>
      </c>
      <c r="E24" s="51">
        <f t="shared" si="2"/>
        <v>2535208</v>
      </c>
      <c r="F24" s="70">
        <f t="shared" si="3"/>
        <v>0.29506919881609561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56898230</v>
      </c>
      <c r="D25" s="51">
        <v>51694261</v>
      </c>
      <c r="E25" s="51">
        <f t="shared" si="2"/>
        <v>-5203969</v>
      </c>
      <c r="F25" s="70">
        <f t="shared" si="3"/>
        <v>-9.1460999753419397E-2</v>
      </c>
    </row>
    <row r="26" spans="1:7" ht="23.1" customHeight="1" x14ac:dyDescent="0.2">
      <c r="A26" s="25">
        <v>5</v>
      </c>
      <c r="B26" s="48" t="s">
        <v>84</v>
      </c>
      <c r="C26" s="51">
        <v>20667840</v>
      </c>
      <c r="D26" s="51">
        <v>18679687</v>
      </c>
      <c r="E26" s="51">
        <f t="shared" si="2"/>
        <v>-1988153</v>
      </c>
      <c r="F26" s="70">
        <f t="shared" si="3"/>
        <v>-9.619549019152461E-2</v>
      </c>
    </row>
    <row r="27" spans="1:7" ht="23.1" customHeight="1" x14ac:dyDescent="0.2">
      <c r="A27" s="25">
        <v>6</v>
      </c>
      <c r="B27" s="48" t="s">
        <v>85</v>
      </c>
      <c r="C27" s="51">
        <v>17918331</v>
      </c>
      <c r="D27" s="51">
        <v>1140529</v>
      </c>
      <c r="E27" s="51">
        <f t="shared" si="2"/>
        <v>-16777802</v>
      </c>
      <c r="F27" s="70">
        <f t="shared" si="3"/>
        <v>-0.93634848022396733</v>
      </c>
    </row>
    <row r="28" spans="1:7" ht="23.1" customHeight="1" x14ac:dyDescent="0.2">
      <c r="A28" s="25">
        <v>7</v>
      </c>
      <c r="B28" s="48" t="s">
        <v>86</v>
      </c>
      <c r="C28" s="51">
        <v>3025673</v>
      </c>
      <c r="D28" s="51">
        <v>837138</v>
      </c>
      <c r="E28" s="51">
        <f t="shared" si="2"/>
        <v>-2188535</v>
      </c>
      <c r="F28" s="70">
        <f t="shared" si="3"/>
        <v>-0.7233217204899538</v>
      </c>
    </row>
    <row r="29" spans="1:7" ht="23.1" customHeight="1" x14ac:dyDescent="0.2">
      <c r="A29" s="25">
        <v>8</v>
      </c>
      <c r="B29" s="48" t="s">
        <v>87</v>
      </c>
      <c r="C29" s="51">
        <v>7784175</v>
      </c>
      <c r="D29" s="51">
        <v>6815328</v>
      </c>
      <c r="E29" s="51">
        <f t="shared" si="2"/>
        <v>-968847</v>
      </c>
      <c r="F29" s="70">
        <f t="shared" si="3"/>
        <v>-0.12446367148734451</v>
      </c>
    </row>
    <row r="30" spans="1:7" ht="23.1" customHeight="1" x14ac:dyDescent="0.2">
      <c r="A30" s="25">
        <v>9</v>
      </c>
      <c r="B30" s="48" t="s">
        <v>88</v>
      </c>
      <c r="C30" s="51">
        <v>99693634</v>
      </c>
      <c r="D30" s="51">
        <v>66417265</v>
      </c>
      <c r="E30" s="51">
        <f t="shared" si="2"/>
        <v>-33276369</v>
      </c>
      <c r="F30" s="70">
        <f t="shared" si="3"/>
        <v>-0.33378629772890012</v>
      </c>
    </row>
    <row r="31" spans="1:7" ht="23.1" customHeight="1" x14ac:dyDescent="0.25">
      <c r="A31" s="29"/>
      <c r="B31" s="71" t="s">
        <v>89</v>
      </c>
      <c r="C31" s="27">
        <f>SUM(C22:C30)</f>
        <v>447201215</v>
      </c>
      <c r="D31" s="27">
        <f>SUM(D22:D30)</f>
        <v>362033076</v>
      </c>
      <c r="E31" s="27">
        <f t="shared" si="2"/>
        <v>-85168139</v>
      </c>
      <c r="F31" s="28">
        <f t="shared" si="3"/>
        <v>-0.19044702058781302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-282056</v>
      </c>
      <c r="D33" s="27">
        <f>+D19-D31</f>
        <v>30738713</v>
      </c>
      <c r="E33" s="27">
        <f>D33-C33</f>
        <v>31020769</v>
      </c>
      <c r="F33" s="28">
        <f>IF(C33=0,0,E33/C33)</f>
        <v>-109.9808867742576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7573422</v>
      </c>
      <c r="D36" s="51">
        <v>1563435</v>
      </c>
      <c r="E36" s="51">
        <f>D36-C36</f>
        <v>-6009987</v>
      </c>
      <c r="F36" s="70">
        <f>IF(C36=0,0,E36/C36)</f>
        <v>-0.79356293627900309</v>
      </c>
    </row>
    <row r="37" spans="1:6" ht="23.1" customHeight="1" x14ac:dyDescent="0.2">
      <c r="A37" s="44">
        <v>2</v>
      </c>
      <c r="B37" s="48" t="s">
        <v>93</v>
      </c>
      <c r="C37" s="51">
        <v>1373265</v>
      </c>
      <c r="D37" s="51">
        <v>204893</v>
      </c>
      <c r="E37" s="51">
        <f>D37-C37</f>
        <v>-1168372</v>
      </c>
      <c r="F37" s="70">
        <f>IF(C37=0,0,E37/C37)</f>
        <v>-0.85079864410729178</v>
      </c>
    </row>
    <row r="38" spans="1:6" ht="23.1" customHeight="1" x14ac:dyDescent="0.2">
      <c r="A38" s="44">
        <v>3</v>
      </c>
      <c r="B38" s="48" t="s">
        <v>94</v>
      </c>
      <c r="C38" s="51">
        <v>-2195366</v>
      </c>
      <c r="D38" s="51">
        <v>-1742303</v>
      </c>
      <c r="E38" s="51">
        <f>D38-C38</f>
        <v>453063</v>
      </c>
      <c r="F38" s="70">
        <f>IF(C38=0,0,E38/C38)</f>
        <v>-0.20637242263932301</v>
      </c>
    </row>
    <row r="39" spans="1:6" ht="23.1" customHeight="1" x14ac:dyDescent="0.25">
      <c r="A39" s="20"/>
      <c r="B39" s="71" t="s">
        <v>95</v>
      </c>
      <c r="C39" s="27">
        <f>SUM(C36:C38)</f>
        <v>6751321</v>
      </c>
      <c r="D39" s="27">
        <f>SUM(D36:D38)</f>
        <v>26025</v>
      </c>
      <c r="E39" s="27">
        <f>D39-C39</f>
        <v>-6725296</v>
      </c>
      <c r="F39" s="28">
        <f>IF(C39=0,0,E39/C39)</f>
        <v>-0.99614519884330788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6469265</v>
      </c>
      <c r="D41" s="27">
        <f>D33+D39</f>
        <v>30764738</v>
      </c>
      <c r="E41" s="27">
        <f>D41-C41</f>
        <v>24295473</v>
      </c>
      <c r="F41" s="28">
        <f>IF(C41=0,0,E41/C41)</f>
        <v>3.7555229226194937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6469265</v>
      </c>
      <c r="D48" s="27">
        <f>D41+D46</f>
        <v>30764738</v>
      </c>
      <c r="E48" s="27">
        <f>D48-C48</f>
        <v>24295473</v>
      </c>
      <c r="F48" s="28">
        <f>IF(C48=0,0,E48/C48)</f>
        <v>3.7555229226194937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/>
  <headerFooter>
    <oddHeader>&amp;L&amp;8OFFICE OF HEALTH CARE ACCESS&amp;C&amp;8TWELVE MONTHS ACTUAL FILING&amp;R&amp;8HARTFORD HEALTH CARE CORPORATION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197</vt:i4>
      </vt:variant>
    </vt:vector>
  </HeadingPairs>
  <TitlesOfParts>
    <vt:vector size="217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Sheet1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2012-07-02T14:12:30Z</cp:lastPrinted>
  <dcterms:created xsi:type="dcterms:W3CDTF">2006-08-03T13:49:12Z</dcterms:created>
  <dcterms:modified xsi:type="dcterms:W3CDTF">2012-07-02T14:13:16Z</dcterms:modified>
</cp:coreProperties>
</file>