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E76" i="19"/>
  <c r="D76" i="19"/>
  <c r="C76" i="19"/>
  <c r="C102" i="19"/>
  <c r="E75" i="19"/>
  <c r="E77" i="19"/>
  <c r="D75" i="19"/>
  <c r="D77" i="19"/>
  <c r="D109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/>
  <c r="E110" i="19"/>
  <c r="E34" i="19"/>
  <c r="D12" i="19"/>
  <c r="D23" i="19"/>
  <c r="D46" i="19"/>
  <c r="D33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E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E19" i="17"/>
  <c r="E18" i="17"/>
  <c r="F18" i="17"/>
  <c r="D16" i="17"/>
  <c r="E16" i="17"/>
  <c r="F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2" i="16"/>
  <c r="C33" i="16"/>
  <c r="C21" i="16"/>
  <c r="C37" i="16"/>
  <c r="E328" i="15"/>
  <c r="E325" i="15"/>
  <c r="D324" i="15"/>
  <c r="D326" i="15"/>
  <c r="C324" i="15"/>
  <c r="E324" i="15"/>
  <c r="E318" i="15"/>
  <c r="E315" i="15"/>
  <c r="D314" i="15"/>
  <c r="D316" i="15"/>
  <c r="C314" i="15"/>
  <c r="C316" i="15"/>
  <c r="C320" i="15"/>
  <c r="E308" i="15"/>
  <c r="E305" i="15"/>
  <c r="D301" i="15"/>
  <c r="C301" i="15"/>
  <c r="D293" i="15"/>
  <c r="E293" i="15"/>
  <c r="C293" i="15"/>
  <c r="D292" i="15"/>
  <c r="C292" i="15"/>
  <c r="E292" i="15"/>
  <c r="D291" i="15"/>
  <c r="E291" i="15"/>
  <c r="C291" i="15"/>
  <c r="D290" i="15"/>
  <c r="E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E279" i="15"/>
  <c r="C279" i="15"/>
  <c r="D278" i="15"/>
  <c r="C278" i="15"/>
  <c r="E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E232" i="15"/>
  <c r="C232" i="15"/>
  <c r="D231" i="15"/>
  <c r="E231" i="15"/>
  <c r="C231" i="15"/>
  <c r="D230" i="15"/>
  <c r="E230" i="15"/>
  <c r="C230" i="15"/>
  <c r="D228" i="15"/>
  <c r="E228" i="15"/>
  <c r="C228" i="15"/>
  <c r="D227" i="15"/>
  <c r="E227" i="15"/>
  <c r="C227" i="15"/>
  <c r="D221" i="15"/>
  <c r="E221" i="15"/>
  <c r="C221" i="15"/>
  <c r="C245" i="15"/>
  <c r="D220" i="15"/>
  <c r="D244" i="15"/>
  <c r="E244" i="15"/>
  <c r="C220" i="15"/>
  <c r="C244" i="15"/>
  <c r="D219" i="15"/>
  <c r="E219" i="15"/>
  <c r="C219" i="15"/>
  <c r="C243" i="15"/>
  <c r="D218" i="15"/>
  <c r="D242" i="15"/>
  <c r="C218" i="15"/>
  <c r="C217" i="15"/>
  <c r="D217" i="15"/>
  <c r="E217" i="15"/>
  <c r="D216" i="15"/>
  <c r="D240" i="15"/>
  <c r="C216" i="15"/>
  <c r="C240" i="15"/>
  <c r="D215" i="15"/>
  <c r="C215" i="15"/>
  <c r="C239" i="15"/>
  <c r="E209" i="15"/>
  <c r="E208" i="15"/>
  <c r="E207" i="15"/>
  <c r="E206" i="15"/>
  <c r="D205" i="15"/>
  <c r="D229" i="15"/>
  <c r="C205" i="15"/>
  <c r="E205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8" i="15"/>
  <c r="D261" i="15"/>
  <c r="C188" i="15"/>
  <c r="E186" i="15"/>
  <c r="E185" i="15"/>
  <c r="D179" i="15"/>
  <c r="E179" i="15"/>
  <c r="C179" i="15"/>
  <c r="D178" i="15"/>
  <c r="C178" i="15"/>
  <c r="E178" i="15"/>
  <c r="D177" i="15"/>
  <c r="E177" i="15"/>
  <c r="C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E164" i="15"/>
  <c r="C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75" i="15"/>
  <c r="C139" i="15"/>
  <c r="C163" i="15"/>
  <c r="E138" i="15"/>
  <c r="E137" i="15"/>
  <c r="D75" i="15"/>
  <c r="E75" i="15"/>
  <c r="C75" i="15"/>
  <c r="D74" i="15"/>
  <c r="C74" i="15"/>
  <c r="E74" i="15"/>
  <c r="D73" i="15"/>
  <c r="E73" i="15"/>
  <c r="C73" i="15"/>
  <c r="D72" i="15"/>
  <c r="C72" i="15"/>
  <c r="E72" i="15"/>
  <c r="D70" i="15"/>
  <c r="C70" i="15"/>
  <c r="D69" i="15"/>
  <c r="C69" i="15"/>
  <c r="E64" i="15"/>
  <c r="E63" i="15"/>
  <c r="E62" i="15"/>
  <c r="E61" i="15"/>
  <c r="D60" i="15"/>
  <c r="D71" i="15"/>
  <c r="C60" i="15"/>
  <c r="E59" i="15"/>
  <c r="E58" i="15"/>
  <c r="D55" i="15"/>
  <c r="D54" i="15"/>
  <c r="C54" i="15"/>
  <c r="E54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C40" i="15"/>
  <c r="E40" i="15"/>
  <c r="D39" i="15"/>
  <c r="E39" i="15"/>
  <c r="C39" i="15"/>
  <c r="D38" i="15"/>
  <c r="E38" i="15"/>
  <c r="C38" i="15"/>
  <c r="D37" i="15"/>
  <c r="E37" i="15"/>
  <c r="C37" i="15"/>
  <c r="C43" i="15"/>
  <c r="D36" i="15"/>
  <c r="C36" i="15"/>
  <c r="E36" i="15"/>
  <c r="E32" i="15"/>
  <c r="D32" i="15"/>
  <c r="D33" i="15"/>
  <c r="C32" i="15"/>
  <c r="E31" i="15"/>
  <c r="E30" i="15"/>
  <c r="E29" i="15"/>
  <c r="E28" i="15"/>
  <c r="E27" i="15"/>
  <c r="E26" i="15"/>
  <c r="E25" i="15"/>
  <c r="D21" i="15"/>
  <c r="C21" i="15"/>
  <c r="C22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E332" i="14"/>
  <c r="F332" i="14"/>
  <c r="E331" i="14"/>
  <c r="F331" i="14"/>
  <c r="E330" i="14"/>
  <c r="F330" i="14"/>
  <c r="F329" i="14"/>
  <c r="E329" i="14"/>
  <c r="F316" i="14"/>
  <c r="E316" i="14"/>
  <c r="C311" i="14"/>
  <c r="E311" i="14"/>
  <c r="F308" i="14"/>
  <c r="E308" i="14"/>
  <c r="C307" i="14"/>
  <c r="E307" i="14"/>
  <c r="C299" i="14"/>
  <c r="E299" i="14"/>
  <c r="F299" i="14"/>
  <c r="C298" i="14"/>
  <c r="E298" i="14"/>
  <c r="C297" i="14"/>
  <c r="E297" i="14"/>
  <c r="F297" i="14"/>
  <c r="C296" i="14"/>
  <c r="E296" i="14"/>
  <c r="C295" i="14"/>
  <c r="E295" i="14"/>
  <c r="F295" i="14"/>
  <c r="E294" i="14"/>
  <c r="C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7" i="14"/>
  <c r="C237" i="14"/>
  <c r="C239" i="14"/>
  <c r="E234" i="14"/>
  <c r="F234" i="14"/>
  <c r="E233" i="14"/>
  <c r="F233" i="14"/>
  <c r="C230" i="14"/>
  <c r="E230" i="14"/>
  <c r="F230" i="14"/>
  <c r="C229" i="14"/>
  <c r="E229" i="14"/>
  <c r="F229" i="14"/>
  <c r="E228" i="14"/>
  <c r="F228" i="14"/>
  <c r="C226" i="14"/>
  <c r="E226" i="14"/>
  <c r="E225" i="14"/>
  <c r="F225" i="14"/>
  <c r="E224" i="14"/>
  <c r="F224" i="14"/>
  <c r="C223" i="14"/>
  <c r="E223" i="14"/>
  <c r="E222" i="14"/>
  <c r="F222" i="14"/>
  <c r="E221" i="14"/>
  <c r="F221" i="14"/>
  <c r="C204" i="14"/>
  <c r="C203" i="14"/>
  <c r="C267" i="14"/>
  <c r="C283" i="14"/>
  <c r="C198" i="14"/>
  <c r="C274" i="14"/>
  <c r="C290" i="14"/>
  <c r="C191" i="14"/>
  <c r="C200" i="14"/>
  <c r="C189" i="14"/>
  <c r="E189" i="14"/>
  <c r="C188" i="14"/>
  <c r="E188" i="14"/>
  <c r="C180" i="14"/>
  <c r="E180" i="14"/>
  <c r="C179" i="14"/>
  <c r="E179" i="14"/>
  <c r="C171" i="14"/>
  <c r="E170" i="14"/>
  <c r="C170" i="14"/>
  <c r="F170" i="14"/>
  <c r="E169" i="14"/>
  <c r="F169" i="14"/>
  <c r="F168" i="14"/>
  <c r="E168" i="14"/>
  <c r="C165" i="14"/>
  <c r="E165" i="14"/>
  <c r="C164" i="14"/>
  <c r="E164" i="14"/>
  <c r="F164" i="14"/>
  <c r="E163" i="14"/>
  <c r="F163" i="14"/>
  <c r="E158" i="14"/>
  <c r="C158" i="14"/>
  <c r="C159" i="14"/>
  <c r="E157" i="14"/>
  <c r="F157" i="14"/>
  <c r="F156" i="14"/>
  <c r="E156" i="14"/>
  <c r="C155" i="14"/>
  <c r="E155" i="14"/>
  <c r="F155" i="14"/>
  <c r="E154" i="14"/>
  <c r="F154" i="14"/>
  <c r="E153" i="14"/>
  <c r="F153" i="14"/>
  <c r="C145" i="14"/>
  <c r="E145" i="14"/>
  <c r="C144" i="14"/>
  <c r="C136" i="14"/>
  <c r="C137" i="14"/>
  <c r="C135" i="14"/>
  <c r="E134" i="14"/>
  <c r="F134" i="14"/>
  <c r="E133" i="14"/>
  <c r="F133" i="14"/>
  <c r="C130" i="14"/>
  <c r="E130" i="14"/>
  <c r="F130" i="14"/>
  <c r="C129" i="14"/>
  <c r="E129" i="14"/>
  <c r="E128" i="14"/>
  <c r="F128" i="14"/>
  <c r="C123" i="14"/>
  <c r="C192" i="14"/>
  <c r="E192" i="14"/>
  <c r="E122" i="14"/>
  <c r="F122" i="14"/>
  <c r="E121" i="14"/>
  <c r="F121" i="14"/>
  <c r="C120" i="14"/>
  <c r="E120" i="14"/>
  <c r="F119" i="14"/>
  <c r="E119" i="14"/>
  <c r="E118" i="14"/>
  <c r="F118" i="14"/>
  <c r="C110" i="14"/>
  <c r="C109" i="14"/>
  <c r="E109" i="14"/>
  <c r="E101" i="14"/>
  <c r="C101" i="14"/>
  <c r="C102" i="14"/>
  <c r="C103" i="14"/>
  <c r="C100" i="14"/>
  <c r="E99" i="14"/>
  <c r="F99" i="14"/>
  <c r="E98" i="14"/>
  <c r="F98" i="14"/>
  <c r="C95" i="14"/>
  <c r="E95" i="14"/>
  <c r="C94" i="14"/>
  <c r="E94" i="14"/>
  <c r="E93" i="14"/>
  <c r="F93" i="14"/>
  <c r="C88" i="14"/>
  <c r="E88" i="14"/>
  <c r="E87" i="14"/>
  <c r="F87" i="14"/>
  <c r="E86" i="14"/>
  <c r="F86" i="14"/>
  <c r="C85" i="14"/>
  <c r="E85" i="14"/>
  <c r="E84" i="14"/>
  <c r="F84" i="14"/>
  <c r="E83" i="14"/>
  <c r="F83" i="14"/>
  <c r="C76" i="14"/>
  <c r="E76" i="14"/>
  <c r="E74" i="14"/>
  <c r="F74" i="14"/>
  <c r="E73" i="14"/>
  <c r="F73" i="14"/>
  <c r="C67" i="14"/>
  <c r="E67" i="14"/>
  <c r="F67" i="14"/>
  <c r="C66" i="14"/>
  <c r="E66" i="14"/>
  <c r="C59" i="14"/>
  <c r="E58" i="14"/>
  <c r="C58" i="14"/>
  <c r="F58" i="14"/>
  <c r="E57" i="14"/>
  <c r="F57" i="14"/>
  <c r="E56" i="14"/>
  <c r="F56" i="14"/>
  <c r="C53" i="14"/>
  <c r="C52" i="14"/>
  <c r="E51" i="14"/>
  <c r="F51" i="14"/>
  <c r="C48" i="14"/>
  <c r="C47" i="14"/>
  <c r="E47" i="14"/>
  <c r="F47" i="14"/>
  <c r="E46" i="14"/>
  <c r="F46" i="14"/>
  <c r="E45" i="14"/>
  <c r="F45" i="14"/>
  <c r="C44" i="14"/>
  <c r="E43" i="14"/>
  <c r="F43" i="14"/>
  <c r="E42" i="14"/>
  <c r="F42" i="14"/>
  <c r="C36" i="14"/>
  <c r="E35" i="14"/>
  <c r="C35" i="14"/>
  <c r="C37" i="14"/>
  <c r="C31" i="14"/>
  <c r="C30" i="14"/>
  <c r="C29" i="14"/>
  <c r="E28" i="14"/>
  <c r="F28" i="14"/>
  <c r="E27" i="14"/>
  <c r="F27" i="14"/>
  <c r="C24" i="14"/>
  <c r="E24" i="14"/>
  <c r="F24" i="14"/>
  <c r="E23" i="14"/>
  <c r="C23" i="14"/>
  <c r="F22" i="14"/>
  <c r="E22" i="14"/>
  <c r="C20" i="14"/>
  <c r="E20" i="14"/>
  <c r="E19" i="14"/>
  <c r="F19" i="14"/>
  <c r="E18" i="14"/>
  <c r="F18" i="14"/>
  <c r="C17" i="14"/>
  <c r="E16" i="14"/>
  <c r="F16" i="14"/>
  <c r="E15" i="14"/>
  <c r="F15" i="14"/>
  <c r="D21" i="13"/>
  <c r="C21" i="13"/>
  <c r="F21" i="13"/>
  <c r="E21" i="13"/>
  <c r="E20" i="13"/>
  <c r="F20" i="13"/>
  <c r="D17" i="13"/>
  <c r="E17" i="13"/>
  <c r="C17" i="13"/>
  <c r="E16" i="13"/>
  <c r="F16" i="13"/>
  <c r="D13" i="13"/>
  <c r="C13" i="13"/>
  <c r="E13" i="13"/>
  <c r="E12" i="13"/>
  <c r="F12" i="13"/>
  <c r="D99" i="12"/>
  <c r="E99" i="12"/>
  <c r="C99" i="12"/>
  <c r="E98" i="12"/>
  <c r="F98" i="12"/>
  <c r="F97" i="12"/>
  <c r="E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E84" i="12"/>
  <c r="C84" i="12"/>
  <c r="E83" i="12"/>
  <c r="F83" i="12"/>
  <c r="F82" i="12"/>
  <c r="E82" i="12"/>
  <c r="E81" i="12"/>
  <c r="F81" i="12"/>
  <c r="F80" i="12"/>
  <c r="E80" i="12"/>
  <c r="E79" i="12"/>
  <c r="F79" i="12"/>
  <c r="D75" i="12"/>
  <c r="C75" i="12"/>
  <c r="F74" i="12"/>
  <c r="E74" i="12"/>
  <c r="E73" i="12"/>
  <c r="D70" i="12"/>
  <c r="C70" i="12"/>
  <c r="E70" i="12"/>
  <c r="E69" i="12"/>
  <c r="F69" i="12"/>
  <c r="E68" i="12"/>
  <c r="F68" i="12"/>
  <c r="D65" i="12"/>
  <c r="C65" i="12"/>
  <c r="E65" i="12"/>
  <c r="F64" i="12"/>
  <c r="E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4" i="12"/>
  <c r="E54" i="12"/>
  <c r="E53" i="12"/>
  <c r="F53" i="12"/>
  <c r="D50" i="12"/>
  <c r="C50" i="12"/>
  <c r="E50" i="12"/>
  <c r="E49" i="12"/>
  <c r="F49" i="12"/>
  <c r="E48" i="12"/>
  <c r="F48" i="12"/>
  <c r="D45" i="12"/>
  <c r="C45" i="12"/>
  <c r="F45" i="12"/>
  <c r="E45" i="12"/>
  <c r="E44" i="12"/>
  <c r="F44" i="12"/>
  <c r="E43" i="12"/>
  <c r="F43" i="12"/>
  <c r="D37" i="12"/>
  <c r="C37" i="12"/>
  <c r="E37" i="12"/>
  <c r="F36" i="12"/>
  <c r="E36" i="12"/>
  <c r="E35" i="12"/>
  <c r="F35" i="12"/>
  <c r="E34" i="12"/>
  <c r="F34" i="12"/>
  <c r="E33" i="12"/>
  <c r="F33" i="12"/>
  <c r="D30" i="12"/>
  <c r="C30" i="12"/>
  <c r="E30" i="12"/>
  <c r="E29" i="12"/>
  <c r="F29" i="12"/>
  <c r="F28" i="12"/>
  <c r="E28" i="12"/>
  <c r="F27" i="12"/>
  <c r="E27" i="12"/>
  <c r="F26" i="12"/>
  <c r="E26" i="12"/>
  <c r="D23" i="12"/>
  <c r="C23" i="12"/>
  <c r="E23" i="12"/>
  <c r="E22" i="12"/>
  <c r="F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D17" i="11"/>
  <c r="F17" i="11"/>
  <c r="C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D50" i="10"/>
  <c r="C55" i="10"/>
  <c r="E54" i="10"/>
  <c r="D54" i="10"/>
  <c r="C54" i="10"/>
  <c r="C50" i="10"/>
  <c r="E46" i="10"/>
  <c r="E59" i="10"/>
  <c r="E61" i="10"/>
  <c r="E57" i="10"/>
  <c r="D46" i="10"/>
  <c r="D48" i="10"/>
  <c r="D42" i="10"/>
  <c r="C46" i="10"/>
  <c r="C59" i="10"/>
  <c r="C61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/>
  <c r="E27" i="10"/>
  <c r="E15" i="10"/>
  <c r="E24" i="10"/>
  <c r="D13" i="10"/>
  <c r="D25" i="10"/>
  <c r="D27" i="10"/>
  <c r="C13" i="10"/>
  <c r="C15" i="10"/>
  <c r="C25" i="10"/>
  <c r="C27" i="10"/>
  <c r="D46" i="9"/>
  <c r="C46" i="9"/>
  <c r="F46" i="9"/>
  <c r="F45" i="9"/>
  <c r="E45" i="9"/>
  <c r="F44" i="9"/>
  <c r="E44" i="9"/>
  <c r="D39" i="9"/>
  <c r="C39" i="9"/>
  <c r="E39" i="9"/>
  <c r="E38" i="9"/>
  <c r="F38" i="9"/>
  <c r="E37" i="9"/>
  <c r="F37" i="9"/>
  <c r="E36" i="9"/>
  <c r="F36" i="9"/>
  <c r="D31" i="9"/>
  <c r="E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C16" i="9"/>
  <c r="C19" i="9"/>
  <c r="C33" i="9"/>
  <c r="F15" i="9"/>
  <c r="E15" i="9"/>
  <c r="E14" i="9"/>
  <c r="F14" i="9"/>
  <c r="F13" i="9"/>
  <c r="E13" i="9"/>
  <c r="E12" i="9"/>
  <c r="F12" i="9"/>
  <c r="D73" i="8"/>
  <c r="C73" i="8"/>
  <c r="E73" i="8"/>
  <c r="F72" i="8"/>
  <c r="E72" i="8"/>
  <c r="E71" i="8"/>
  <c r="F71" i="8"/>
  <c r="F70" i="8"/>
  <c r="E70" i="8"/>
  <c r="F67" i="8"/>
  <c r="E67" i="8"/>
  <c r="F64" i="8"/>
  <c r="E64" i="8"/>
  <c r="E63" i="8"/>
  <c r="F63" i="8"/>
  <c r="D61" i="8"/>
  <c r="D65" i="8"/>
  <c r="C61" i="8"/>
  <c r="F60" i="8"/>
  <c r="E60" i="8"/>
  <c r="E59" i="8"/>
  <c r="F59" i="8"/>
  <c r="D56" i="8"/>
  <c r="C56" i="8"/>
  <c r="E56" i="8"/>
  <c r="F55" i="8"/>
  <c r="E55" i="8"/>
  <c r="F54" i="8"/>
  <c r="E54" i="8"/>
  <c r="E53" i="8"/>
  <c r="F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E38" i="8"/>
  <c r="C38" i="8"/>
  <c r="C41" i="8"/>
  <c r="E37" i="8"/>
  <c r="F37" i="8"/>
  <c r="F36" i="8"/>
  <c r="E36" i="8"/>
  <c r="E33" i="8"/>
  <c r="F33" i="8"/>
  <c r="F32" i="8"/>
  <c r="E32" i="8"/>
  <c r="F31" i="8"/>
  <c r="E31" i="8"/>
  <c r="D29" i="8"/>
  <c r="C29" i="8"/>
  <c r="E29" i="8"/>
  <c r="F28" i="8"/>
  <c r="E28" i="8"/>
  <c r="E27" i="8"/>
  <c r="F27" i="8"/>
  <c r="F26" i="8"/>
  <c r="E26" i="8"/>
  <c r="E25" i="8"/>
  <c r="F25" i="8"/>
  <c r="D22" i="8"/>
  <c r="C22" i="8"/>
  <c r="C43" i="8"/>
  <c r="E22" i="8"/>
  <c r="E21" i="8"/>
  <c r="F21" i="8"/>
  <c r="E20" i="8"/>
  <c r="F20" i="8"/>
  <c r="E19" i="8"/>
  <c r="F19" i="8"/>
  <c r="F18" i="8"/>
  <c r="E18" i="8"/>
  <c r="E17" i="8"/>
  <c r="F17" i="8"/>
  <c r="E16" i="8"/>
  <c r="F16" i="8"/>
  <c r="E15" i="8"/>
  <c r="F15" i="8"/>
  <c r="F14" i="8"/>
  <c r="E14" i="8"/>
  <c r="E13" i="8"/>
  <c r="F13" i="8"/>
  <c r="D120" i="7"/>
  <c r="E120" i="7"/>
  <c r="C120" i="7"/>
  <c r="D119" i="7"/>
  <c r="E119" i="7"/>
  <c r="C119" i="7"/>
  <c r="D118" i="7"/>
  <c r="E118" i="7"/>
  <c r="C118" i="7"/>
  <c r="D117" i="7"/>
  <c r="E117" i="7"/>
  <c r="C117" i="7"/>
  <c r="D116" i="7"/>
  <c r="E116" i="7"/>
  <c r="C116" i="7"/>
  <c r="D115" i="7"/>
  <c r="C115" i="7"/>
  <c r="D114" i="7"/>
  <c r="E114" i="7"/>
  <c r="C114" i="7"/>
  <c r="D113" i="7"/>
  <c r="D122" i="7"/>
  <c r="C113" i="7"/>
  <c r="D112" i="7"/>
  <c r="E112" i="7"/>
  <c r="C112" i="7"/>
  <c r="D108" i="7"/>
  <c r="E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F96" i="7"/>
  <c r="D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/>
  <c r="D71" i="7"/>
  <c r="C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C59" i="7"/>
  <c r="E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E48" i="7"/>
  <c r="D47" i="7"/>
  <c r="C47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C206" i="6"/>
  <c r="D205" i="6"/>
  <c r="C205" i="6"/>
  <c r="E205" i="6"/>
  <c r="D204" i="6"/>
  <c r="E204" i="6"/>
  <c r="C204" i="6"/>
  <c r="D203" i="6"/>
  <c r="E203" i="6"/>
  <c r="C203" i="6"/>
  <c r="D202" i="6"/>
  <c r="E202" i="6"/>
  <c r="C202" i="6"/>
  <c r="D201" i="6"/>
  <c r="E201" i="6"/>
  <c r="C201" i="6"/>
  <c r="D200" i="6"/>
  <c r="C200" i="6"/>
  <c r="D199" i="6"/>
  <c r="D208" i="6"/>
  <c r="C199" i="6"/>
  <c r="D198" i="6"/>
  <c r="D207" i="6"/>
  <c r="C198" i="6"/>
  <c r="E198" i="6"/>
  <c r="D193" i="6"/>
  <c r="E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E152" i="6"/>
  <c r="F152" i="6"/>
  <c r="F151" i="6"/>
  <c r="E151" i="6"/>
  <c r="E150" i="6"/>
  <c r="F150" i="6"/>
  <c r="F149" i="6"/>
  <c r="E149" i="6"/>
  <c r="F148" i="6"/>
  <c r="E148" i="6"/>
  <c r="F147" i="6"/>
  <c r="E147" i="6"/>
  <c r="E146" i="6"/>
  <c r="F146" i="6"/>
  <c r="F145" i="6"/>
  <c r="E145" i="6"/>
  <c r="F144" i="6"/>
  <c r="E144" i="6"/>
  <c r="F141" i="6"/>
  <c r="D141" i="6"/>
  <c r="E141" i="6"/>
  <c r="C141" i="6"/>
  <c r="F140" i="6"/>
  <c r="D140" i="6"/>
  <c r="E140" i="6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F76" i="6"/>
  <c r="D75" i="6"/>
  <c r="E75" i="6"/>
  <c r="C75" i="6"/>
  <c r="E74" i="6"/>
  <c r="F74" i="6"/>
  <c r="F73" i="6"/>
  <c r="E73" i="6"/>
  <c r="E72" i="6"/>
  <c r="F72" i="6"/>
  <c r="F71" i="6"/>
  <c r="E71" i="6"/>
  <c r="E70" i="6"/>
  <c r="F70" i="6"/>
  <c r="F69" i="6"/>
  <c r="E69" i="6"/>
  <c r="E68" i="6"/>
  <c r="F68" i="6"/>
  <c r="F67" i="6"/>
  <c r="E67" i="6"/>
  <c r="E66" i="6"/>
  <c r="F66" i="6"/>
  <c r="D63" i="6"/>
  <c r="E63" i="6"/>
  <c r="F63" i="6"/>
  <c r="C63" i="6"/>
  <c r="D62" i="6"/>
  <c r="E62" i="6"/>
  <c r="F62" i="6"/>
  <c r="C62" i="6"/>
  <c r="F61" i="6"/>
  <c r="E61" i="6"/>
  <c r="E60" i="6"/>
  <c r="F60" i="6"/>
  <c r="F59" i="6"/>
  <c r="E59" i="6"/>
  <c r="E58" i="6"/>
  <c r="F58" i="6"/>
  <c r="F57" i="6"/>
  <c r="E57" i="6"/>
  <c r="E56" i="6"/>
  <c r="F56" i="6"/>
  <c r="F55" i="6"/>
  <c r="E55" i="6"/>
  <c r="E54" i="6"/>
  <c r="F54" i="6"/>
  <c r="F53" i="6"/>
  <c r="E53" i="6"/>
  <c r="D50" i="6"/>
  <c r="E50" i="6"/>
  <c r="C50" i="6"/>
  <c r="D49" i="6"/>
  <c r="E49" i="6"/>
  <c r="C49" i="6"/>
  <c r="F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D36" i="6"/>
  <c r="C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E24" i="6"/>
  <c r="C24" i="6"/>
  <c r="D23" i="6"/>
  <c r="E23" i="6"/>
  <c r="C23" i="6"/>
  <c r="E22" i="6"/>
  <c r="F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E145" i="5"/>
  <c r="D145" i="5"/>
  <c r="C145" i="5"/>
  <c r="E144" i="5"/>
  <c r="D144" i="5"/>
  <c r="C144" i="5"/>
  <c r="D143" i="5"/>
  <c r="D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D94" i="5"/>
  <c r="C94" i="5"/>
  <c r="E89" i="5"/>
  <c r="D89" i="5"/>
  <c r="C89" i="5"/>
  <c r="E87" i="5"/>
  <c r="D87" i="5"/>
  <c r="C87" i="5"/>
  <c r="E84" i="5"/>
  <c r="E79" i="5"/>
  <c r="D84" i="5"/>
  <c r="C84" i="5"/>
  <c r="E83" i="5"/>
  <c r="D83" i="5"/>
  <c r="C83" i="5"/>
  <c r="D79" i="5"/>
  <c r="C79" i="5"/>
  <c r="E75" i="5"/>
  <c r="E77" i="5"/>
  <c r="E71" i="5"/>
  <c r="D75" i="5"/>
  <c r="D77" i="5"/>
  <c r="D71" i="5"/>
  <c r="C75" i="5"/>
  <c r="C77" i="5"/>
  <c r="C71" i="5"/>
  <c r="C88" i="5"/>
  <c r="C90" i="5"/>
  <c r="C86" i="5"/>
  <c r="E74" i="5"/>
  <c r="D74" i="5"/>
  <c r="C74" i="5"/>
  <c r="E67" i="5"/>
  <c r="D67" i="5"/>
  <c r="C67" i="5"/>
  <c r="E38" i="5"/>
  <c r="E49" i="5"/>
  <c r="D38" i="5"/>
  <c r="D43" i="5"/>
  <c r="C38" i="5"/>
  <c r="C53" i="5"/>
  <c r="E33" i="5"/>
  <c r="E34" i="5"/>
  <c r="D33" i="5"/>
  <c r="D34" i="5"/>
  <c r="E26" i="5"/>
  <c r="D26" i="5"/>
  <c r="C26" i="5"/>
  <c r="C15" i="5"/>
  <c r="C24" i="5"/>
  <c r="E13" i="5"/>
  <c r="E15" i="5"/>
  <c r="D13" i="5"/>
  <c r="D15" i="5"/>
  <c r="C13" i="5"/>
  <c r="C25" i="5"/>
  <c r="C27" i="5"/>
  <c r="F174" i="4"/>
  <c r="E174" i="4"/>
  <c r="D171" i="4"/>
  <c r="C171" i="4"/>
  <c r="F170" i="4"/>
  <c r="E170" i="4"/>
  <c r="E169" i="4"/>
  <c r="F169" i="4"/>
  <c r="F168" i="4"/>
  <c r="E168" i="4"/>
  <c r="E167" i="4"/>
  <c r="F167" i="4"/>
  <c r="E166" i="4"/>
  <c r="F166" i="4"/>
  <c r="E165" i="4"/>
  <c r="F165" i="4"/>
  <c r="E164" i="4"/>
  <c r="F164" i="4"/>
  <c r="E163" i="4"/>
  <c r="F163" i="4"/>
  <c r="E162" i="4"/>
  <c r="F162" i="4"/>
  <c r="E161" i="4"/>
  <c r="F161" i="4"/>
  <c r="F160" i="4"/>
  <c r="E160" i="4"/>
  <c r="E159" i="4"/>
  <c r="F159" i="4"/>
  <c r="E158" i="4"/>
  <c r="F158" i="4"/>
  <c r="D155" i="4"/>
  <c r="E155" i="4"/>
  <c r="C155" i="4"/>
  <c r="F155" i="4"/>
  <c r="E154" i="4"/>
  <c r="F154" i="4"/>
  <c r="F153" i="4"/>
  <c r="E153" i="4"/>
  <c r="E152" i="4"/>
  <c r="F152" i="4"/>
  <c r="E151" i="4"/>
  <c r="F151" i="4"/>
  <c r="F150" i="4"/>
  <c r="E150" i="4"/>
  <c r="F149" i="4"/>
  <c r="E149" i="4"/>
  <c r="E148" i="4"/>
  <c r="F148" i="4"/>
  <c r="F147" i="4"/>
  <c r="E147" i="4"/>
  <c r="F146" i="4"/>
  <c r="E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E139" i="4"/>
  <c r="F139" i="4"/>
  <c r="E138" i="4"/>
  <c r="F138" i="4"/>
  <c r="F137" i="4"/>
  <c r="E137" i="4"/>
  <c r="F136" i="4"/>
  <c r="E136" i="4"/>
  <c r="F135" i="4"/>
  <c r="E135" i="4"/>
  <c r="E134" i="4"/>
  <c r="F134" i="4"/>
  <c r="F133" i="4"/>
  <c r="E133" i="4"/>
  <c r="E132" i="4"/>
  <c r="F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E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D83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E58" i="4"/>
  <c r="F58" i="4"/>
  <c r="F57" i="4"/>
  <c r="E57" i="4"/>
  <c r="E56" i="4"/>
  <c r="F56" i="4"/>
  <c r="F55" i="4"/>
  <c r="E55" i="4"/>
  <c r="E54" i="4"/>
  <c r="F54" i="4"/>
  <c r="F53" i="4"/>
  <c r="E53" i="4"/>
  <c r="E50" i="4"/>
  <c r="F50" i="4"/>
  <c r="F47" i="4"/>
  <c r="E47" i="4"/>
  <c r="E44" i="4"/>
  <c r="F44" i="4"/>
  <c r="D41" i="4"/>
  <c r="E41" i="4"/>
  <c r="F41" i="4"/>
  <c r="C41" i="4"/>
  <c r="F40" i="4"/>
  <c r="E40" i="4"/>
  <c r="E39" i="4"/>
  <c r="F39" i="4"/>
  <c r="F38" i="4"/>
  <c r="E38" i="4"/>
  <c r="D35" i="4"/>
  <c r="E35" i="4"/>
  <c r="F35" i="4"/>
  <c r="C35" i="4"/>
  <c r="E34" i="4"/>
  <c r="F34" i="4"/>
  <c r="E33" i="4"/>
  <c r="F33" i="4"/>
  <c r="D30" i="4"/>
  <c r="E30" i="4"/>
  <c r="C30" i="4"/>
  <c r="E29" i="4"/>
  <c r="F29" i="4"/>
  <c r="F28" i="4"/>
  <c r="E28" i="4"/>
  <c r="E27" i="4"/>
  <c r="F27" i="4"/>
  <c r="D24" i="4"/>
  <c r="E24" i="4"/>
  <c r="F24" i="4"/>
  <c r="C24" i="4"/>
  <c r="F23" i="4"/>
  <c r="E23" i="4"/>
  <c r="E22" i="4"/>
  <c r="F22" i="4"/>
  <c r="F21" i="4"/>
  <c r="E21" i="4"/>
  <c r="D18" i="4"/>
  <c r="E18" i="4"/>
  <c r="F18" i="4"/>
  <c r="C18" i="4"/>
  <c r="E17" i="4"/>
  <c r="F17" i="4"/>
  <c r="E16" i="4"/>
  <c r="F16" i="4"/>
  <c r="E15" i="4"/>
  <c r="F15" i="4"/>
  <c r="D179" i="3"/>
  <c r="C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F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6" i="3"/>
  <c r="E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E127" i="3"/>
  <c r="F127" i="3"/>
  <c r="E126" i="3"/>
  <c r="F126" i="3"/>
  <c r="D124" i="3"/>
  <c r="C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D95" i="3"/>
  <c r="C84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E41" i="3"/>
  <c r="D41" i="3"/>
  <c r="D52" i="3"/>
  <c r="C41" i="3"/>
  <c r="F41" i="3"/>
  <c r="C52" i="3"/>
  <c r="D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E39" i="2"/>
  <c r="C39" i="2"/>
  <c r="F39" i="2"/>
  <c r="E38" i="2"/>
  <c r="F38" i="2"/>
  <c r="E37" i="2"/>
  <c r="F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F15" i="2"/>
  <c r="E15" i="2"/>
  <c r="F14" i="2"/>
  <c r="E14" i="2"/>
  <c r="F13" i="2"/>
  <c r="E13" i="2"/>
  <c r="F12" i="2"/>
  <c r="E12" i="2"/>
  <c r="D73" i="1"/>
  <c r="E73" i="1"/>
  <c r="C73" i="1"/>
  <c r="F73" i="1"/>
  <c r="F72" i="1"/>
  <c r="E72" i="1"/>
  <c r="F71" i="1"/>
  <c r="E71" i="1"/>
  <c r="F70" i="1"/>
  <c r="E70" i="1"/>
  <c r="F67" i="1"/>
  <c r="E67" i="1"/>
  <c r="C65" i="1"/>
  <c r="F64" i="1"/>
  <c r="E64" i="1"/>
  <c r="F63" i="1"/>
  <c r="E63" i="1"/>
  <c r="D61" i="1"/>
  <c r="D65" i="1"/>
  <c r="C61" i="1"/>
  <c r="F60" i="1"/>
  <c r="E60" i="1"/>
  <c r="F59" i="1"/>
  <c r="E59" i="1"/>
  <c r="D56" i="1"/>
  <c r="C56" i="1"/>
  <c r="F55" i="1"/>
  <c r="E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F49" i="1"/>
  <c r="E49" i="1"/>
  <c r="D41" i="1"/>
  <c r="E40" i="1"/>
  <c r="F40" i="1"/>
  <c r="D38" i="1"/>
  <c r="C38" i="1"/>
  <c r="E37" i="1"/>
  <c r="F37" i="1"/>
  <c r="E36" i="1"/>
  <c r="F36" i="1"/>
  <c r="E33" i="1"/>
  <c r="F33" i="1"/>
  <c r="E32" i="1"/>
  <c r="F32" i="1"/>
  <c r="F31" i="1"/>
  <c r="E31" i="1"/>
  <c r="D29" i="1"/>
  <c r="E29" i="1"/>
  <c r="C29" i="1"/>
  <c r="F29" i="1"/>
  <c r="F28" i="1"/>
  <c r="E28" i="1"/>
  <c r="F27" i="1"/>
  <c r="E27" i="1"/>
  <c r="F26" i="1"/>
  <c r="E26" i="1"/>
  <c r="E25" i="1"/>
  <c r="F25" i="1"/>
  <c r="D22" i="1"/>
  <c r="D43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32" i="14"/>
  <c r="E31" i="14"/>
  <c r="D193" i="14"/>
  <c r="D194" i="14"/>
  <c r="D285" i="14"/>
  <c r="E159" i="14"/>
  <c r="D68" i="14"/>
  <c r="F298" i="14"/>
  <c r="F311" i="14"/>
  <c r="D37" i="14"/>
  <c r="E37" i="14"/>
  <c r="F37" i="14"/>
  <c r="D146" i="14"/>
  <c r="D33" i="2"/>
  <c r="E24" i="5"/>
  <c r="E17" i="5"/>
  <c r="C157" i="5"/>
  <c r="C153" i="5"/>
  <c r="C156" i="5"/>
  <c r="C152" i="5"/>
  <c r="C155" i="5"/>
  <c r="C154" i="5"/>
  <c r="C20" i="5"/>
  <c r="C21" i="5"/>
  <c r="D137" i="5"/>
  <c r="D140" i="5"/>
  <c r="D136" i="5"/>
  <c r="D139" i="5"/>
  <c r="D135" i="5"/>
  <c r="D141" i="5"/>
  <c r="D138" i="5"/>
  <c r="E155" i="5"/>
  <c r="E154" i="5"/>
  <c r="E157" i="5"/>
  <c r="E153" i="5"/>
  <c r="E156" i="5"/>
  <c r="E152" i="5"/>
  <c r="F59" i="4"/>
  <c r="F127" i="6"/>
  <c r="C140" i="5"/>
  <c r="C136" i="5"/>
  <c r="C139" i="5"/>
  <c r="C135" i="5"/>
  <c r="C138" i="5"/>
  <c r="C137" i="5"/>
  <c r="D154" i="5"/>
  <c r="D157" i="5"/>
  <c r="D153" i="5"/>
  <c r="D156" i="5"/>
  <c r="D152" i="5"/>
  <c r="D155" i="5"/>
  <c r="F24" i="6"/>
  <c r="F75" i="6"/>
  <c r="E138" i="5"/>
  <c r="E137" i="5"/>
  <c r="E140" i="5"/>
  <c r="E136" i="5"/>
  <c r="E139" i="5"/>
  <c r="E135" i="5"/>
  <c r="E52" i="3"/>
  <c r="F52" i="3"/>
  <c r="F30" i="4"/>
  <c r="F50" i="6"/>
  <c r="F153" i="6"/>
  <c r="C24" i="10"/>
  <c r="C17" i="10"/>
  <c r="C28" i="10"/>
  <c r="D21" i="10"/>
  <c r="C31" i="11"/>
  <c r="C33" i="11"/>
  <c r="C36" i="11"/>
  <c r="C38" i="11"/>
  <c r="C40" i="11"/>
  <c r="E59" i="14"/>
  <c r="F59" i="14"/>
  <c r="E137" i="14"/>
  <c r="F137" i="14"/>
  <c r="C138" i="14"/>
  <c r="F22" i="1"/>
  <c r="E22" i="1"/>
  <c r="E56" i="1"/>
  <c r="F56" i="1"/>
  <c r="E61" i="1"/>
  <c r="F61" i="1"/>
  <c r="E16" i="2"/>
  <c r="F16" i="2"/>
  <c r="E78" i="4"/>
  <c r="F78" i="4"/>
  <c r="C83" i="4"/>
  <c r="E171" i="4"/>
  <c r="F171" i="4"/>
  <c r="C176" i="4"/>
  <c r="D49" i="5"/>
  <c r="E53" i="5"/>
  <c r="E199" i="6"/>
  <c r="F201" i="6"/>
  <c r="F205" i="6"/>
  <c r="E23" i="7"/>
  <c r="F23" i="7"/>
  <c r="E24" i="7"/>
  <c r="F24" i="7"/>
  <c r="F59" i="7"/>
  <c r="E95" i="7"/>
  <c r="E96" i="7"/>
  <c r="E115" i="7"/>
  <c r="F115" i="7"/>
  <c r="F117" i="7"/>
  <c r="D121" i="7"/>
  <c r="F38" i="8"/>
  <c r="C65" i="8"/>
  <c r="C75" i="8"/>
  <c r="D33" i="9"/>
  <c r="G17" i="11"/>
  <c r="F16" i="12"/>
  <c r="F30" i="12"/>
  <c r="F65" i="12"/>
  <c r="F84" i="12"/>
  <c r="E21" i="10"/>
  <c r="F73" i="12"/>
  <c r="E75" i="12"/>
  <c r="F75" i="12"/>
  <c r="F20" i="14"/>
  <c r="C21" i="14"/>
  <c r="C68" i="14"/>
  <c r="F66" i="14"/>
  <c r="E103" i="14"/>
  <c r="F103" i="14"/>
  <c r="D53" i="5"/>
  <c r="E57" i="5"/>
  <c r="E62" i="5"/>
  <c r="E88" i="5"/>
  <c r="E90" i="5"/>
  <c r="E86" i="5"/>
  <c r="F198" i="6"/>
  <c r="E200" i="6"/>
  <c r="F202" i="6"/>
  <c r="F206" i="6"/>
  <c r="F35" i="7"/>
  <c r="F60" i="7"/>
  <c r="F107" i="7"/>
  <c r="F114" i="7"/>
  <c r="F118" i="7"/>
  <c r="E65" i="8"/>
  <c r="E17" i="10"/>
  <c r="E28" i="10"/>
  <c r="E70" i="10"/>
  <c r="E72" i="10"/>
  <c r="E69" i="10"/>
  <c r="C20" i="10"/>
  <c r="F17" i="13"/>
  <c r="E17" i="14"/>
  <c r="F17" i="14"/>
  <c r="F31" i="14"/>
  <c r="C32" i="14"/>
  <c r="E43" i="5"/>
  <c r="F199" i="6"/>
  <c r="F203" i="6"/>
  <c r="C207" i="6"/>
  <c r="F36" i="7"/>
  <c r="F108" i="7"/>
  <c r="F119" i="7"/>
  <c r="C41" i="9"/>
  <c r="D59" i="10"/>
  <c r="D61" i="10"/>
  <c r="D57" i="10"/>
  <c r="F99" i="12"/>
  <c r="E36" i="11"/>
  <c r="E38" i="11"/>
  <c r="E40" i="11"/>
  <c r="G33" i="11"/>
  <c r="G36" i="11"/>
  <c r="G38" i="11"/>
  <c r="G40" i="11"/>
  <c r="E30" i="14"/>
  <c r="F30" i="14"/>
  <c r="E36" i="14"/>
  <c r="F36" i="14"/>
  <c r="C160" i="14"/>
  <c r="E48" i="14"/>
  <c r="F48" i="14"/>
  <c r="C75" i="1"/>
  <c r="C19" i="2"/>
  <c r="C17" i="5"/>
  <c r="D57" i="5"/>
  <c r="D62" i="5"/>
  <c r="F200" i="6"/>
  <c r="F204" i="6"/>
  <c r="C208" i="6"/>
  <c r="F112" i="7"/>
  <c r="F116" i="7"/>
  <c r="F120" i="7"/>
  <c r="D75" i="8"/>
  <c r="E19" i="9"/>
  <c r="F19" i="9"/>
  <c r="F31" i="9"/>
  <c r="F39" i="9"/>
  <c r="C21" i="10"/>
  <c r="E48" i="10"/>
  <c r="E42" i="10"/>
  <c r="C57" i="10"/>
  <c r="F23" i="12"/>
  <c r="F37" i="12"/>
  <c r="F50" i="12"/>
  <c r="F92" i="12"/>
  <c r="F13" i="13"/>
  <c r="F23" i="14"/>
  <c r="E52" i="14"/>
  <c r="F52" i="14"/>
  <c r="C60" i="14"/>
  <c r="C181" i="14"/>
  <c r="F179" i="14"/>
  <c r="C264" i="14"/>
  <c r="E191" i="14"/>
  <c r="F191" i="14"/>
  <c r="C280" i="14"/>
  <c r="D41" i="17"/>
  <c r="D175" i="14"/>
  <c r="D62" i="14"/>
  <c r="D105" i="14"/>
  <c r="D90" i="14"/>
  <c r="D160" i="14"/>
  <c r="E160" i="14"/>
  <c r="D207" i="14"/>
  <c r="D138" i="14"/>
  <c r="E138" i="14"/>
  <c r="C121" i="7"/>
  <c r="C122" i="7"/>
  <c r="C77" i="14"/>
  <c r="E77" i="14"/>
  <c r="F85" i="14"/>
  <c r="C89" i="14"/>
  <c r="F94" i="14"/>
  <c r="F180" i="14"/>
  <c r="C193" i="14"/>
  <c r="C266" i="14"/>
  <c r="F223" i="14"/>
  <c r="C261" i="14"/>
  <c r="C253" i="15"/>
  <c r="C278" i="14"/>
  <c r="C262" i="14"/>
  <c r="C255" i="14"/>
  <c r="E250" i="14"/>
  <c r="F250" i="14"/>
  <c r="C33" i="15"/>
  <c r="C189" i="15"/>
  <c r="C261" i="15"/>
  <c r="F76" i="14"/>
  <c r="F88" i="14"/>
  <c r="F95" i="14"/>
  <c r="E102" i="14"/>
  <c r="F102" i="14"/>
  <c r="F109" i="14"/>
  <c r="C111" i="14"/>
  <c r="F120" i="14"/>
  <c r="F129" i="14"/>
  <c r="E136" i="14"/>
  <c r="F136" i="14"/>
  <c r="F145" i="14"/>
  <c r="F158" i="14"/>
  <c r="F159" i="14"/>
  <c r="C199" i="14"/>
  <c r="C206" i="14"/>
  <c r="C215" i="14"/>
  <c r="F307" i="14"/>
  <c r="E70" i="15"/>
  <c r="E139" i="15"/>
  <c r="C241" i="15"/>
  <c r="C252" i="15"/>
  <c r="D282" i="14"/>
  <c r="D156" i="15"/>
  <c r="E151" i="15"/>
  <c r="C229" i="15"/>
  <c r="E229" i="15"/>
  <c r="C210" i="15"/>
  <c r="D320" i="15"/>
  <c r="E320" i="15"/>
  <c r="E316" i="15"/>
  <c r="D330" i="15"/>
  <c r="C46" i="19"/>
  <c r="C40" i="19"/>
  <c r="C36" i="19"/>
  <c r="C30" i="19"/>
  <c r="C111" i="19"/>
  <c r="C54" i="19"/>
  <c r="C108" i="19"/>
  <c r="C109" i="19"/>
  <c r="F165" i="14"/>
  <c r="F192" i="14"/>
  <c r="C254" i="14"/>
  <c r="C44" i="15"/>
  <c r="C254" i="15"/>
  <c r="E46" i="17"/>
  <c r="C214" i="14"/>
  <c r="C190" i="14"/>
  <c r="F188" i="14"/>
  <c r="D22" i="15"/>
  <c r="E21" i="15"/>
  <c r="D283" i="15"/>
  <c r="C71" i="15"/>
  <c r="C76" i="15"/>
  <c r="C65" i="15"/>
  <c r="C66" i="15"/>
  <c r="C247" i="15"/>
  <c r="C289" i="15"/>
  <c r="C144" i="15"/>
  <c r="C175" i="15"/>
  <c r="E175" i="15"/>
  <c r="D260" i="15"/>
  <c r="E195" i="15"/>
  <c r="E109" i="19"/>
  <c r="E108" i="19"/>
  <c r="D139" i="14"/>
  <c r="D104" i="14"/>
  <c r="D174" i="14"/>
  <c r="D254" i="14"/>
  <c r="D286" i="14"/>
  <c r="E283" i="14"/>
  <c r="F283" i="14"/>
  <c r="C146" i="14"/>
  <c r="F239" i="14"/>
  <c r="E239" i="14"/>
  <c r="F294" i="14"/>
  <c r="D43" i="15"/>
  <c r="E261" i="15"/>
  <c r="C303" i="15"/>
  <c r="C306" i="15"/>
  <c r="C310" i="15"/>
  <c r="E218" i="15"/>
  <c r="E233" i="15"/>
  <c r="D239" i="15"/>
  <c r="E239" i="15"/>
  <c r="C242" i="15"/>
  <c r="E242" i="15"/>
  <c r="D243" i="15"/>
  <c r="E251" i="15"/>
  <c r="D302" i="15"/>
  <c r="C326" i="15"/>
  <c r="C330" i="15"/>
  <c r="E330" i="15"/>
  <c r="C20" i="17"/>
  <c r="E20" i="17"/>
  <c r="F20" i="17"/>
  <c r="E25" i="17"/>
  <c r="F25" i="17"/>
  <c r="C39" i="17"/>
  <c r="E39" i="17"/>
  <c r="C40" i="17"/>
  <c r="C46" i="17"/>
  <c r="F46" i="17"/>
  <c r="E29" i="19"/>
  <c r="C33" i="19"/>
  <c r="E35" i="19"/>
  <c r="E39" i="19"/>
  <c r="E45" i="19"/>
  <c r="D54" i="19"/>
  <c r="C101" i="19"/>
  <c r="C103" i="19"/>
  <c r="D267" i="14"/>
  <c r="D277" i="14"/>
  <c r="D306" i="14"/>
  <c r="E306" i="14"/>
  <c r="E215" i="15"/>
  <c r="D222" i="15"/>
  <c r="E314" i="15"/>
  <c r="C49" i="16"/>
  <c r="F19" i="17"/>
  <c r="F33" i="17"/>
  <c r="F43" i="17"/>
  <c r="F44" i="17"/>
  <c r="F45" i="17"/>
  <c r="E23" i="19"/>
  <c r="C34" i="19"/>
  <c r="D111" i="19"/>
  <c r="D124" i="14"/>
  <c r="D200" i="14"/>
  <c r="E200" i="14"/>
  <c r="F200" i="14"/>
  <c r="D206" i="14"/>
  <c r="D262" i="14"/>
  <c r="D266" i="14"/>
  <c r="D274" i="14"/>
  <c r="E274" i="14"/>
  <c r="F274" i="14"/>
  <c r="D280" i="14"/>
  <c r="E216" i="15"/>
  <c r="E220" i="15"/>
  <c r="C222" i="15"/>
  <c r="C246" i="15"/>
  <c r="D241" i="15"/>
  <c r="E241" i="15"/>
  <c r="D245" i="15"/>
  <c r="E245" i="15"/>
  <c r="E301" i="15"/>
  <c r="C22" i="19"/>
  <c r="D30" i="19"/>
  <c r="E33" i="19"/>
  <c r="D36" i="19"/>
  <c r="D40" i="19"/>
  <c r="E53" i="19"/>
  <c r="E101" i="19"/>
  <c r="E103" i="19"/>
  <c r="D108" i="19"/>
  <c r="D199" i="14"/>
  <c r="D205" i="14"/>
  <c r="D215" i="14"/>
  <c r="D216" i="14"/>
  <c r="D261" i="14"/>
  <c r="F237" i="14"/>
  <c r="D21" i="14"/>
  <c r="D190" i="14"/>
  <c r="E190" i="14"/>
  <c r="D140" i="14"/>
  <c r="D268" i="14"/>
  <c r="E261" i="14"/>
  <c r="F261" i="14"/>
  <c r="D271" i="14"/>
  <c r="D263" i="14"/>
  <c r="E54" i="19"/>
  <c r="E46" i="19"/>
  <c r="E40" i="19"/>
  <c r="E36" i="19"/>
  <c r="E30" i="19"/>
  <c r="E111" i="19"/>
  <c r="E222" i="15"/>
  <c r="E43" i="15"/>
  <c r="D126" i="14"/>
  <c r="D91" i="14"/>
  <c r="D49" i="14"/>
  <c r="D161" i="14"/>
  <c r="E21" i="14"/>
  <c r="D113" i="19"/>
  <c r="D56" i="19"/>
  <c r="D48" i="19"/>
  <c r="D38" i="19"/>
  <c r="D272" i="14"/>
  <c r="E262" i="14"/>
  <c r="E243" i="15"/>
  <c r="D252" i="15"/>
  <c r="E146" i="14"/>
  <c r="F146" i="14"/>
  <c r="E254" i="14"/>
  <c r="E260" i="15"/>
  <c r="D284" i="15"/>
  <c r="E22" i="15"/>
  <c r="D157" i="15"/>
  <c r="E157" i="15"/>
  <c r="E156" i="15"/>
  <c r="C268" i="14"/>
  <c r="C271" i="14"/>
  <c r="C263" i="14"/>
  <c r="E263" i="14"/>
  <c r="E89" i="14"/>
  <c r="F89" i="14"/>
  <c r="C105" i="14"/>
  <c r="C140" i="14"/>
  <c r="E32" i="14"/>
  <c r="F32" i="14"/>
  <c r="D41" i="2"/>
  <c r="D253" i="15"/>
  <c r="E253" i="15"/>
  <c r="E71" i="15"/>
  <c r="F207" i="6"/>
  <c r="E121" i="7"/>
  <c r="F121" i="7"/>
  <c r="F138" i="14"/>
  <c r="E207" i="6"/>
  <c r="D270" i="14"/>
  <c r="E267" i="14"/>
  <c r="F267" i="14"/>
  <c r="E47" i="19"/>
  <c r="E37" i="19"/>
  <c r="E112" i="19"/>
  <c r="E55" i="19"/>
  <c r="C216" i="14"/>
  <c r="E214" i="14"/>
  <c r="F214" i="14"/>
  <c r="E111" i="14"/>
  <c r="F111" i="14"/>
  <c r="E278" i="14"/>
  <c r="F278" i="14"/>
  <c r="C194" i="14"/>
  <c r="E193" i="14"/>
  <c r="F193" i="14"/>
  <c r="D106" i="14"/>
  <c r="E105" i="14"/>
  <c r="D176" i="14"/>
  <c r="E181" i="14"/>
  <c r="F181" i="14"/>
  <c r="C33" i="2"/>
  <c r="D41" i="9"/>
  <c r="E33" i="9"/>
  <c r="F33" i="9"/>
  <c r="C223" i="15"/>
  <c r="D125" i="14"/>
  <c r="D158" i="5"/>
  <c r="E19" i="2"/>
  <c r="F19" i="2"/>
  <c r="F262" i="14"/>
  <c r="D208" i="14"/>
  <c r="D141" i="14"/>
  <c r="E140" i="14"/>
  <c r="C61" i="14"/>
  <c r="E60" i="14"/>
  <c r="F60" i="14"/>
  <c r="C112" i="5"/>
  <c r="C111" i="5"/>
  <c r="C28" i="5"/>
  <c r="C48" i="9"/>
  <c r="C161" i="14"/>
  <c r="C91" i="14"/>
  <c r="C196" i="14"/>
  <c r="C49" i="14"/>
  <c r="F21" i="14"/>
  <c r="D300" i="14"/>
  <c r="C90" i="14"/>
  <c r="E90" i="14"/>
  <c r="C304" i="14"/>
  <c r="E141" i="5"/>
  <c r="E122" i="7"/>
  <c r="F122" i="7"/>
  <c r="C141" i="5"/>
  <c r="E215" i="14"/>
  <c r="D255" i="14"/>
  <c r="E255" i="14"/>
  <c r="D287" i="14"/>
  <c r="D279" i="14"/>
  <c r="D284" i="14"/>
  <c r="F39" i="17"/>
  <c r="C41" i="17"/>
  <c r="E302" i="15"/>
  <c r="D303" i="15"/>
  <c r="C168" i="15"/>
  <c r="C145" i="15"/>
  <c r="C180" i="15"/>
  <c r="C99" i="15"/>
  <c r="C95" i="15"/>
  <c r="C88" i="15"/>
  <c r="C84" i="15"/>
  <c r="C258" i="15"/>
  <c r="C101" i="15"/>
  <c r="C97" i="15"/>
  <c r="C86" i="15"/>
  <c r="C96" i="15"/>
  <c r="C85" i="15"/>
  <c r="C90" i="15"/>
  <c r="C83" i="15"/>
  <c r="C100" i="15"/>
  <c r="C89" i="15"/>
  <c r="C98" i="15"/>
  <c r="C87" i="15"/>
  <c r="C45" i="19"/>
  <c r="C39" i="19"/>
  <c r="C35" i="19"/>
  <c r="C29" i="19"/>
  <c r="C110" i="19"/>
  <c r="C53" i="19"/>
  <c r="D281" i="14"/>
  <c r="E280" i="14"/>
  <c r="F280" i="14"/>
  <c r="F254" i="14"/>
  <c r="C56" i="19"/>
  <c r="C48" i="19"/>
  <c r="C38" i="19"/>
  <c r="C113" i="19"/>
  <c r="C234" i="15"/>
  <c r="C211" i="15"/>
  <c r="D63" i="14"/>
  <c r="C300" i="14"/>
  <c r="E264" i="14"/>
  <c r="F264" i="14"/>
  <c r="C265" i="14"/>
  <c r="E68" i="14"/>
  <c r="F68" i="14"/>
  <c r="E112" i="5"/>
  <c r="E111" i="5"/>
  <c r="E28" i="5"/>
  <c r="E266" i="14"/>
  <c r="F266" i="14"/>
  <c r="F190" i="14"/>
  <c r="E199" i="14"/>
  <c r="F199" i="14"/>
  <c r="E206" i="14"/>
  <c r="F206" i="14"/>
  <c r="E40" i="17"/>
  <c r="F40" i="17"/>
  <c r="E326" i="15"/>
  <c r="E33" i="15"/>
  <c r="D223" i="15"/>
  <c r="F215" i="14"/>
  <c r="D265" i="14"/>
  <c r="C294" i="15"/>
  <c r="F255" i="14"/>
  <c r="D44" i="15"/>
  <c r="F160" i="14"/>
  <c r="C282" i="14"/>
  <c r="C281" i="14"/>
  <c r="E22" i="10"/>
  <c r="F65" i="8"/>
  <c r="E208" i="6"/>
  <c r="F208" i="6"/>
  <c r="E83" i="4"/>
  <c r="F83" i="4"/>
  <c r="E158" i="5"/>
  <c r="C158" i="5"/>
  <c r="C112" i="19"/>
  <c r="C55" i="19"/>
  <c r="C47" i="19"/>
  <c r="C37" i="19"/>
  <c r="C181" i="15"/>
  <c r="C169" i="15"/>
  <c r="C162" i="14"/>
  <c r="C139" i="14"/>
  <c r="C104" i="14"/>
  <c r="E61" i="14"/>
  <c r="F61" i="14"/>
  <c r="D48" i="9"/>
  <c r="E48" i="9"/>
  <c r="F48" i="9"/>
  <c r="E41" i="9"/>
  <c r="F41" i="9"/>
  <c r="F105" i="14"/>
  <c r="C106" i="14"/>
  <c r="D162" i="14"/>
  <c r="E161" i="14"/>
  <c r="F161" i="14"/>
  <c r="D127" i="14"/>
  <c r="D304" i="14"/>
  <c r="D273" i="14"/>
  <c r="E271" i="14"/>
  <c r="E106" i="14"/>
  <c r="C92" i="14"/>
  <c r="F91" i="14"/>
  <c r="D322" i="14"/>
  <c r="C41" i="2"/>
  <c r="E194" i="14"/>
  <c r="F194" i="14"/>
  <c r="C195" i="14"/>
  <c r="D92" i="14"/>
  <c r="E91" i="14"/>
  <c r="C62" i="14"/>
  <c r="D306" i="15"/>
  <c r="E303" i="15"/>
  <c r="D48" i="2"/>
  <c r="E41" i="2"/>
  <c r="F271" i="14"/>
  <c r="D50" i="14"/>
  <c r="E49" i="14"/>
  <c r="E48" i="19"/>
  <c r="E38" i="19"/>
  <c r="E113" i="19"/>
  <c r="E56" i="19"/>
  <c r="E268" i="14"/>
  <c r="F268" i="14"/>
  <c r="E99" i="5"/>
  <c r="E101" i="5"/>
  <c r="E98" i="5"/>
  <c r="E223" i="15"/>
  <c r="D100" i="15"/>
  <c r="E100" i="15"/>
  <c r="D96" i="15"/>
  <c r="D89" i="15"/>
  <c r="E89" i="15"/>
  <c r="D85" i="15"/>
  <c r="E85" i="15"/>
  <c r="D258" i="15"/>
  <c r="D98" i="15"/>
  <c r="E98" i="15"/>
  <c r="D87" i="15"/>
  <c r="E87" i="15"/>
  <c r="D83" i="15"/>
  <c r="D101" i="15"/>
  <c r="E101" i="15"/>
  <c r="D99" i="15"/>
  <c r="E99" i="15"/>
  <c r="D88" i="15"/>
  <c r="E88" i="15"/>
  <c r="D97" i="15"/>
  <c r="E97" i="15"/>
  <c r="D86" i="15"/>
  <c r="E86" i="15"/>
  <c r="E44" i="15"/>
  <c r="D95" i="15"/>
  <c r="D84" i="15"/>
  <c r="F49" i="14"/>
  <c r="C50" i="14"/>
  <c r="C99" i="5"/>
  <c r="C101" i="5"/>
  <c r="C98" i="5"/>
  <c r="C22" i="5"/>
  <c r="D209" i="14"/>
  <c r="D210" i="14"/>
  <c r="C141" i="14"/>
  <c r="E141" i="14"/>
  <c r="F140" i="14"/>
  <c r="E252" i="15"/>
  <c r="D254" i="15"/>
  <c r="E254" i="15"/>
  <c r="C102" i="15"/>
  <c r="C103" i="15"/>
  <c r="F90" i="14"/>
  <c r="E265" i="14"/>
  <c r="F265" i="14"/>
  <c r="E281" i="14"/>
  <c r="F281" i="14"/>
  <c r="E300" i="14"/>
  <c r="F300" i="14"/>
  <c r="E282" i="14"/>
  <c r="F282" i="14"/>
  <c r="E33" i="2"/>
  <c r="F33" i="2"/>
  <c r="F263" i="14"/>
  <c r="E216" i="14"/>
  <c r="F216" i="14"/>
  <c r="D102" i="15"/>
  <c r="E102" i="15"/>
  <c r="E96" i="15"/>
  <c r="D70" i="14"/>
  <c r="E50" i="14"/>
  <c r="F50" i="14"/>
  <c r="D310" i="15"/>
  <c r="E310" i="15"/>
  <c r="E306" i="15"/>
  <c r="D324" i="14"/>
  <c r="D113" i="14"/>
  <c r="E92" i="14"/>
  <c r="F104" i="14"/>
  <c r="E104" i="14"/>
  <c r="C70" i="14"/>
  <c r="E95" i="15"/>
  <c r="D103" i="15"/>
  <c r="E103" i="15"/>
  <c r="C63" i="14"/>
  <c r="E62" i="14"/>
  <c r="F62" i="14"/>
  <c r="D148" i="14"/>
  <c r="E84" i="15"/>
  <c r="D90" i="15"/>
  <c r="D91" i="15"/>
  <c r="E83" i="15"/>
  <c r="F106" i="14"/>
  <c r="C322" i="14"/>
  <c r="F141" i="14"/>
  <c r="D211" i="14"/>
  <c r="E258" i="15"/>
  <c r="F41" i="2"/>
  <c r="C48" i="2"/>
  <c r="E48" i="2"/>
  <c r="F48" i="2"/>
  <c r="C113" i="14"/>
  <c r="F113" i="14"/>
  <c r="C324" i="14"/>
  <c r="F92" i="14"/>
  <c r="E304" i="14"/>
  <c r="F304" i="14"/>
  <c r="D183" i="14"/>
  <c r="D323" i="14"/>
  <c r="E162" i="14"/>
  <c r="F162" i="14"/>
  <c r="E139" i="14"/>
  <c r="F139" i="14"/>
  <c r="E324" i="14"/>
  <c r="F324" i="14"/>
  <c r="D325" i="14"/>
  <c r="E70" i="14"/>
  <c r="F70" i="14"/>
  <c r="E63" i="14"/>
  <c r="F63" i="14"/>
  <c r="E113" i="14"/>
  <c r="D105" i="15"/>
  <c r="E322" i="14"/>
  <c r="F322" i="14"/>
  <c r="C91" i="15"/>
  <c r="E90" i="15"/>
  <c r="C295" i="15"/>
  <c r="E75" i="8"/>
  <c r="F75" i="8"/>
  <c r="C22" i="10"/>
  <c r="C70" i="10"/>
  <c r="C72" i="10"/>
  <c r="C69" i="10"/>
  <c r="D195" i="14"/>
  <c r="E195" i="14"/>
  <c r="F195" i="14"/>
  <c r="D196" i="14"/>
  <c r="E65" i="1"/>
  <c r="D75" i="1"/>
  <c r="E75" i="1"/>
  <c r="F75" i="1"/>
  <c r="E41" i="17"/>
  <c r="F41" i="17"/>
  <c r="C77" i="15"/>
  <c r="C259" i="15"/>
  <c r="C263" i="15"/>
  <c r="C264" i="15"/>
  <c r="C266" i="15"/>
  <c r="C267" i="15"/>
  <c r="F65" i="1"/>
  <c r="F137" i="3"/>
  <c r="F109" i="4"/>
  <c r="E38" i="1"/>
  <c r="F38" i="1"/>
  <c r="C41" i="1"/>
  <c r="E41" i="1"/>
  <c r="E31" i="2"/>
  <c r="F31" i="2"/>
  <c r="E38" i="3"/>
  <c r="F38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E124" i="3"/>
  <c r="F124" i="3"/>
  <c r="E179" i="3"/>
  <c r="F179" i="3"/>
  <c r="F118" i="4"/>
  <c r="D17" i="5"/>
  <c r="D24" i="5"/>
  <c r="E20" i="10"/>
  <c r="D288" i="14"/>
  <c r="C95" i="3"/>
  <c r="D176" i="4"/>
  <c r="E176" i="4"/>
  <c r="F176" i="4"/>
  <c r="F23" i="6"/>
  <c r="F128" i="6"/>
  <c r="D25" i="5"/>
  <c r="D27" i="5"/>
  <c r="E25" i="5"/>
  <c r="E27" i="5"/>
  <c r="C49" i="5"/>
  <c r="D88" i="5"/>
  <c r="D90" i="5"/>
  <c r="D86" i="5"/>
  <c r="E36" i="6"/>
  <c r="F36" i="6"/>
  <c r="E37" i="6"/>
  <c r="F37" i="6"/>
  <c r="E88" i="6"/>
  <c r="E89" i="6"/>
  <c r="E114" i="6"/>
  <c r="F114" i="6"/>
  <c r="E115" i="6"/>
  <c r="F115" i="6"/>
  <c r="E166" i="6"/>
  <c r="E167" i="6"/>
  <c r="E192" i="6"/>
  <c r="F71" i="7"/>
  <c r="F72" i="7"/>
  <c r="E113" i="7"/>
  <c r="F113" i="7"/>
  <c r="F22" i="8"/>
  <c r="F29" i="8"/>
  <c r="F56" i="8"/>
  <c r="F73" i="8"/>
  <c r="E46" i="9"/>
  <c r="D31" i="11"/>
  <c r="F31" i="11"/>
  <c r="D33" i="11"/>
  <c r="E55" i="12"/>
  <c r="F55" i="12"/>
  <c r="C57" i="5"/>
  <c r="C62" i="5"/>
  <c r="C43" i="5"/>
  <c r="D41" i="8"/>
  <c r="E61" i="8"/>
  <c r="F61" i="8"/>
  <c r="E16" i="9"/>
  <c r="F16" i="9"/>
  <c r="D15" i="10"/>
  <c r="C48" i="10"/>
  <c r="C42" i="10"/>
  <c r="E31" i="11"/>
  <c r="G31" i="11"/>
  <c r="F70" i="12"/>
  <c r="E29" i="14"/>
  <c r="F29" i="14"/>
  <c r="E44" i="14"/>
  <c r="F44" i="14"/>
  <c r="E53" i="14"/>
  <c r="F53" i="14"/>
  <c r="E100" i="14"/>
  <c r="F100" i="14"/>
  <c r="E110" i="14"/>
  <c r="F110" i="14"/>
  <c r="E123" i="14"/>
  <c r="E135" i="14"/>
  <c r="F135" i="14"/>
  <c r="E171" i="14"/>
  <c r="F171" i="14"/>
  <c r="C172" i="14"/>
  <c r="F189" i="14"/>
  <c r="E203" i="14"/>
  <c r="C205" i="14"/>
  <c r="F226" i="14"/>
  <c r="C227" i="14"/>
  <c r="E240" i="15"/>
  <c r="F36" i="17"/>
  <c r="F35" i="14"/>
  <c r="F101" i="14"/>
  <c r="C124" i="14"/>
  <c r="F123" i="14"/>
  <c r="E144" i="14"/>
  <c r="F144" i="14"/>
  <c r="C277" i="14"/>
  <c r="E198" i="14"/>
  <c r="F198" i="14"/>
  <c r="F203" i="14"/>
  <c r="C285" i="14"/>
  <c r="C269" i="14"/>
  <c r="E204" i="14"/>
  <c r="F204" i="14"/>
  <c r="D76" i="15"/>
  <c r="D77" i="15"/>
  <c r="C38" i="16"/>
  <c r="C127" i="16"/>
  <c r="C129" i="16"/>
  <c r="C133" i="16"/>
  <c r="E290" i="14"/>
  <c r="F290" i="14"/>
  <c r="E238" i="14"/>
  <c r="F238" i="14"/>
  <c r="F296" i="14"/>
  <c r="C283" i="15"/>
  <c r="E283" i="15"/>
  <c r="C55" i="15"/>
  <c r="C235" i="15"/>
  <c r="E60" i="15"/>
  <c r="D289" i="15"/>
  <c r="E289" i="15"/>
  <c r="D65" i="15"/>
  <c r="E69" i="15"/>
  <c r="D163" i="15"/>
  <c r="E163" i="15"/>
  <c r="D144" i="15"/>
  <c r="E188" i="15"/>
  <c r="D210" i="15"/>
  <c r="D34" i="19"/>
  <c r="D102" i="19"/>
  <c r="D103" i="19"/>
  <c r="D189" i="15"/>
  <c r="E189" i="15"/>
  <c r="C22" i="16"/>
  <c r="D22" i="19"/>
  <c r="D123" i="15"/>
  <c r="D125" i="15"/>
  <c r="D114" i="15"/>
  <c r="D124" i="15"/>
  <c r="D122" i="15"/>
  <c r="D109" i="15"/>
  <c r="D115" i="15"/>
  <c r="D127" i="15"/>
  <c r="D112" i="15"/>
  <c r="D121" i="15"/>
  <c r="D110" i="15"/>
  <c r="D113" i="15"/>
  <c r="D111" i="15"/>
  <c r="D126" i="15"/>
  <c r="E77" i="15"/>
  <c r="D180" i="15"/>
  <c r="E180" i="15"/>
  <c r="D145" i="15"/>
  <c r="D168" i="15"/>
  <c r="E168" i="15"/>
  <c r="E144" i="15"/>
  <c r="C272" i="14"/>
  <c r="E269" i="14"/>
  <c r="F269" i="14"/>
  <c r="C287" i="14"/>
  <c r="C284" i="14"/>
  <c r="E277" i="14"/>
  <c r="F277" i="14"/>
  <c r="C279" i="14"/>
  <c r="C284" i="15"/>
  <c r="E284" i="15"/>
  <c r="D17" i="10"/>
  <c r="D28" i="10"/>
  <c r="D24" i="10"/>
  <c r="D20" i="10"/>
  <c r="E41" i="8"/>
  <c r="F41" i="8"/>
  <c r="D43" i="8"/>
  <c r="E43" i="8"/>
  <c r="F43" i="8"/>
  <c r="D36" i="11"/>
  <c r="D38" i="11"/>
  <c r="D40" i="11"/>
  <c r="F33" i="11"/>
  <c r="F36" i="11"/>
  <c r="F38" i="11"/>
  <c r="F40" i="11"/>
  <c r="D21" i="5"/>
  <c r="D20" i="5"/>
  <c r="F95" i="3"/>
  <c r="D28" i="5"/>
  <c r="D99" i="5"/>
  <c r="D101" i="5"/>
  <c r="D98" i="5"/>
  <c r="D112" i="5"/>
  <c r="D111" i="5"/>
  <c r="C269" i="15"/>
  <c r="C268" i="15"/>
  <c r="C271" i="15"/>
  <c r="E95" i="3"/>
  <c r="C105" i="15"/>
  <c r="E105" i="15"/>
  <c r="E91" i="15"/>
  <c r="E210" i="15"/>
  <c r="D211" i="15"/>
  <c r="D234" i="15"/>
  <c r="E234" i="15"/>
  <c r="D53" i="19"/>
  <c r="D39" i="19"/>
  <c r="D110" i="19"/>
  <c r="D29" i="19"/>
  <c r="D35" i="19"/>
  <c r="D45" i="19"/>
  <c r="D294" i="15"/>
  <c r="E294" i="15"/>
  <c r="D66" i="15"/>
  <c r="D246" i="15"/>
  <c r="E246" i="15"/>
  <c r="E65" i="15"/>
  <c r="E76" i="15"/>
  <c r="D259" i="15"/>
  <c r="E55" i="15"/>
  <c r="C286" i="14"/>
  <c r="C288" i="14"/>
  <c r="C125" i="14"/>
  <c r="E124" i="14"/>
  <c r="F124" i="14"/>
  <c r="C126" i="14"/>
  <c r="E227" i="14"/>
  <c r="F227" i="14"/>
  <c r="C270" i="14"/>
  <c r="E172" i="14"/>
  <c r="C173" i="14"/>
  <c r="F172" i="14"/>
  <c r="C207" i="14"/>
  <c r="E20" i="5"/>
  <c r="E21" i="5"/>
  <c r="E22" i="5"/>
  <c r="D289" i="14"/>
  <c r="E288" i="14"/>
  <c r="D291" i="14"/>
  <c r="C43" i="1"/>
  <c r="F41" i="1"/>
  <c r="E285" i="14"/>
  <c r="F285" i="14"/>
  <c r="C115" i="15"/>
  <c r="C111" i="15"/>
  <c r="C124" i="15"/>
  <c r="C113" i="15"/>
  <c r="C109" i="15"/>
  <c r="C110" i="15"/>
  <c r="C126" i="15"/>
  <c r="C122" i="15"/>
  <c r="C127" i="15"/>
  <c r="C125" i="15"/>
  <c r="C114" i="15"/>
  <c r="C123" i="15"/>
  <c r="C112" i="15"/>
  <c r="C121" i="15"/>
  <c r="E196" i="14"/>
  <c r="F196" i="14"/>
  <c r="D197" i="14"/>
  <c r="E205" i="14"/>
  <c r="F205" i="14"/>
  <c r="D305" i="14"/>
  <c r="C208" i="14"/>
  <c r="E207" i="14"/>
  <c r="F207" i="14"/>
  <c r="E173" i="14"/>
  <c r="C175" i="14"/>
  <c r="F173" i="14"/>
  <c r="C174" i="14"/>
  <c r="E270" i="14"/>
  <c r="F270" i="14"/>
  <c r="C127" i="14"/>
  <c r="E126" i="14"/>
  <c r="F126" i="14"/>
  <c r="E286" i="14"/>
  <c r="F286" i="14"/>
  <c r="D263" i="15"/>
  <c r="E259" i="15"/>
  <c r="D295" i="15"/>
  <c r="E295" i="15"/>
  <c r="E66" i="15"/>
  <c r="D247" i="15"/>
  <c r="E247" i="15"/>
  <c r="D37" i="19"/>
  <c r="D55" i="19"/>
  <c r="D47" i="19"/>
  <c r="D112" i="19"/>
  <c r="E284" i="14"/>
  <c r="F284" i="14"/>
  <c r="E126" i="15"/>
  <c r="E113" i="15"/>
  <c r="E121" i="15"/>
  <c r="E127" i="15"/>
  <c r="E109" i="15"/>
  <c r="E124" i="15"/>
  <c r="E125" i="15"/>
  <c r="C128" i="15"/>
  <c r="C129" i="15"/>
  <c r="C116" i="15"/>
  <c r="C117" i="15"/>
  <c r="F43" i="1"/>
  <c r="E43" i="1"/>
  <c r="F125" i="14"/>
  <c r="E125" i="14"/>
  <c r="F288" i="14"/>
  <c r="D235" i="15"/>
  <c r="E235" i="15"/>
  <c r="E211" i="15"/>
  <c r="D22" i="5"/>
  <c r="D70" i="10"/>
  <c r="D72" i="10"/>
  <c r="D69" i="10"/>
  <c r="D22" i="10"/>
  <c r="E279" i="14"/>
  <c r="F279" i="14"/>
  <c r="C289" i="14"/>
  <c r="E289" i="14"/>
  <c r="C291" i="14"/>
  <c r="E287" i="14"/>
  <c r="F287" i="14"/>
  <c r="C273" i="14"/>
  <c r="E272" i="14"/>
  <c r="F272" i="14"/>
  <c r="D181" i="15"/>
  <c r="E181" i="15"/>
  <c r="E145" i="15"/>
  <c r="D169" i="15"/>
  <c r="E169" i="15"/>
  <c r="E111" i="15"/>
  <c r="D116" i="15"/>
  <c r="E116" i="15"/>
  <c r="E110" i="15"/>
  <c r="E112" i="15"/>
  <c r="E115" i="15"/>
  <c r="D128" i="15"/>
  <c r="E128" i="15"/>
  <c r="E122" i="15"/>
  <c r="E114" i="15"/>
  <c r="E123" i="15"/>
  <c r="C131" i="15"/>
  <c r="D117" i="15"/>
  <c r="D129" i="15"/>
  <c r="E129" i="15"/>
  <c r="C197" i="14"/>
  <c r="E127" i="14"/>
  <c r="F127" i="14"/>
  <c r="C148" i="14"/>
  <c r="D309" i="14"/>
  <c r="F273" i="14"/>
  <c r="E273" i="14"/>
  <c r="C305" i="14"/>
  <c r="F289" i="14"/>
  <c r="D264" i="15"/>
  <c r="E263" i="15"/>
  <c r="E174" i="14"/>
  <c r="F174" i="14"/>
  <c r="E175" i="14"/>
  <c r="C176" i="14"/>
  <c r="F175" i="14"/>
  <c r="C209" i="14"/>
  <c r="C210" i="14"/>
  <c r="F208" i="14"/>
  <c r="E208" i="14"/>
  <c r="E291" i="14"/>
  <c r="F291" i="14"/>
  <c r="F209" i="14"/>
  <c r="E209" i="14"/>
  <c r="C183" i="14"/>
  <c r="E176" i="14"/>
  <c r="F176" i="14"/>
  <c r="C323" i="14"/>
  <c r="C211" i="14"/>
  <c r="D310" i="14"/>
  <c r="D131" i="15"/>
  <c r="E131" i="15"/>
  <c r="E117" i="15"/>
  <c r="E210" i="14"/>
  <c r="F210" i="14"/>
  <c r="E264" i="15"/>
  <c r="D266" i="15"/>
  <c r="C309" i="14"/>
  <c r="E305" i="14"/>
  <c r="F305" i="14"/>
  <c r="E148" i="14"/>
  <c r="F148" i="14"/>
  <c r="F197" i="14"/>
  <c r="E197" i="14"/>
  <c r="D312" i="14"/>
  <c r="E323" i="14"/>
  <c r="F323" i="14"/>
  <c r="C325" i="14"/>
  <c r="C310" i="14"/>
  <c r="F309" i="14"/>
  <c r="D267" i="15"/>
  <c r="E266" i="15"/>
  <c r="E309" i="14"/>
  <c r="F211" i="14"/>
  <c r="E211" i="14"/>
  <c r="F183" i="14"/>
  <c r="E183" i="14"/>
  <c r="E267" i="15"/>
  <c r="D269" i="15"/>
  <c r="E269" i="15"/>
  <c r="D268" i="15"/>
  <c r="C312" i="14"/>
  <c r="E310" i="14"/>
  <c r="F310" i="14"/>
  <c r="E325" i="14"/>
  <c r="F325" i="14"/>
  <c r="E312" i="14"/>
  <c r="D313" i="14"/>
  <c r="D314" i="14"/>
  <c r="D315" i="14"/>
  <c r="D256" i="14"/>
  <c r="D251" i="14"/>
  <c r="F312" i="14"/>
  <c r="C313" i="14"/>
  <c r="E268" i="15"/>
  <c r="D271" i="15"/>
  <c r="E271" i="15"/>
  <c r="C314" i="14"/>
  <c r="C256" i="14"/>
  <c r="C251" i="14"/>
  <c r="C315" i="14"/>
  <c r="E315" i="14"/>
  <c r="E256" i="14"/>
  <c r="D257" i="14"/>
  <c r="E313" i="14"/>
  <c r="F313" i="14"/>
  <c r="E251" i="14"/>
  <c r="D318" i="14"/>
  <c r="E314" i="14"/>
  <c r="C257" i="14"/>
  <c r="F256" i="14"/>
  <c r="F315" i="14"/>
  <c r="F251" i="14"/>
  <c r="F314" i="14"/>
  <c r="C318" i="14"/>
  <c r="F318" i="14"/>
  <c r="E318" i="14"/>
  <c r="F257" i="14"/>
  <c r="E257" i="14"/>
</calcChain>
</file>

<file path=xl/sharedStrings.xml><?xml version="1.0" encoding="utf-8"?>
<sst xmlns="http://schemas.openxmlformats.org/spreadsheetml/2006/main" count="2300" uniqueCount="978">
  <si>
    <t>THE HOSPITAL OF CENTRAL CONNECTICUT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</si>
  <si>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</si>
  <si>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</si>
  <si>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</si>
  <si>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</si>
  <si>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</si>
  <si>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</si>
  <si>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</si>
  <si>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</si>
  <si>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</si>
  <si>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</si>
  <si>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</si>
  <si>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</si>
  <si>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</si>
  <si>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</si>
  <si>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</si>
  <si>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</si>
  <si>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</si>
  <si>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</si>
  <si>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</si>
  <si>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</si>
  <si>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</si>
  <si>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</si>
  <si>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</si>
  <si>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</si>
  <si>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</si>
  <si>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</si>
  <si>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</si>
  <si>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</si>
  <si>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</si>
  <si>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</si>
  <si>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</si>
  <si>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</si>
  <si>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</si>
  <si>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</si>
  <si>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</si>
  <si>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</si>
  <si>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</si>
  <si>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</si>
  <si>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</si>
  <si>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</si>
  <si>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</si>
  <si>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</si>
  <si>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</si>
  <si>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</si>
  <si>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</si>
  <si>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</si>
  <si>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</si>
  <si>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</si>
  <si>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</si>
  <si>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</si>
  <si>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</si>
  <si>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</si>
  <si>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</si>
  <si>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</si>
  <si>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</si>
  <si>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</si>
  <si>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</si>
  <si>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</si>
  <si>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</si>
  <si>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</si>
  <si>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</si>
  <si>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</si>
  <si>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</si>
  <si>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</si>
  <si>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</si>
  <si>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</si>
  <si>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</si>
  <si>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</si>
  <si>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</si>
  <si>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</si>
  <si>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</si>
  <si>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</si>
  <si>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</si>
  <si>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</si>
  <si>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</si>
  <si>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</si>
  <si>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</si>
  <si>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</si>
  <si>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</si>
  <si>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</si>
  <si>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</si>
  <si>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</si>
  <si>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</si>
  <si>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</si>
  <si>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</si>
  <si>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</si>
  <si>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</si>
  <si>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</si>
  <si>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</si>
  <si>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</si>
  <si>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</si>
  <si>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</si>
  <si>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</si>
  <si>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</si>
  <si>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</si>
  <si>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</si>
  <si>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</si>
  <si>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</si>
  <si>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</si>
  <si>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</si>
  <si>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</si>
  <si>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</si>
  <si>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</si>
  <si>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</si>
  <si>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</si>
  <si>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</si>
  <si>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</si>
  <si>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</si>
  <si>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</si>
  <si>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</si>
  <si>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</si>
  <si>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</si>
  <si>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</si>
  <si>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</si>
  <si>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</si>
  <si>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</si>
  <si>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</si>
  <si>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</si>
  <si>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</si>
  <si>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</si>
  <si>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</si>
  <si>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</si>
  <si>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</si>
  <si>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</si>
  <si>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</si>
  <si>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</si>
  <si>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</si>
  <si>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</si>
  <si>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</si>
  <si>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</si>
  <si>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</si>
  <si>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</si>
  <si>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</si>
  <si>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</si>
  <si>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</si>
  <si>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</si>
  <si>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</si>
  <si>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</si>
  <si>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</si>
  <si>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</si>
  <si>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</si>
  <si>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</si>
  <si>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</si>
  <si>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</si>
  <si>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</si>
  <si>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</si>
  <si>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</si>
  <si>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</si>
  <si>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</si>
  <si>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</si>
  <si>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</si>
  <si>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</si>
  <si>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</si>
  <si>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</si>
  <si>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</si>
  <si>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</si>
  <si>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</si>
  <si>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</si>
  <si>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</si>
  <si>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</si>
  <si>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</si>
  <si>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</si>
  <si>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</si>
  <si>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</si>
  <si>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</si>
  <si>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</si>
  <si>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</si>
  <si>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</si>
  <si>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</si>
  <si>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</si>
  <si>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</si>
  <si>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</si>
  <si>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</si>
  <si>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</si>
  <si>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</si>
  <si>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</si>
  <si>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</si>
  <si>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</si>
  <si>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</si>
  <si>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</si>
  <si>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</si>
  <si>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</si>
  <si>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</si>
  <si>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</si>
  <si>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</si>
  <si>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</si>
  <si>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</si>
  <si>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</si>
  <si>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</si>
  <si>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</si>
  <si>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</si>
  <si>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</si>
  <si>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</si>
  <si>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</si>
  <si>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</si>
  <si>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</si>
  <si>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</si>
  <si>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</si>
  <si>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</si>
  <si>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</si>
  <si>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</si>
  <si>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</si>
  <si>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</si>
  <si>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</si>
  <si>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</si>
  <si>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</si>
  <si>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</si>
  <si>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</si>
  <si>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</si>
  <si>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</si>
  <si>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</si>
  <si>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</si>
  <si>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</si>
  <si>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</si>
  <si>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</si>
  <si>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</si>
  <si>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</si>
  <si>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</si>
  <si>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</si>
  <si>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</si>
  <si>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</si>
  <si>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</si>
  <si>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</si>
  <si>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</si>
  <si>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</si>
  <si>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</si>
  <si>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</si>
  <si>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</si>
  <si>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</si>
  <si>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</si>
  <si>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</si>
  <si>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</si>
  <si>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</si>
  <si>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</si>
  <si>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</si>
  <si>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</si>
  <si>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</si>
  <si>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</si>
  <si>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</si>
  <si>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</si>
  <si>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</si>
  <si>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</si>
  <si>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</si>
  <si>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</si>
  <si>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</si>
  <si>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</si>
  <si>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</si>
  <si>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</si>
  <si>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</si>
  <si>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</si>
  <si>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</si>
  <si>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</si>
  <si>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</si>
  <si>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</si>
  <si>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</si>
  <si>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</si>
  <si>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</si>
  <si>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</si>
  <si>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</si>
  <si>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</si>
  <si>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</si>
  <si>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</si>
  <si>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</si>
  <si>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</si>
  <si>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</si>
  <si>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</si>
  <si>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</si>
  <si>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</si>
  <si>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</si>
  <si>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</si>
  <si>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</si>
  <si>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</si>
  <si>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</si>
  <si>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</si>
  <si>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</si>
  <si>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</si>
  <si>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</si>
  <si>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</si>
  <si>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</si>
  <si>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</si>
  <si>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</si>
  <si>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</si>
  <si>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</si>
  <si>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</si>
  <si>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</si>
  <si>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</si>
  <si>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</si>
  <si>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</si>
  <si>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</si>
  <si>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</si>
  <si>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</si>
  <si>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</si>
  <si>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</si>
  <si>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</si>
  <si>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</si>
  <si>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</si>
  <si>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</si>
  <si>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</si>
  <si>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</si>
  <si>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</si>
  <si>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</si>
  <si>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</si>
  <si>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</si>
  <si>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</si>
  <si>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</si>
  <si>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</si>
  <si>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</si>
  <si>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</si>
  <si>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</si>
  <si>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</si>
  <si>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</si>
  <si>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</si>
  <si>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</si>
  <si>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</si>
  <si>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</si>
  <si>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</si>
  <si>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</si>
  <si>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</si>
  <si>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</si>
  <si>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</si>
  <si>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</si>
  <si>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</si>
  <si>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</si>
  <si>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</si>
  <si>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</si>
  <si>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</si>
  <si>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</si>
  <si>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</si>
  <si>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</si>
  <si>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</si>
  <si>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</si>
  <si>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</si>
  <si>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</si>
  <si>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</si>
  <si>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</si>
  <si>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</si>
  <si>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</si>
  <si>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</si>
  <si>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</si>
  <si>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</si>
  <si>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</si>
  <si>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</si>
  <si>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</si>
  <si>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</si>
  <si>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</si>
  <si>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</si>
  <si>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</si>
  <si>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</si>
  <si>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</si>
  <si>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</si>
  <si>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</si>
  <si>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</si>
  <si>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</si>
  <si>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</si>
  <si>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</si>
  <si>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</si>
  <si>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</si>
  <si>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</si>
  <si>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</si>
  <si>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</si>
  <si>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</si>
  <si>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</si>
  <si>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</si>
  <si>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</si>
  <si>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</si>
  <si>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</si>
  <si>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</si>
  <si>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</si>
  <si>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</si>
  <si>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</si>
  <si>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</si>
  <si>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</si>
  <si>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</si>
  <si>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</si>
  <si>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</si>
  <si>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</si>
  <si>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</si>
  <si>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</si>
  <si>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</si>
  <si>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</si>
  <si>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</si>
  <si>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</si>
  <si>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</si>
  <si>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</si>
  <si>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</si>
  <si>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</si>
  <si>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</si>
  <si>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</si>
  <si>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</si>
  <si>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</si>
  <si>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</si>
  <si>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</si>
  <si>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</si>
  <si>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</si>
  <si>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</si>
  <si>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</si>
  <si>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</si>
  <si>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</si>
  <si>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</si>
  <si>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</si>
  <si>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</si>
  <si>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</si>
  <si>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</si>
  <si>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</si>
  <si>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</si>
  <si>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</si>
  <si>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</si>
  <si>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</si>
  <si>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</si>
  <si>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</si>
  <si>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</si>
  <si>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</si>
  <si>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</si>
  <si>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</si>
  <si>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</si>
  <si>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</si>
  <si>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</si>
  <si>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</si>
  <si>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</si>
  <si>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</si>
  <si>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</si>
  <si>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</si>
  <si>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</si>
  <si>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</si>
  <si>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</si>
  <si>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</si>
  <si>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</si>
  <si>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</si>
  <si>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</si>
  <si>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</si>
  <si>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</si>
  <si>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</si>
  <si>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</si>
  <si>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</si>
  <si>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</si>
  <si>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</si>
  <si>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</si>
  <si>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</si>
  <si>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</si>
  <si>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</si>
  <si>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</si>
  <si>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</si>
  <si>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</si>
  <si>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</si>
  <si>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</si>
  <si>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</si>
  <si>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</si>
  <si>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</si>
  <si>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</si>
  <si>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</si>
  <si>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</si>
  <si>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</si>
  <si>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</si>
  <si>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</si>
  <si>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</si>
  <si>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</si>
  <si>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</si>
  <si>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</si>
  <si>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</si>
  <si>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</si>
  <si>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</si>
  <si>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</si>
  <si>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</si>
  <si>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</si>
  <si>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</si>
  <si>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</si>
  <si>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</si>
  <si>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</si>
  <si>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</si>
  <si>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</si>
  <si>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</si>
  <si>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</si>
  <si>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</si>
  <si>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</si>
  <si>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</si>
  <si>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</si>
  <si>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</si>
  <si>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</si>
  <si>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CENTRAL CT HEALTH ALLIANCE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</si>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</sst>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22241282</v>
      </c>
      <c r="D13" s="23">
        <v>23292786</v>
      </c>
      <c r="E13" s="23">
        <f t="shared" ref="E13:E22" si="0">D13-C13</f>
        <v>1051504</v>
      </c>
      <c r="F13" s="24">
        <f t="shared" ref="F13:F22" si="1">IF(C13=0,0,E13/C13)</f>
        <v>4.7277130877617576E-2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36493910</v>
      </c>
      <c r="D15" s="23">
        <v>36543623</v>
      </c>
      <c r="E15" s="23">
        <f t="shared" si="0"/>
        <v>49713</v>
      </c>
      <c r="F15" s="24">
        <f t="shared" si="1"/>
        <v>1.3622272866897517E-3</v>
      </c>
    </row>
    <row r="16" spans="1:8" ht="24" customHeight="1" x14ac:dyDescent="0.2">
      <c r="A16" s="21">
        <v>4</v>
      </c>
      <c r="B16" s="22" t="s">
        <v>19</v>
      </c>
      <c r="C16" s="23">
        <v>69761</v>
      </c>
      <c r="D16" s="23">
        <v>16427</v>
      </c>
      <c r="E16" s="23">
        <f t="shared" si="0"/>
        <v>-53334</v>
      </c>
      <c r="F16" s="24">
        <f t="shared" si="1"/>
        <v>-0.76452459110391191</v>
      </c>
    </row>
    <row r="17" spans="1:11" ht="24" customHeight="1" x14ac:dyDescent="0.2">
      <c r="A17" s="21">
        <v>5</v>
      </c>
      <c r="B17" s="22" t="s">
        <v>20</v>
      </c>
      <c r="C17" s="23">
        <v>103936</v>
      </c>
      <c r="D17" s="23">
        <v>19913</v>
      </c>
      <c r="E17" s="23">
        <f t="shared" si="0"/>
        <v>-84023</v>
      </c>
      <c r="F17" s="24">
        <f t="shared" si="1"/>
        <v>-0.80841094519704437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4999628</v>
      </c>
      <c r="D19" s="23">
        <v>4849198</v>
      </c>
      <c r="E19" s="23">
        <f t="shared" si="0"/>
        <v>-150430</v>
      </c>
      <c r="F19" s="24">
        <f t="shared" si="1"/>
        <v>-3.0088238564949233E-2</v>
      </c>
    </row>
    <row r="20" spans="1:11" ht="24" customHeight="1" x14ac:dyDescent="0.2">
      <c r="A20" s="21">
        <v>8</v>
      </c>
      <c r="B20" s="22" t="s">
        <v>23</v>
      </c>
      <c r="C20" s="23">
        <v>2143994</v>
      </c>
      <c r="D20" s="23">
        <v>3335302</v>
      </c>
      <c r="E20" s="23">
        <f t="shared" si="0"/>
        <v>1191308</v>
      </c>
      <c r="F20" s="24">
        <f t="shared" si="1"/>
        <v>0.55564894304741519</v>
      </c>
    </row>
    <row r="21" spans="1:11" ht="24" customHeight="1" x14ac:dyDescent="0.2">
      <c r="A21" s="21">
        <v>9</v>
      </c>
      <c r="B21" s="22" t="s">
        <v>24</v>
      </c>
      <c r="C21" s="23">
        <v>1819459</v>
      </c>
      <c r="D21" s="23">
        <v>1099043</v>
      </c>
      <c r="E21" s="23">
        <f t="shared" si="0"/>
        <v>-720416</v>
      </c>
      <c r="F21" s="24">
        <f t="shared" si="1"/>
        <v>-0.39595066445575305</v>
      </c>
    </row>
    <row r="22" spans="1:11" ht="24" customHeight="1" x14ac:dyDescent="0.25">
      <c r="A22" s="25"/>
      <c r="B22" s="26" t="s">
        <v>25</v>
      </c>
      <c r="C22" s="27">
        <f>SUM(C13:C21)</f>
        <v>67871970</v>
      </c>
      <c r="D22" s="27">
        <f>SUM(D13:D21)</f>
        <v>69156292</v>
      </c>
      <c r="E22" s="27">
        <f t="shared" si="0"/>
        <v>1284322</v>
      </c>
      <c r="F22" s="28">
        <f t="shared" si="1"/>
        <v>1.892271581331734E-2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13240758</v>
      </c>
      <c r="D25" s="23">
        <v>14035818</v>
      </c>
      <c r="E25" s="23">
        <f>D25-C25</f>
        <v>795060</v>
      </c>
      <c r="F25" s="24">
        <f>IF(C25=0,0,E25/C25)</f>
        <v>6.0046411240202414E-2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13240758</v>
      </c>
      <c r="D29" s="27">
        <f>SUM(D25:D28)</f>
        <v>14035818</v>
      </c>
      <c r="E29" s="27">
        <f>D29-C29</f>
        <v>795060</v>
      </c>
      <c r="F29" s="28">
        <f>IF(C29=0,0,E29/C29)</f>
        <v>6.0046411240202414E-2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102243230</v>
      </c>
      <c r="D32" s="23">
        <v>114413657</v>
      </c>
      <c r="E32" s="23">
        <f>D32-C32</f>
        <v>12170427</v>
      </c>
      <c r="F32" s="24">
        <f>IF(C32=0,0,E32/C32)</f>
        <v>0.11903406220636809</v>
      </c>
    </row>
    <row r="33" spans="1:8" ht="24" customHeight="1" x14ac:dyDescent="0.2">
      <c r="A33" s="21">
        <v>7</v>
      </c>
      <c r="B33" s="22" t="s">
        <v>35</v>
      </c>
      <c r="C33" s="23">
        <v>13404680</v>
      </c>
      <c r="D33" s="23">
        <v>13559363</v>
      </c>
      <c r="E33" s="23">
        <f>D33-C33</f>
        <v>154683</v>
      </c>
      <c r="F33" s="24">
        <f>IF(C33=0,0,E33/C33)</f>
        <v>1.1539477257196741E-2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349738416</v>
      </c>
      <c r="D36" s="23">
        <v>368321929</v>
      </c>
      <c r="E36" s="23">
        <f>D36-C36</f>
        <v>18583513</v>
      </c>
      <c r="F36" s="24">
        <f>IF(C36=0,0,E36/C36)</f>
        <v>5.3135463963444041E-2</v>
      </c>
    </row>
    <row r="37" spans="1:8" ht="24" customHeight="1" x14ac:dyDescent="0.2">
      <c r="A37" s="21">
        <v>2</v>
      </c>
      <c r="B37" s="22" t="s">
        <v>39</v>
      </c>
      <c r="C37" s="23">
        <v>229023210</v>
      </c>
      <c r="D37" s="23">
        <v>246081335</v>
      </c>
      <c r="E37" s="23">
        <f>D37-C37</f>
        <v>17058125</v>
      </c>
      <c r="F37" s="24">
        <f>IF(C37=0,0,E37/C37)</f>
        <v>7.4482079785712543E-2</v>
      </c>
    </row>
    <row r="38" spans="1:8" ht="24" customHeight="1" x14ac:dyDescent="0.25">
      <c r="A38" s="25"/>
      <c r="B38" s="26" t="s">
        <v>40</v>
      </c>
      <c r="C38" s="27">
        <f>C36-C37</f>
        <v>120715206</v>
      </c>
      <c r="D38" s="27">
        <f>D36-D37</f>
        <v>122240594</v>
      </c>
      <c r="E38" s="27">
        <f>D38-C38</f>
        <v>1525388</v>
      </c>
      <c r="F38" s="28">
        <f>IF(C38=0,0,E38/C38)</f>
        <v>1.2636253961244948E-2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3463048</v>
      </c>
      <c r="D40" s="23">
        <v>3186504</v>
      </c>
      <c r="E40" s="23">
        <f>D40-C40</f>
        <v>-276544</v>
      </c>
      <c r="F40" s="24">
        <f>IF(C40=0,0,E40/C40)</f>
        <v>-7.985566472078931E-2</v>
      </c>
    </row>
    <row r="41" spans="1:8" ht="24" customHeight="1" x14ac:dyDescent="0.25">
      <c r="A41" s="25"/>
      <c r="B41" s="26" t="s">
        <v>42</v>
      </c>
      <c r="C41" s="27">
        <f>+C38+C40</f>
        <v>124178254</v>
      </c>
      <c r="D41" s="27">
        <f>+D38+D40</f>
        <v>125427098</v>
      </c>
      <c r="E41" s="27">
        <f>D41-C41</f>
        <v>1248844</v>
      </c>
      <c r="F41" s="28">
        <f>IF(C41=0,0,E41/C41)</f>
        <v>1.0056865512056564E-2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320938892</v>
      </c>
      <c r="D43" s="27">
        <f>D22+D29+D31+D32+D33+D41</f>
        <v>336592228</v>
      </c>
      <c r="E43" s="27">
        <f>D43-C43</f>
        <v>15653336</v>
      </c>
      <c r="F43" s="28">
        <f>IF(C43=0,0,E43/C43)</f>
        <v>4.8773571512174346E-2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21371282</v>
      </c>
      <c r="D49" s="23">
        <v>25218831</v>
      </c>
      <c r="E49" s="23">
        <f t="shared" ref="E49:E56" si="2">D49-C49</f>
        <v>3847549</v>
      </c>
      <c r="F49" s="24">
        <f t="shared" ref="F49:F56" si="3">IF(C49=0,0,E49/C49)</f>
        <v>0.18003360771712246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13045926</v>
      </c>
      <c r="D50" s="23">
        <v>11779341</v>
      </c>
      <c r="E50" s="23">
        <f t="shared" si="2"/>
        <v>-1266585</v>
      </c>
      <c r="F50" s="24">
        <f t="shared" si="3"/>
        <v>-9.7086630722878542E-2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14739235</v>
      </c>
      <c r="D51" s="23">
        <v>19449485</v>
      </c>
      <c r="E51" s="23">
        <f t="shared" si="2"/>
        <v>4710250</v>
      </c>
      <c r="F51" s="24">
        <f t="shared" si="3"/>
        <v>0.31957221660418605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40867</v>
      </c>
      <c r="E52" s="23">
        <f t="shared" si="2"/>
        <v>40867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3514668</v>
      </c>
      <c r="D53" s="23">
        <v>3889577</v>
      </c>
      <c r="E53" s="23">
        <f t="shared" si="2"/>
        <v>374909</v>
      </c>
      <c r="F53" s="24">
        <f t="shared" si="3"/>
        <v>0.10666981916926435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19310583</v>
      </c>
      <c r="D55" s="23">
        <v>15934273</v>
      </c>
      <c r="E55" s="23">
        <f t="shared" si="2"/>
        <v>-3376310</v>
      </c>
      <c r="F55" s="24">
        <f t="shared" si="3"/>
        <v>-0.17484246850548221</v>
      </c>
    </row>
    <row r="56" spans="1:6" ht="24" customHeight="1" x14ac:dyDescent="0.25">
      <c r="A56" s="25"/>
      <c r="B56" s="26" t="s">
        <v>54</v>
      </c>
      <c r="C56" s="27">
        <f>SUM(C49:C55)</f>
        <v>71981694</v>
      </c>
      <c r="D56" s="27">
        <f>SUM(D49:D55)</f>
        <v>76312374</v>
      </c>
      <c r="E56" s="27">
        <f t="shared" si="2"/>
        <v>4330680</v>
      </c>
      <c r="F56" s="28">
        <f t="shared" si="3"/>
        <v>6.0163629936244627E-2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30545000</v>
      </c>
      <c r="D59" s="23">
        <v>28910000</v>
      </c>
      <c r="E59" s="23">
        <f>D59-C59</f>
        <v>-1635000</v>
      </c>
      <c r="F59" s="24">
        <f>IF(C59=0,0,E59/C59)</f>
        <v>-5.3527582255688329E-2</v>
      </c>
    </row>
    <row r="60" spans="1:6" ht="24" customHeight="1" x14ac:dyDescent="0.2">
      <c r="A60" s="21">
        <v>2</v>
      </c>
      <c r="B60" s="22" t="s">
        <v>57</v>
      </c>
      <c r="C60" s="23">
        <v>6266837</v>
      </c>
      <c r="D60" s="23">
        <v>5307519</v>
      </c>
      <c r="E60" s="23">
        <f>D60-C60</f>
        <v>-959318</v>
      </c>
      <c r="F60" s="24">
        <f>IF(C60=0,0,E60/C60)</f>
        <v>-0.15307849877059193</v>
      </c>
    </row>
    <row r="61" spans="1:6" ht="24" customHeight="1" x14ac:dyDescent="0.25">
      <c r="A61" s="25"/>
      <c r="B61" s="26" t="s">
        <v>58</v>
      </c>
      <c r="C61" s="27">
        <f>SUM(C59:C60)</f>
        <v>36811837</v>
      </c>
      <c r="D61" s="27">
        <f>SUM(D59:D60)</f>
        <v>34217519</v>
      </c>
      <c r="E61" s="27">
        <f>D61-C61</f>
        <v>-2594318</v>
      </c>
      <c r="F61" s="28">
        <f>IF(C61=0,0,E61/C61)</f>
        <v>-7.0475102886063526E-2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79467252</v>
      </c>
      <c r="D63" s="23">
        <v>80880107</v>
      </c>
      <c r="E63" s="23">
        <f>D63-C63</f>
        <v>1412855</v>
      </c>
      <c r="F63" s="24">
        <f>IF(C63=0,0,E63/C63)</f>
        <v>1.7779084647346306E-2</v>
      </c>
    </row>
    <row r="64" spans="1:6" ht="24" customHeight="1" x14ac:dyDescent="0.2">
      <c r="A64" s="21">
        <v>4</v>
      </c>
      <c r="B64" s="22" t="s">
        <v>60</v>
      </c>
      <c r="C64" s="23">
        <v>10192757</v>
      </c>
      <c r="D64" s="23">
        <v>11627088</v>
      </c>
      <c r="E64" s="23">
        <f>D64-C64</f>
        <v>1434331</v>
      </c>
      <c r="F64" s="24">
        <f>IF(C64=0,0,E64/C64)</f>
        <v>0.14072061170495873</v>
      </c>
    </row>
    <row r="65" spans="1:6" ht="24" customHeight="1" x14ac:dyDescent="0.25">
      <c r="A65" s="25"/>
      <c r="B65" s="26" t="s">
        <v>61</v>
      </c>
      <c r="C65" s="27">
        <f>SUM(C61:C64)</f>
        <v>126471846</v>
      </c>
      <c r="D65" s="27">
        <f>SUM(D61:D64)</f>
        <v>126724714</v>
      </c>
      <c r="E65" s="27">
        <f>D65-C65</f>
        <v>252868</v>
      </c>
      <c r="F65" s="28">
        <f>IF(C65=0,0,E65/C65)</f>
        <v>1.999401511068321E-3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87443879</v>
      </c>
      <c r="D70" s="23">
        <v>96622401</v>
      </c>
      <c r="E70" s="23">
        <f>D70-C70</f>
        <v>9178522</v>
      </c>
      <c r="F70" s="24">
        <f>IF(C70=0,0,E70/C70)</f>
        <v>0.10496471685571039</v>
      </c>
    </row>
    <row r="71" spans="1:6" ht="24" customHeight="1" x14ac:dyDescent="0.2">
      <c r="A71" s="21">
        <v>2</v>
      </c>
      <c r="B71" s="22" t="s">
        <v>65</v>
      </c>
      <c r="C71" s="23">
        <v>15200271</v>
      </c>
      <c r="D71" s="23">
        <v>16296477</v>
      </c>
      <c r="E71" s="23">
        <f>D71-C71</f>
        <v>1096206</v>
      </c>
      <c r="F71" s="24">
        <f>IF(C71=0,0,E71/C71)</f>
        <v>7.2117530009826805E-2</v>
      </c>
    </row>
    <row r="72" spans="1:6" ht="24" customHeight="1" x14ac:dyDescent="0.2">
      <c r="A72" s="21">
        <v>3</v>
      </c>
      <c r="B72" s="22" t="s">
        <v>66</v>
      </c>
      <c r="C72" s="23">
        <v>19841202</v>
      </c>
      <c r="D72" s="23">
        <v>20636262</v>
      </c>
      <c r="E72" s="23">
        <f>D72-C72</f>
        <v>795060</v>
      </c>
      <c r="F72" s="24">
        <f>IF(C72=0,0,E72/C72)</f>
        <v>4.0071161011313729E-2</v>
      </c>
    </row>
    <row r="73" spans="1:6" ht="24" customHeight="1" x14ac:dyDescent="0.25">
      <c r="A73" s="21"/>
      <c r="B73" s="26" t="s">
        <v>67</v>
      </c>
      <c r="C73" s="27">
        <f>SUM(C70:C72)</f>
        <v>122485352</v>
      </c>
      <c r="D73" s="27">
        <f>SUM(D70:D72)</f>
        <v>133555140</v>
      </c>
      <c r="E73" s="27">
        <f>D73-C73</f>
        <v>11069788</v>
      </c>
      <c r="F73" s="28">
        <f>IF(C73=0,0,E73/C73)</f>
        <v>9.0376423133437217E-2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320938892</v>
      </c>
      <c r="D75" s="27">
        <f>D56+D65+D67+D73</f>
        <v>336592228</v>
      </c>
      <c r="E75" s="27">
        <f>D75-C75</f>
        <v>15653336</v>
      </c>
      <c r="F75" s="28">
        <f>IF(C75=0,0,E75/C75)</f>
        <v>4.8773571512174346E-2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scale="74" fitToHeight="2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380041496</v>
      </c>
      <c r="D11" s="51">
        <v>401714458</v>
      </c>
      <c r="E11" s="51">
        <v>389909715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42620733</v>
      </c>
      <c r="D12" s="49">
        <v>62637235</v>
      </c>
      <c r="E12" s="49">
        <v>57009444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422662229</v>
      </c>
      <c r="D13" s="51">
        <f>+D11+D12</f>
        <v>464351693</v>
      </c>
      <c r="E13" s="51">
        <f>+E11+E12</f>
        <v>446919159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419169609</v>
      </c>
      <c r="D14" s="49">
        <v>452150688</v>
      </c>
      <c r="E14" s="49">
        <v>447201215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3492620</v>
      </c>
      <c r="D15" s="51">
        <f>+D13-D14</f>
        <v>12201005</v>
      </c>
      <c r="E15" s="51">
        <f>+E13-E14</f>
        <v>-282056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4202705</v>
      </c>
      <c r="D16" s="49">
        <v>2012555</v>
      </c>
      <c r="E16" s="49">
        <v>6751321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7695325</v>
      </c>
      <c r="D17" s="51">
        <f>D15+D16</f>
        <v>14213560</v>
      </c>
      <c r="E17" s="51">
        <f>E15+E16</f>
        <v>6469265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8.1820260269961642E-3</v>
      </c>
      <c r="D20" s="169">
        <f>IF(+D27=0,0,+D24/+D27)</f>
        <v>2.6161964713898908E-2</v>
      </c>
      <c r="E20" s="169">
        <f>IF(+E27=0,0,+E24/+E27)</f>
        <v>-6.2171997613774655E-4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9.8455147407352974E-3</v>
      </c>
      <c r="D21" s="169">
        <f>IF(+D27=0,0,+D26/+D27)</f>
        <v>4.3154144183024943E-3</v>
      </c>
      <c r="E21" s="169">
        <f>IF(+E27=0,0,+E26/+E27)</f>
        <v>1.4881552354916281E-2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1.8027540767731463E-2</v>
      </c>
      <c r="D22" s="169">
        <f>IF(+D27=0,0,+D28/+D27)</f>
        <v>3.0477379132201401E-2</v>
      </c>
      <c r="E22" s="169">
        <f>IF(+E27=0,0,+E28/+E27)</f>
        <v>1.4259832378778535E-2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3492620</v>
      </c>
      <c r="D24" s="51">
        <f>+D15</f>
        <v>12201005</v>
      </c>
      <c r="E24" s="51">
        <f>+E15</f>
        <v>-282056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422662229</v>
      </c>
      <c r="D25" s="51">
        <f>+D13</f>
        <v>464351693</v>
      </c>
      <c r="E25" s="51">
        <f>+E13</f>
        <v>446919159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4202705</v>
      </c>
      <c r="D26" s="51">
        <f>+D16</f>
        <v>2012555</v>
      </c>
      <c r="E26" s="51">
        <f>+E16</f>
        <v>6751321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426864934</v>
      </c>
      <c r="D27" s="51">
        <f>SUM(D25:D26)</f>
        <v>466364248</v>
      </c>
      <c r="E27" s="51">
        <f>SUM(E25:E26)</f>
        <v>453670480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7695325</v>
      </c>
      <c r="D28" s="51">
        <f>+D17</f>
        <v>14213560</v>
      </c>
      <c r="E28" s="51">
        <f>+E17</f>
        <v>6469265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172468493</v>
      </c>
      <c r="D31" s="51">
        <v>104848599</v>
      </c>
      <c r="E31" s="52">
        <v>117892402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207637196</v>
      </c>
      <c r="D32" s="51">
        <v>140054099</v>
      </c>
      <c r="E32" s="51">
        <v>154993818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-12629794</v>
      </c>
      <c r="D33" s="51">
        <f>+D32-C32</f>
        <v>-67583097</v>
      </c>
      <c r="E33" s="51">
        <f>+E32-D32</f>
        <v>14939719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0.94259999999999999</v>
      </c>
      <c r="D34" s="171">
        <f>IF(C32=0,0,+D33/C32)</f>
        <v>-0.32548646534409953</v>
      </c>
      <c r="E34" s="171">
        <f>IF(D32=0,0,+E33/D32)</f>
        <v>0.10667105858858154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1.2830748991989902</v>
      </c>
      <c r="D38" s="269">
        <f>IF(+D40=0,0,+D39/+D40)</f>
        <v>1.0981701421116434</v>
      </c>
      <c r="E38" s="269">
        <f>IF(+E40=0,0,+E39/+E40)</f>
        <v>1.1507704302590578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90273216</v>
      </c>
      <c r="D39" s="270">
        <v>96045618</v>
      </c>
      <c r="E39" s="270">
        <v>103976479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70356934</v>
      </c>
      <c r="D40" s="270">
        <v>87459688</v>
      </c>
      <c r="E40" s="270">
        <v>90353798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35.079637340676392</v>
      </c>
      <c r="D42" s="271">
        <f>IF((D48/365)=0,0,+D45/(D48/365))</f>
        <v>30.556785541864283</v>
      </c>
      <c r="E42" s="271">
        <f>IF((E48/365)=0,0,+E45/(E48/365))</f>
        <v>37.538435310015302</v>
      </c>
    </row>
    <row r="43" spans="1:14" ht="24" customHeight="1" x14ac:dyDescent="0.2">
      <c r="A43" s="17">
        <v>5</v>
      </c>
      <c r="B43" s="188" t="s">
        <v>16</v>
      </c>
      <c r="C43" s="272">
        <v>38406737</v>
      </c>
      <c r="D43" s="272">
        <v>36164805</v>
      </c>
      <c r="E43" s="272">
        <v>43866837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38406737</v>
      </c>
      <c r="D45" s="270">
        <f>+D43+D44</f>
        <v>36164805</v>
      </c>
      <c r="E45" s="270">
        <f>+E43+E44</f>
        <v>43866837</v>
      </c>
    </row>
    <row r="46" spans="1:14" ht="24" customHeight="1" x14ac:dyDescent="0.2">
      <c r="A46" s="17">
        <v>8</v>
      </c>
      <c r="B46" s="45" t="s">
        <v>324</v>
      </c>
      <c r="C46" s="270">
        <f>+C14</f>
        <v>419169609</v>
      </c>
      <c r="D46" s="270">
        <f>+D14</f>
        <v>452150688</v>
      </c>
      <c r="E46" s="270">
        <f>+E14</f>
        <v>447201215</v>
      </c>
    </row>
    <row r="47" spans="1:14" ht="24" customHeight="1" x14ac:dyDescent="0.2">
      <c r="A47" s="17">
        <v>9</v>
      </c>
      <c r="B47" s="45" t="s">
        <v>347</v>
      </c>
      <c r="C47" s="270">
        <v>19551481</v>
      </c>
      <c r="D47" s="270">
        <v>20163043</v>
      </c>
      <c r="E47" s="270">
        <v>20667840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399618128</v>
      </c>
      <c r="D48" s="270">
        <f>+D46-D47</f>
        <v>431987645</v>
      </c>
      <c r="E48" s="270">
        <f>+E46-E47</f>
        <v>426533375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25.524165892663468</v>
      </c>
      <c r="D50" s="278">
        <f>IF((D55/365)=0,0,+D54/(D55/365))</f>
        <v>22.75585605136472</v>
      </c>
      <c r="E50" s="278">
        <f>IF((E55/365)=0,0,+E54/(E55/365))</f>
        <v>19.102159919252077</v>
      </c>
    </row>
    <row r="51" spans="1:5" ht="24" customHeight="1" x14ac:dyDescent="0.2">
      <c r="A51" s="17">
        <v>12</v>
      </c>
      <c r="B51" s="188" t="s">
        <v>350</v>
      </c>
      <c r="C51" s="279">
        <v>39953225</v>
      </c>
      <c r="D51" s="279">
        <v>40346696</v>
      </c>
      <c r="E51" s="279">
        <v>40669114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13377219</v>
      </c>
      <c r="D53" s="270">
        <v>15301884</v>
      </c>
      <c r="E53" s="270">
        <v>20263312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26576006</v>
      </c>
      <c r="D54" s="280">
        <f>+D51+D52-D53</f>
        <v>25044812</v>
      </c>
      <c r="E54" s="280">
        <f>+E51+E52-E53</f>
        <v>20405802</v>
      </c>
    </row>
    <row r="55" spans="1:5" ht="24" customHeight="1" x14ac:dyDescent="0.2">
      <c r="A55" s="17">
        <v>16</v>
      </c>
      <c r="B55" s="45" t="s">
        <v>75</v>
      </c>
      <c r="C55" s="270">
        <f>+C11</f>
        <v>380041496</v>
      </c>
      <c r="D55" s="270">
        <f>+D11</f>
        <v>401714458</v>
      </c>
      <c r="E55" s="270">
        <f>+E11</f>
        <v>389909715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64.26205197077546</v>
      </c>
      <c r="D57" s="283">
        <f>IF((D61/365)=0,0,+D58/(D61/365))</f>
        <v>73.897451673646827</v>
      </c>
      <c r="E57" s="283">
        <f>IF((E61/365)=0,0,+E58/(E61/365))</f>
        <v>77.319005271275657</v>
      </c>
    </row>
    <row r="58" spans="1:5" ht="24" customHeight="1" x14ac:dyDescent="0.2">
      <c r="A58" s="17">
        <v>18</v>
      </c>
      <c r="B58" s="45" t="s">
        <v>54</v>
      </c>
      <c r="C58" s="281">
        <f>+C40</f>
        <v>70356934</v>
      </c>
      <c r="D58" s="281">
        <f>+D40</f>
        <v>87459688</v>
      </c>
      <c r="E58" s="281">
        <f>+E40</f>
        <v>90353798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419169609</v>
      </c>
      <c r="D59" s="281">
        <f t="shared" si="0"/>
        <v>452150688</v>
      </c>
      <c r="E59" s="281">
        <f t="shared" si="0"/>
        <v>447201215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19551481</v>
      </c>
      <c r="D60" s="176">
        <f t="shared" si="0"/>
        <v>20163043</v>
      </c>
      <c r="E60" s="176">
        <f t="shared" si="0"/>
        <v>20667840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399618128</v>
      </c>
      <c r="D61" s="281">
        <f>+D59-D60</f>
        <v>431987645</v>
      </c>
      <c r="E61" s="281">
        <f>+E59-E60</f>
        <v>426533375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53.91204340093384</v>
      </c>
      <c r="D65" s="284">
        <f>IF(D67=0,0,(D66/D67)*100)</f>
        <v>35.00314649208083</v>
      </c>
      <c r="E65" s="284">
        <f>IF(E67=0,0,(E66/E67)*100)</f>
        <v>36.841221051096625</v>
      </c>
    </row>
    <row r="66" spans="1:5" ht="24" customHeight="1" x14ac:dyDescent="0.2">
      <c r="A66" s="17">
        <v>2</v>
      </c>
      <c r="B66" s="45" t="s">
        <v>67</v>
      </c>
      <c r="C66" s="281">
        <f>+C32</f>
        <v>207637196</v>
      </c>
      <c r="D66" s="281">
        <f>+D32</f>
        <v>140054099</v>
      </c>
      <c r="E66" s="281">
        <f>+E32</f>
        <v>154993818</v>
      </c>
    </row>
    <row r="67" spans="1:5" ht="24" customHeight="1" x14ac:dyDescent="0.2">
      <c r="A67" s="17">
        <v>3</v>
      </c>
      <c r="B67" s="45" t="s">
        <v>43</v>
      </c>
      <c r="C67" s="281">
        <v>385140653</v>
      </c>
      <c r="D67" s="281">
        <v>400118598</v>
      </c>
      <c r="E67" s="281">
        <v>420707603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20.691271074508084</v>
      </c>
      <c r="D69" s="284">
        <f>IF(D75=0,0,(D72/D75)*100)</f>
        <v>23.803496608334743</v>
      </c>
      <c r="E69" s="284">
        <f>IF(E75=0,0,(E72/E75)*100)</f>
        <v>18.588228513674643</v>
      </c>
    </row>
    <row r="70" spans="1:5" ht="24" customHeight="1" x14ac:dyDescent="0.2">
      <c r="A70" s="17">
        <v>5</v>
      </c>
      <c r="B70" s="45" t="s">
        <v>358</v>
      </c>
      <c r="C70" s="281">
        <f>+C28</f>
        <v>7695325</v>
      </c>
      <c r="D70" s="281">
        <f>+D28</f>
        <v>14213560</v>
      </c>
      <c r="E70" s="281">
        <f>+E28</f>
        <v>6469265</v>
      </c>
    </row>
    <row r="71" spans="1:5" ht="24" customHeight="1" x14ac:dyDescent="0.2">
      <c r="A71" s="17">
        <v>6</v>
      </c>
      <c r="B71" s="45" t="s">
        <v>347</v>
      </c>
      <c r="C71" s="176">
        <f>+C47</f>
        <v>19551481</v>
      </c>
      <c r="D71" s="176">
        <f>+D47</f>
        <v>20163043</v>
      </c>
      <c r="E71" s="176">
        <f>+E47</f>
        <v>20667840</v>
      </c>
    </row>
    <row r="72" spans="1:5" ht="35.25" customHeight="1" x14ac:dyDescent="0.2">
      <c r="A72" s="17">
        <v>7</v>
      </c>
      <c r="B72" s="45" t="s">
        <v>359</v>
      </c>
      <c r="C72" s="281">
        <f>+C70+C71</f>
        <v>27246806</v>
      </c>
      <c r="D72" s="281">
        <f>+D70+D71</f>
        <v>34376603</v>
      </c>
      <c r="E72" s="281">
        <f>+E70+E71</f>
        <v>27137105</v>
      </c>
    </row>
    <row r="73" spans="1:5" ht="24" customHeight="1" x14ac:dyDescent="0.2">
      <c r="A73" s="17">
        <v>8</v>
      </c>
      <c r="B73" s="45" t="s">
        <v>54</v>
      </c>
      <c r="C73" s="270">
        <f>+C40</f>
        <v>70356934</v>
      </c>
      <c r="D73" s="270">
        <f>+D40</f>
        <v>87459688</v>
      </c>
      <c r="E73" s="270">
        <f>+E40</f>
        <v>90353798</v>
      </c>
    </row>
    <row r="74" spans="1:5" ht="24" customHeight="1" x14ac:dyDescent="0.2">
      <c r="A74" s="17">
        <v>9</v>
      </c>
      <c r="B74" s="45" t="s">
        <v>58</v>
      </c>
      <c r="C74" s="281">
        <v>61325677</v>
      </c>
      <c r="D74" s="281">
        <v>56958603</v>
      </c>
      <c r="E74" s="281">
        <v>55637010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131682611</v>
      </c>
      <c r="D75" s="270">
        <f>+D73+D74</f>
        <v>144418291</v>
      </c>
      <c r="E75" s="270">
        <f>+E73+E74</f>
        <v>145990808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22.800796376085707</v>
      </c>
      <c r="D77" s="286">
        <f>IF(D80=0,0,(D78/D80)*100)</f>
        <v>28.911132339071216</v>
      </c>
      <c r="E77" s="286">
        <f>IF(E80=0,0,(E78/E80)*100)</f>
        <v>26.414466737034331</v>
      </c>
    </row>
    <row r="78" spans="1:5" ht="24" customHeight="1" x14ac:dyDescent="0.2">
      <c r="A78" s="17">
        <v>12</v>
      </c>
      <c r="B78" s="45" t="s">
        <v>58</v>
      </c>
      <c r="C78" s="270">
        <f>+C74</f>
        <v>61325677</v>
      </c>
      <c r="D78" s="270">
        <f>+D74</f>
        <v>56958603</v>
      </c>
      <c r="E78" s="270">
        <f>+E74</f>
        <v>55637010</v>
      </c>
    </row>
    <row r="79" spans="1:5" ht="24" customHeight="1" x14ac:dyDescent="0.2">
      <c r="A79" s="17">
        <v>13</v>
      </c>
      <c r="B79" s="45" t="s">
        <v>67</v>
      </c>
      <c r="C79" s="270">
        <f>+C32</f>
        <v>207637196</v>
      </c>
      <c r="D79" s="270">
        <f>+D32</f>
        <v>140054099</v>
      </c>
      <c r="E79" s="270">
        <f>+E32</f>
        <v>154993818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268962873</v>
      </c>
      <c r="D80" s="270">
        <f>+D78+D79</f>
        <v>197012702</v>
      </c>
      <c r="E80" s="270">
        <f>+E78+E79</f>
        <v>210630828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FILING&amp;R&amp;8CENTRAL CT HEALTH ALLIANCE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56535</v>
      </c>
      <c r="D11" s="297">
        <v>216</v>
      </c>
      <c r="E11" s="297">
        <v>227</v>
      </c>
      <c r="F11" s="298">
        <f>IF(D11=0,0,$C11/(D11*365))</f>
        <v>0.71708523592085238</v>
      </c>
      <c r="G11" s="298">
        <f>IF(E11=0,0,$C11/(E11*365))</f>
        <v>0.68233661215376262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7080</v>
      </c>
      <c r="D13" s="297">
        <v>32</v>
      </c>
      <c r="E13" s="297">
        <v>32</v>
      </c>
      <c r="F13" s="298">
        <f>IF(D13=0,0,$C13/(D13*365))</f>
        <v>0.60616438356164382</v>
      </c>
      <c r="G13" s="298">
        <f>IF(E13=0,0,$C13/(E13*365))</f>
        <v>0.60616438356164382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6294</v>
      </c>
      <c r="D16" s="297">
        <v>22</v>
      </c>
      <c r="E16" s="297">
        <v>24</v>
      </c>
      <c r="F16" s="298">
        <f t="shared" si="0"/>
        <v>0.78381070983810708</v>
      </c>
      <c r="G16" s="298">
        <f t="shared" si="0"/>
        <v>0.71849315068493147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6294</v>
      </c>
      <c r="D17" s="300">
        <f>SUM(D15:D16)</f>
        <v>22</v>
      </c>
      <c r="E17" s="300">
        <f>SUM(E15:E16)</f>
        <v>24</v>
      </c>
      <c r="F17" s="301">
        <f t="shared" si="0"/>
        <v>0.78381070983810708</v>
      </c>
      <c r="G17" s="301">
        <f t="shared" si="0"/>
        <v>0.71849315068493147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5239</v>
      </c>
      <c r="D21" s="297">
        <v>25</v>
      </c>
      <c r="E21" s="297">
        <v>27</v>
      </c>
      <c r="F21" s="298">
        <f>IF(D21=0,0,$C21/(D21*365))</f>
        <v>0.57413698630136989</v>
      </c>
      <c r="G21" s="298">
        <f>IF(E21=0,0,$C21/(E21*365))</f>
        <v>0.53160832064941654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4018</v>
      </c>
      <c r="D23" s="297">
        <v>20</v>
      </c>
      <c r="E23" s="297">
        <v>20</v>
      </c>
      <c r="F23" s="298">
        <f>IF(D23=0,0,$C23/(D23*365))</f>
        <v>0.55041095890410963</v>
      </c>
      <c r="G23" s="298">
        <f>IF(E23=0,0,$C23/(E23*365))</f>
        <v>0.55041095890410963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1823</v>
      </c>
      <c r="D25" s="297">
        <v>12</v>
      </c>
      <c r="E25" s="297">
        <v>12</v>
      </c>
      <c r="F25" s="298">
        <f>IF(D25=0,0,$C25/(D25*365))</f>
        <v>0.41621004566210046</v>
      </c>
      <c r="G25" s="298">
        <f>IF(E25=0,0,$C25/(E25*365))</f>
        <v>0.41621004566210046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883</v>
      </c>
      <c r="D27" s="297">
        <v>14</v>
      </c>
      <c r="E27" s="297">
        <v>14</v>
      </c>
      <c r="F27" s="298">
        <f>IF(D27=0,0,$C27/(D27*365))</f>
        <v>0.17279843444227005</v>
      </c>
      <c r="G27" s="298">
        <f>IF(E27=0,0,$C27/(E27*365))</f>
        <v>0.17279843444227005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77854</v>
      </c>
      <c r="D31" s="300">
        <f>SUM(D10:D29)-D17-D23</f>
        <v>321</v>
      </c>
      <c r="E31" s="300">
        <f>SUM(E10:E29)-E17-E23</f>
        <v>336</v>
      </c>
      <c r="F31" s="301">
        <f>IF(D31=0,0,$C31/(D31*365))</f>
        <v>0.66448171382238719</v>
      </c>
      <c r="G31" s="301">
        <f>IF(E31=0,0,$C31/(E31*365))</f>
        <v>0.63481735159817354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81872</v>
      </c>
      <c r="D33" s="300">
        <f>SUM(D10:D29)-D17</f>
        <v>341</v>
      </c>
      <c r="E33" s="300">
        <f>SUM(E10:E29)-E17</f>
        <v>356</v>
      </c>
      <c r="F33" s="301">
        <f>IF(D33=0,0,$C33/(D33*365))</f>
        <v>0.65779134696501029</v>
      </c>
      <c r="G33" s="301">
        <f>IF(E33=0,0,$C33/(E33*365))</f>
        <v>0.63007541942434975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81872</v>
      </c>
      <c r="D36" s="300">
        <f>+D33</f>
        <v>341</v>
      </c>
      <c r="E36" s="300">
        <f>+E33</f>
        <v>356</v>
      </c>
      <c r="F36" s="301">
        <f>+F33</f>
        <v>0.65779134696501029</v>
      </c>
      <c r="G36" s="301">
        <f>+G33</f>
        <v>0.63007541942434975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86498</v>
      </c>
      <c r="D37" s="302">
        <v>349</v>
      </c>
      <c r="E37" s="302">
        <v>370</v>
      </c>
      <c r="F37" s="301">
        <f>IF(D37=0,0,$C37/(D37*365))</f>
        <v>0.67902814303096914</v>
      </c>
      <c r="G37" s="301">
        <f>IF(E37=0,0,$C37/(E37*365))</f>
        <v>0.64048870788596812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-4626</v>
      </c>
      <c r="D38" s="300">
        <f>+D36-D37</f>
        <v>-8</v>
      </c>
      <c r="E38" s="300">
        <f>+E36-E37</f>
        <v>-14</v>
      </c>
      <c r="F38" s="301">
        <f>+F36-F37</f>
        <v>-2.1236796065958852E-2</v>
      </c>
      <c r="G38" s="301">
        <f>+G36-G37</f>
        <v>-1.0413288461618375E-2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-5.3481005341163956E-2</v>
      </c>
      <c r="D40" s="148">
        <f>IF(D37=0,0,D38/D37)</f>
        <v>-2.2922636103151862E-2</v>
      </c>
      <c r="E40" s="148">
        <f>IF(E37=0,0,E38/E37)</f>
        <v>-3.783783783783784E-2</v>
      </c>
      <c r="F40" s="148">
        <f>IF(F37=0,0,F38/F37)</f>
        <v>-3.127528112629388E-2</v>
      </c>
      <c r="G40" s="148">
        <f>IF(G37=0,0,G38/G37)</f>
        <v>-1.6258348247838814E-2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446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12093</v>
      </c>
      <c r="D12" s="296">
        <v>10911</v>
      </c>
      <c r="E12" s="296">
        <f>+D12-C12</f>
        <v>-1182</v>
      </c>
      <c r="F12" s="316">
        <f>IF(C12=0,0,+E12/C12)</f>
        <v>-9.7742495658645498E-2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9470</v>
      </c>
      <c r="D13" s="296">
        <v>8947</v>
      </c>
      <c r="E13" s="296">
        <f>+D13-C13</f>
        <v>-523</v>
      </c>
      <c r="F13" s="316">
        <f>IF(C13=0,0,+E13/C13)</f>
        <v>-5.5227032734952483E-2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16232</v>
      </c>
      <c r="D14" s="296">
        <v>15336</v>
      </c>
      <c r="E14" s="296">
        <f>+D14-C14</f>
        <v>-896</v>
      </c>
      <c r="F14" s="316">
        <f>IF(C14=0,0,+E14/C14)</f>
        <v>-5.5199605717102022E-2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37795</v>
      </c>
      <c r="D16" s="300">
        <f>SUM(D12:D15)</f>
        <v>35194</v>
      </c>
      <c r="E16" s="300">
        <f>+D16-C16</f>
        <v>-2601</v>
      </c>
      <c r="F16" s="309">
        <f>IF(C16=0,0,+E16/C16)</f>
        <v>-6.8818626802487098E-2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343</v>
      </c>
      <c r="D19" s="296">
        <v>315</v>
      </c>
      <c r="E19" s="296">
        <f>+D19-C19</f>
        <v>-28</v>
      </c>
      <c r="F19" s="316">
        <f>IF(C19=0,0,+E19/C19)</f>
        <v>-8.1632653061224483E-2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3736</v>
      </c>
      <c r="D20" s="296">
        <v>3193</v>
      </c>
      <c r="E20" s="296">
        <f>+D20-C20</f>
        <v>-543</v>
      </c>
      <c r="F20" s="316">
        <f>IF(C20=0,0,+E20/C20)</f>
        <v>-0.1453426124197002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24</v>
      </c>
      <c r="D21" s="296">
        <v>25</v>
      </c>
      <c r="E21" s="296">
        <f>+D21-C21</f>
        <v>1</v>
      </c>
      <c r="F21" s="316">
        <f>IF(C21=0,0,+E21/C21)</f>
        <v>4.1666666666666664E-2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3780</v>
      </c>
      <c r="D22" s="296">
        <v>3432</v>
      </c>
      <c r="E22" s="296">
        <f>+D22-C22</f>
        <v>-348</v>
      </c>
      <c r="F22" s="316">
        <f>IF(C22=0,0,+E22/C22)</f>
        <v>-9.2063492063492069E-2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7883</v>
      </c>
      <c r="D23" s="300">
        <f>SUM(D19:D22)</f>
        <v>6965</v>
      </c>
      <c r="E23" s="300">
        <f>+D23-C23</f>
        <v>-918</v>
      </c>
      <c r="F23" s="309">
        <f>IF(C23=0,0,+E23/C23)</f>
        <v>-0.11645312698211341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89</v>
      </c>
      <c r="D29" s="296">
        <v>0</v>
      </c>
      <c r="E29" s="296">
        <f>+D29-C29</f>
        <v>-89</v>
      </c>
      <c r="F29" s="316">
        <f>IF(C29=0,0,+E29/C29)</f>
        <v>-1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89</v>
      </c>
      <c r="D30" s="300">
        <f>SUM(D26:D29)</f>
        <v>0</v>
      </c>
      <c r="E30" s="300">
        <f>+D30-C30</f>
        <v>-89</v>
      </c>
      <c r="F30" s="309">
        <f>IF(C30=0,0,+E30/C30)</f>
        <v>-1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25</v>
      </c>
      <c r="D33" s="296">
        <v>34</v>
      </c>
      <c r="E33" s="296">
        <f>+D33-C33</f>
        <v>9</v>
      </c>
      <c r="F33" s="316">
        <f>IF(C33=0,0,+E33/C33)</f>
        <v>0.36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317</v>
      </c>
      <c r="D34" s="296">
        <v>333</v>
      </c>
      <c r="E34" s="296">
        <f>+D34-C34</f>
        <v>16</v>
      </c>
      <c r="F34" s="316">
        <f>IF(C34=0,0,+E34/C34)</f>
        <v>5.0473186119873815E-2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1</v>
      </c>
      <c r="D35" s="296">
        <v>2</v>
      </c>
      <c r="E35" s="296">
        <f>+D35-C35</f>
        <v>1</v>
      </c>
      <c r="F35" s="316">
        <f>IF(C35=0,0,+E35/C35)</f>
        <v>1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343</v>
      </c>
      <c r="D37" s="300">
        <f>SUM(D33:D36)</f>
        <v>369</v>
      </c>
      <c r="E37" s="300">
        <f>+D37-C37</f>
        <v>26</v>
      </c>
      <c r="F37" s="309">
        <f>IF(C37=0,0,+E37/C37)</f>
        <v>7.5801749271137031E-2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256</v>
      </c>
      <c r="D43" s="296">
        <v>218</v>
      </c>
      <c r="E43" s="296">
        <f>+D43-C43</f>
        <v>-38</v>
      </c>
      <c r="F43" s="316">
        <f>IF(C43=0,0,+E43/C43)</f>
        <v>-0.1484375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7759</v>
      </c>
      <c r="D44" s="296">
        <v>6585</v>
      </c>
      <c r="E44" s="296">
        <f>+D44-C44</f>
        <v>-1174</v>
      </c>
      <c r="F44" s="316">
        <f>IF(C44=0,0,+E44/C44)</f>
        <v>-0.15130815826781802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8015</v>
      </c>
      <c r="D45" s="300">
        <f>SUM(D43:D44)</f>
        <v>6803</v>
      </c>
      <c r="E45" s="300">
        <f>+D45-C45</f>
        <v>-1212</v>
      </c>
      <c r="F45" s="309">
        <f>IF(C45=0,0,+E45/C45)</f>
        <v>-0.15121646912039924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343</v>
      </c>
      <c r="D48" s="296">
        <v>282</v>
      </c>
      <c r="E48" s="296">
        <f>+D48-C48</f>
        <v>-61</v>
      </c>
      <c r="F48" s="316">
        <f>IF(C48=0,0,+E48/C48)</f>
        <v>-0.17784256559766765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332</v>
      </c>
      <c r="D49" s="296">
        <v>294</v>
      </c>
      <c r="E49" s="296">
        <f>+D49-C49</f>
        <v>-38</v>
      </c>
      <c r="F49" s="316">
        <f>IF(C49=0,0,+E49/C49)</f>
        <v>-0.1144578313253012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675</v>
      </c>
      <c r="D50" s="300">
        <f>SUM(D48:D49)</f>
        <v>576</v>
      </c>
      <c r="E50" s="300">
        <f>+D50-C50</f>
        <v>-99</v>
      </c>
      <c r="F50" s="309">
        <f>IF(C50=0,0,+E50/C50)</f>
        <v>-0.14666666666666667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76</v>
      </c>
      <c r="D53" s="296">
        <v>112</v>
      </c>
      <c r="E53" s="296">
        <f>+D53-C53</f>
        <v>36</v>
      </c>
      <c r="F53" s="316">
        <f>IF(C53=0,0,+E53/C53)</f>
        <v>0.47368421052631576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76</v>
      </c>
      <c r="D55" s="300">
        <f>SUM(D53:D54)</f>
        <v>112</v>
      </c>
      <c r="E55" s="300">
        <f>+D55-C55</f>
        <v>36</v>
      </c>
      <c r="F55" s="309">
        <f>IF(C55=0,0,+E55/C55)</f>
        <v>0.47368421052631576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4288</v>
      </c>
      <c r="D63" s="296">
        <v>4254</v>
      </c>
      <c r="E63" s="296">
        <f>+D63-C63</f>
        <v>-34</v>
      </c>
      <c r="F63" s="316">
        <f>IF(C63=0,0,+E63/C63)</f>
        <v>-7.9291044776119406E-3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6990</v>
      </c>
      <c r="D64" s="296">
        <v>6503</v>
      </c>
      <c r="E64" s="296">
        <f>+D64-C64</f>
        <v>-487</v>
      </c>
      <c r="F64" s="316">
        <f>IF(C64=0,0,+E64/C64)</f>
        <v>-6.9670958512160222E-2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11278</v>
      </c>
      <c r="D65" s="300">
        <f>SUM(D63:D64)</f>
        <v>10757</v>
      </c>
      <c r="E65" s="300">
        <f>+D65-C65</f>
        <v>-521</v>
      </c>
      <c r="F65" s="309">
        <f>IF(C65=0,0,+E65/C65)</f>
        <v>-4.6196134066323814E-2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1366</v>
      </c>
      <c r="D68" s="296">
        <v>1325</v>
      </c>
      <c r="E68" s="296">
        <f>+D68-C68</f>
        <v>-41</v>
      </c>
      <c r="F68" s="316">
        <f>IF(C68=0,0,+E68/C68)</f>
        <v>-3.0014641288433383E-2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6251</v>
      </c>
      <c r="D69" s="296">
        <v>7037</v>
      </c>
      <c r="E69" s="296">
        <f>+D69-C69</f>
        <v>786</v>
      </c>
      <c r="F69" s="318">
        <f>IF(C69=0,0,+E69/C69)</f>
        <v>0.12573988161894098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7617</v>
      </c>
      <c r="D70" s="300">
        <f>SUM(D68:D69)</f>
        <v>8362</v>
      </c>
      <c r="E70" s="300">
        <f>+D70-C70</f>
        <v>745</v>
      </c>
      <c r="F70" s="309">
        <f>IF(C70=0,0,+E70/C70)</f>
        <v>9.7807535775239596E-2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15137</v>
      </c>
      <c r="D73" s="319">
        <v>15051</v>
      </c>
      <c r="E73" s="296">
        <f>+D73-C73</f>
        <v>-86</v>
      </c>
      <c r="F73" s="316">
        <f>IF(C73=0,0,+E73/C73)</f>
        <v>-5.6814428222236903E-3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87919</v>
      </c>
      <c r="D74" s="319">
        <v>90611</v>
      </c>
      <c r="E74" s="296">
        <f>+D74-C74</f>
        <v>2692</v>
      </c>
      <c r="F74" s="316">
        <f>IF(C74=0,0,+E74/C74)</f>
        <v>3.0619092573846381E-2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103056</v>
      </c>
      <c r="D75" s="300">
        <f>SUM(D73:D74)</f>
        <v>105662</v>
      </c>
      <c r="E75" s="300">
        <f>SUM(E73:E74)</f>
        <v>2606</v>
      </c>
      <c r="F75" s="309">
        <f>IF(C75=0,0,+E75/C75)</f>
        <v>2.5287222480981215E-2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21304</v>
      </c>
      <c r="D79" s="319">
        <v>22258</v>
      </c>
      <c r="E79" s="296">
        <f t="shared" ref="E79:E84" si="0">+D79-C79</f>
        <v>954</v>
      </c>
      <c r="F79" s="316">
        <f t="shared" ref="F79:F84" si="1">IF(C79=0,0,+E79/C79)</f>
        <v>4.4780322944048066E-2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58469</v>
      </c>
      <c r="D81" s="319">
        <v>63401</v>
      </c>
      <c r="E81" s="296">
        <f t="shared" si="0"/>
        <v>4932</v>
      </c>
      <c r="F81" s="316">
        <f t="shared" si="1"/>
        <v>8.435239186577502E-2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4221</v>
      </c>
      <c r="D82" s="319">
        <v>4196</v>
      </c>
      <c r="E82" s="296">
        <f t="shared" si="0"/>
        <v>-25</v>
      </c>
      <c r="F82" s="316">
        <f t="shared" si="1"/>
        <v>-5.9227671167969677E-3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14268</v>
      </c>
      <c r="D83" s="319">
        <v>16418</v>
      </c>
      <c r="E83" s="296">
        <f t="shared" si="0"/>
        <v>2150</v>
      </c>
      <c r="F83" s="316">
        <f t="shared" si="1"/>
        <v>0.15068685169610316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98262</v>
      </c>
      <c r="D84" s="320">
        <f>SUM(D79:D83)</f>
        <v>106273</v>
      </c>
      <c r="E84" s="300">
        <f t="shared" si="0"/>
        <v>8011</v>
      </c>
      <c r="F84" s="309">
        <f t="shared" si="1"/>
        <v>8.1526938185666892E-2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33560</v>
      </c>
      <c r="D87" s="322">
        <v>34694</v>
      </c>
      <c r="E87" s="323">
        <f t="shared" ref="E87:E92" si="2">+D87-C87</f>
        <v>1134</v>
      </c>
      <c r="F87" s="318">
        <f t="shared" ref="F87:F92" si="3">IF(C87=0,0,+E87/C87)</f>
        <v>3.3790226460071515E-2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5878</v>
      </c>
      <c r="D88" s="322">
        <v>6010</v>
      </c>
      <c r="E88" s="296">
        <f t="shared" si="2"/>
        <v>132</v>
      </c>
      <c r="F88" s="316">
        <f t="shared" si="3"/>
        <v>2.2456617897243961E-2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3976</v>
      </c>
      <c r="D89" s="322">
        <v>3929</v>
      </c>
      <c r="E89" s="296">
        <f t="shared" si="2"/>
        <v>-47</v>
      </c>
      <c r="F89" s="316">
        <f t="shared" si="3"/>
        <v>-1.1820925553319919E-2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398</v>
      </c>
      <c r="D90" s="322">
        <v>349</v>
      </c>
      <c r="E90" s="296">
        <f t="shared" si="2"/>
        <v>-49</v>
      </c>
      <c r="F90" s="316">
        <f t="shared" si="3"/>
        <v>-0.12311557788944724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33177</v>
      </c>
      <c r="D91" s="322">
        <v>31555</v>
      </c>
      <c r="E91" s="296">
        <f t="shared" si="2"/>
        <v>-1622</v>
      </c>
      <c r="F91" s="316">
        <f t="shared" si="3"/>
        <v>-4.8889290773728791E-2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76989</v>
      </c>
      <c r="D92" s="320">
        <f>SUM(D87:D91)</f>
        <v>76537</v>
      </c>
      <c r="E92" s="300">
        <f t="shared" si="2"/>
        <v>-452</v>
      </c>
      <c r="F92" s="309">
        <f t="shared" si="3"/>
        <v>-5.870968579927003E-3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647.5</v>
      </c>
      <c r="D96" s="325">
        <v>634.29999999999995</v>
      </c>
      <c r="E96" s="326">
        <f>+D96-C96</f>
        <v>-13.200000000000045</v>
      </c>
      <c r="F96" s="316">
        <f>IF(C96=0,0,+E96/C96)</f>
        <v>-2.0386100386100458E-2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111.9</v>
      </c>
      <c r="D97" s="325">
        <v>111</v>
      </c>
      <c r="E97" s="326">
        <f>+D97-C97</f>
        <v>-0.90000000000000568</v>
      </c>
      <c r="F97" s="316">
        <f>IF(C97=0,0,+E97/C97)</f>
        <v>-8.0428954423592998E-3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1464.8</v>
      </c>
      <c r="D98" s="325">
        <v>1420.8</v>
      </c>
      <c r="E98" s="326">
        <f>+D98-C98</f>
        <v>-44</v>
      </c>
      <c r="F98" s="316">
        <f>IF(C98=0,0,+E98/C98)</f>
        <v>-3.0038230475150193E-2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2224.1999999999998</v>
      </c>
      <c r="D99" s="327">
        <f>SUM(D96:D98)</f>
        <v>2166.1</v>
      </c>
      <c r="E99" s="327">
        <f>+D99-C99</f>
        <v>-58.099999999999909</v>
      </c>
      <c r="F99" s="309">
        <f>IF(C99=0,0,+E99/C99)</f>
        <v>-2.6121751641039435E-2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6990</v>
      </c>
      <c r="D12" s="296">
        <v>6503</v>
      </c>
      <c r="E12" s="296">
        <f>+D12-C12</f>
        <v>-487</v>
      </c>
      <c r="F12" s="316">
        <f>IF(C12=0,0,+E12/C12)</f>
        <v>-6.9670958512160222E-2</v>
      </c>
    </row>
    <row r="13" spans="1:16" ht="15.75" customHeight="1" x14ac:dyDescent="0.25">
      <c r="A13" s="294"/>
      <c r="B13" s="135" t="s">
        <v>584</v>
      </c>
      <c r="C13" s="300">
        <f>SUM(C11:C12)</f>
        <v>6990</v>
      </c>
      <c r="D13" s="300">
        <f>SUM(D11:D12)</f>
        <v>6503</v>
      </c>
      <c r="E13" s="300">
        <f>+D13-C13</f>
        <v>-487</v>
      </c>
      <c r="F13" s="309">
        <f>IF(C13=0,0,+E13/C13)</f>
        <v>-6.9670958512160222E-2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6251</v>
      </c>
      <c r="D16" s="296">
        <v>7037</v>
      </c>
      <c r="E16" s="296">
        <f>+D16-C16</f>
        <v>786</v>
      </c>
      <c r="F16" s="316">
        <f>IF(C16=0,0,+E16/C16)</f>
        <v>0.12573988161894098</v>
      </c>
    </row>
    <row r="17" spans="1:6" ht="15.75" customHeight="1" x14ac:dyDescent="0.25">
      <c r="A17" s="294"/>
      <c r="B17" s="135" t="s">
        <v>585</v>
      </c>
      <c r="C17" s="300">
        <f>SUM(C15:C16)</f>
        <v>6251</v>
      </c>
      <c r="D17" s="300">
        <f>SUM(D15:D16)</f>
        <v>7037</v>
      </c>
      <c r="E17" s="300">
        <f>+D17-C17</f>
        <v>786</v>
      </c>
      <c r="F17" s="309">
        <f>IF(C17=0,0,+E17/C17)</f>
        <v>0.12573988161894098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87919</v>
      </c>
      <c r="D20" s="296">
        <v>90611</v>
      </c>
      <c r="E20" s="296">
        <f>+D20-C20</f>
        <v>2692</v>
      </c>
      <c r="F20" s="316">
        <f>IF(C20=0,0,+E20/C20)</f>
        <v>3.0619092573846381E-2</v>
      </c>
    </row>
    <row r="21" spans="1:6" ht="15.75" customHeight="1" x14ac:dyDescent="0.25">
      <c r="A21" s="294"/>
      <c r="B21" s="135" t="s">
        <v>587</v>
      </c>
      <c r="C21" s="300">
        <f>SUM(C19:C20)</f>
        <v>87919</v>
      </c>
      <c r="D21" s="300">
        <f>SUM(D19:D20)</f>
        <v>90611</v>
      </c>
      <c r="E21" s="300">
        <f>+D21-C21</f>
        <v>2692</v>
      </c>
      <c r="F21" s="309">
        <f>IF(C21=0,0,+E21/C21)</f>
        <v>3.0619092573846381E-2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241645342</v>
      </c>
      <c r="D15" s="361">
        <v>229942065</v>
      </c>
      <c r="E15" s="361">
        <f t="shared" ref="E15:E24" si="0">D15-C15</f>
        <v>-11703277</v>
      </c>
      <c r="F15" s="362">
        <f t="shared" ref="F15:F24" si="1">IF(C15=0,0,E15/C15)</f>
        <v>-4.8431626710189184E-2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96234355</v>
      </c>
      <c r="D16" s="361">
        <v>92780179</v>
      </c>
      <c r="E16" s="361">
        <f t="shared" si="0"/>
        <v>-3454176</v>
      </c>
      <c r="F16" s="362">
        <f t="shared" si="1"/>
        <v>-3.5893377162448899E-2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0.39824626538838892</v>
      </c>
      <c r="D17" s="366">
        <f>IF(LN_IA1=0,0,LN_IA2/LN_IA1)</f>
        <v>0.40349371916791299</v>
      </c>
      <c r="E17" s="367">
        <f t="shared" si="0"/>
        <v>5.2474537795240694E-3</v>
      </c>
      <c r="F17" s="362">
        <f t="shared" si="1"/>
        <v>1.3176404239237499E-2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9221</v>
      </c>
      <c r="D18" s="369">
        <v>8738</v>
      </c>
      <c r="E18" s="369">
        <f t="shared" si="0"/>
        <v>-483</v>
      </c>
      <c r="F18" s="362">
        <f t="shared" si="1"/>
        <v>-5.2380435961392476E-2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1.3560000000000001</v>
      </c>
      <c r="D19" s="372">
        <v>1.3634299999999999</v>
      </c>
      <c r="E19" s="373">
        <f t="shared" si="0"/>
        <v>7.4299999999998256E-3</v>
      </c>
      <c r="F19" s="362">
        <f t="shared" si="1"/>
        <v>5.4793510324482484E-3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12503.676000000001</v>
      </c>
      <c r="D20" s="376">
        <f>LN_IA4*LN_IA5</f>
        <v>11913.651339999999</v>
      </c>
      <c r="E20" s="376">
        <f t="shared" si="0"/>
        <v>-590.02466000000277</v>
      </c>
      <c r="F20" s="362">
        <f t="shared" si="1"/>
        <v>-4.7188095724809462E-2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7696.4850176859982</v>
      </c>
      <c r="D21" s="378">
        <f>IF(LN_IA6=0,0,LN_IA2/LN_IA6)</f>
        <v>7787.7198477759057</v>
      </c>
      <c r="E21" s="378">
        <f t="shared" si="0"/>
        <v>91.234830089907518</v>
      </c>
      <c r="F21" s="362">
        <f t="shared" si="1"/>
        <v>1.1854090520576094E-2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46773</v>
      </c>
      <c r="D22" s="369">
        <v>42359</v>
      </c>
      <c r="E22" s="369">
        <f t="shared" si="0"/>
        <v>-4414</v>
      </c>
      <c r="F22" s="362">
        <f t="shared" si="1"/>
        <v>-9.4370683941590233E-2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2057.4766425074295</v>
      </c>
      <c r="D23" s="378">
        <f>IF(LN_IA8=0,0,LN_IA2/LN_IA8)</f>
        <v>2190.3297764347599</v>
      </c>
      <c r="E23" s="378">
        <f t="shared" si="0"/>
        <v>132.85313392733042</v>
      </c>
      <c r="F23" s="362">
        <f t="shared" si="1"/>
        <v>6.457090748083702E-2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5.072443335863789</v>
      </c>
      <c r="D24" s="379">
        <f>IF(LN_IA4=0,0,LN_IA8/LN_IA4)</f>
        <v>4.8476768139162276</v>
      </c>
      <c r="E24" s="379">
        <f t="shared" si="0"/>
        <v>-0.22476652194756142</v>
      </c>
      <c r="F24" s="362">
        <f t="shared" si="1"/>
        <v>-4.4311292815907975E-2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127274336</v>
      </c>
      <c r="D27" s="361">
        <v>125477668</v>
      </c>
      <c r="E27" s="361">
        <f t="shared" ref="E27:E32" si="2">D27-C27</f>
        <v>-1796668</v>
      </c>
      <c r="F27" s="362">
        <f t="shared" ref="F27:F32" si="3">IF(C27=0,0,E27/C27)</f>
        <v>-1.4116498710313445E-2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35552651</v>
      </c>
      <c r="D28" s="361">
        <v>36115814</v>
      </c>
      <c r="E28" s="361">
        <f t="shared" si="2"/>
        <v>563163</v>
      </c>
      <c r="F28" s="362">
        <f t="shared" si="3"/>
        <v>1.5840253375198378E-2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0.27933872701563339</v>
      </c>
      <c r="D29" s="366">
        <f>IF(LN_IA11=0,0,LN_IA12/LN_IA11)</f>
        <v>0.28782662744417598</v>
      </c>
      <c r="E29" s="367">
        <f t="shared" si="2"/>
        <v>8.487900428542583E-3</v>
      </c>
      <c r="F29" s="362">
        <f t="shared" si="3"/>
        <v>3.0385691662680025E-2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0.52669890073858738</v>
      </c>
      <c r="D30" s="366">
        <f>IF(LN_IA1=0,0,LN_IA11/LN_IA1)</f>
        <v>0.54569253346489688</v>
      </c>
      <c r="E30" s="367">
        <f t="shared" si="2"/>
        <v>1.8993632726309495E-2</v>
      </c>
      <c r="F30" s="362">
        <f t="shared" si="3"/>
        <v>3.6061652491916757E-2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4856.6905637105147</v>
      </c>
      <c r="D31" s="376">
        <f>LN_IA14*LN_IA4</f>
        <v>4768.2613574162688</v>
      </c>
      <c r="E31" s="376">
        <f t="shared" si="2"/>
        <v>-88.429206294245887</v>
      </c>
      <c r="F31" s="362">
        <f t="shared" si="3"/>
        <v>-1.8207708548490666E-2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7320.3451061205251</v>
      </c>
      <c r="D32" s="378">
        <f>IF(LN_IA15=0,0,LN_IA12/LN_IA15)</f>
        <v>7574.2102399289879</v>
      </c>
      <c r="E32" s="378">
        <f t="shared" si="2"/>
        <v>253.86513380846282</v>
      </c>
      <c r="F32" s="362">
        <f t="shared" si="3"/>
        <v>3.4679394226401525E-2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368919678</v>
      </c>
      <c r="D35" s="361">
        <f>LN_IA1+LN_IA11</f>
        <v>355419733</v>
      </c>
      <c r="E35" s="361">
        <f>D35-C35</f>
        <v>-13499945</v>
      </c>
      <c r="F35" s="362">
        <f>IF(C35=0,0,E35/C35)</f>
        <v>-3.6593182215669179E-2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131787006</v>
      </c>
      <c r="D36" s="361">
        <f>LN_IA2+LN_IA12</f>
        <v>128895993</v>
      </c>
      <c r="E36" s="361">
        <f>D36-C36</f>
        <v>-2891013</v>
      </c>
      <c r="F36" s="362">
        <f>IF(C36=0,0,E36/C36)</f>
        <v>-2.1937010997882447E-2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237132672</v>
      </c>
      <c r="D37" s="361">
        <f>LN_IA17-LN_IA18</f>
        <v>226523740</v>
      </c>
      <c r="E37" s="361">
        <f>D37-C37</f>
        <v>-10608932</v>
      </c>
      <c r="F37" s="362">
        <f>IF(C37=0,0,E37/C37)</f>
        <v>-4.4738381727508221E-2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120467660</v>
      </c>
      <c r="D42" s="361">
        <v>114447652</v>
      </c>
      <c r="E42" s="361">
        <f t="shared" ref="E42:E53" si="4">D42-C42</f>
        <v>-6020008</v>
      </c>
      <c r="F42" s="362">
        <f t="shared" ref="F42:F53" si="5">IF(C42=0,0,E42/C42)</f>
        <v>-4.9971984182310837E-2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61848708</v>
      </c>
      <c r="D43" s="361">
        <v>59899198</v>
      </c>
      <c r="E43" s="361">
        <f t="shared" si="4"/>
        <v>-1949510</v>
      </c>
      <c r="F43" s="362">
        <f t="shared" si="5"/>
        <v>-3.1520626105884055E-2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0.51340507485577458</v>
      </c>
      <c r="D44" s="366">
        <f>IF(LN_IB1=0,0,LN_IB2/LN_IB1)</f>
        <v>0.52337638171904133</v>
      </c>
      <c r="E44" s="367">
        <f t="shared" si="4"/>
        <v>9.971306863266749E-3</v>
      </c>
      <c r="F44" s="362">
        <f t="shared" si="5"/>
        <v>1.9421909427108568E-2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6963</v>
      </c>
      <c r="D45" s="369">
        <v>6207</v>
      </c>
      <c r="E45" s="369">
        <f t="shared" si="4"/>
        <v>-756</v>
      </c>
      <c r="F45" s="362">
        <f t="shared" si="5"/>
        <v>-0.10857389056441188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1.0719000000000001</v>
      </c>
      <c r="D46" s="372">
        <v>1.1018399999999999</v>
      </c>
      <c r="E46" s="373">
        <f t="shared" si="4"/>
        <v>2.9939999999999856E-2</v>
      </c>
      <c r="F46" s="362">
        <f t="shared" si="5"/>
        <v>2.7931710047578929E-2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7463.6397000000006</v>
      </c>
      <c r="D47" s="376">
        <f>LN_IB4*LN_IB5</f>
        <v>6839.1208799999995</v>
      </c>
      <c r="E47" s="376">
        <f t="shared" si="4"/>
        <v>-624.51882000000114</v>
      </c>
      <c r="F47" s="362">
        <f t="shared" si="5"/>
        <v>-8.3674834946815699E-2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8286.6685003564671</v>
      </c>
      <c r="D48" s="378">
        <f>IF(LN_IB6=0,0,LN_IB2/LN_IB6)</f>
        <v>8758.3183644503752</v>
      </c>
      <c r="E48" s="378">
        <f t="shared" si="4"/>
        <v>471.64986409390804</v>
      </c>
      <c r="F48" s="362">
        <f t="shared" si="5"/>
        <v>5.6916704713555165E-2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-590.18348267046895</v>
      </c>
      <c r="D49" s="378">
        <f>LN_IA7-LN_IB7</f>
        <v>-970.59851667446947</v>
      </c>
      <c r="E49" s="378">
        <f t="shared" si="4"/>
        <v>-380.41503400400052</v>
      </c>
      <c r="F49" s="362">
        <f t="shared" si="5"/>
        <v>0.6445707905661715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-4404916.8715435741</v>
      </c>
      <c r="D50" s="391">
        <f>LN_IB8*LN_IB6</f>
        <v>-6638040.5814853916</v>
      </c>
      <c r="E50" s="391">
        <f t="shared" si="4"/>
        <v>-2233123.7099418174</v>
      </c>
      <c r="F50" s="362">
        <f t="shared" si="5"/>
        <v>0.50696160110719291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24441</v>
      </c>
      <c r="D51" s="369">
        <v>22249</v>
      </c>
      <c r="E51" s="369">
        <f t="shared" si="4"/>
        <v>-2192</v>
      </c>
      <c r="F51" s="362">
        <f t="shared" si="5"/>
        <v>-8.9685364755942881E-2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2530.5309930035596</v>
      </c>
      <c r="D52" s="378">
        <f>IF(LN_IB10=0,0,LN_IB2/LN_IB10)</f>
        <v>2692.2197851588835</v>
      </c>
      <c r="E52" s="378">
        <f t="shared" si="4"/>
        <v>161.68879215532388</v>
      </c>
      <c r="F52" s="362">
        <f t="shared" si="5"/>
        <v>6.3895203260644851E-2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3.5101249461439035</v>
      </c>
      <c r="D53" s="379">
        <f>IF(LN_IB4=0,0,LN_IB10/LN_IB4)</f>
        <v>3.5845013694216208</v>
      </c>
      <c r="E53" s="379">
        <f t="shared" si="4"/>
        <v>7.4376423277717318E-2</v>
      </c>
      <c r="F53" s="362">
        <f t="shared" si="5"/>
        <v>2.1189109908872211E-2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191148804</v>
      </c>
      <c r="D56" s="361">
        <v>176301260</v>
      </c>
      <c r="E56" s="361">
        <f t="shared" ref="E56:E63" si="6">D56-C56</f>
        <v>-14847544</v>
      </c>
      <c r="F56" s="362">
        <f t="shared" ref="F56:F63" si="7">IF(C56=0,0,E56/C56)</f>
        <v>-7.7675317288409512E-2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106525483</v>
      </c>
      <c r="D57" s="361">
        <v>105790470</v>
      </c>
      <c r="E57" s="361">
        <f t="shared" si="6"/>
        <v>-735013</v>
      </c>
      <c r="F57" s="362">
        <f t="shared" si="7"/>
        <v>-6.8998795339890642E-3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0.55729086853193177</v>
      </c>
      <c r="D58" s="366">
        <f>IF(LN_IB13=0,0,LN_IB14/LN_IB13)</f>
        <v>0.6000550988688339</v>
      </c>
      <c r="E58" s="367">
        <f t="shared" si="6"/>
        <v>4.2764230336902131E-2</v>
      </c>
      <c r="F58" s="362">
        <f t="shared" si="7"/>
        <v>7.6735925082633605E-2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1.5867229761082766</v>
      </c>
      <c r="D59" s="366">
        <f>IF(LN_IB1=0,0,LN_IB13/LN_IB1)</f>
        <v>1.5404532720339252</v>
      </c>
      <c r="E59" s="367">
        <f t="shared" si="6"/>
        <v>-4.6269704074351381E-2</v>
      </c>
      <c r="F59" s="362">
        <f t="shared" si="7"/>
        <v>-2.9160543315403516E-2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11048.35208264193</v>
      </c>
      <c r="D60" s="376">
        <f>LN_IB16*LN_IB4</f>
        <v>9561.5934595145736</v>
      </c>
      <c r="E60" s="376">
        <f t="shared" si="6"/>
        <v>-1486.7586231273563</v>
      </c>
      <c r="F60" s="362">
        <f t="shared" si="7"/>
        <v>-0.13456836024109001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9641.753105185906</v>
      </c>
      <c r="D61" s="378">
        <f>IF(LN_IB17=0,0,LN_IB14/LN_IB17)</f>
        <v>11064.104581305928</v>
      </c>
      <c r="E61" s="378">
        <f t="shared" si="6"/>
        <v>1422.3514761200222</v>
      </c>
      <c r="F61" s="362">
        <f t="shared" si="7"/>
        <v>0.14752000601996304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-2321.4079990653809</v>
      </c>
      <c r="D62" s="378">
        <f>LN_IA16-LN_IB18</f>
        <v>-3489.8943413769402</v>
      </c>
      <c r="E62" s="378">
        <f t="shared" si="6"/>
        <v>-1168.4863423115594</v>
      </c>
      <c r="F62" s="362">
        <f t="shared" si="7"/>
        <v>0.50335242352141552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-25647732.901135635</v>
      </c>
      <c r="D63" s="361">
        <f>LN_IB19*LN_IB17</f>
        <v>-33368950.908906672</v>
      </c>
      <c r="E63" s="361">
        <f t="shared" si="6"/>
        <v>-7721218.0077710375</v>
      </c>
      <c r="F63" s="362">
        <f t="shared" si="7"/>
        <v>0.30104875302367001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311616464</v>
      </c>
      <c r="D66" s="361">
        <f>LN_IB1+LN_IB13</f>
        <v>290748912</v>
      </c>
      <c r="E66" s="361">
        <f>D66-C66</f>
        <v>-20867552</v>
      </c>
      <c r="F66" s="362">
        <f>IF(C66=0,0,E66/C66)</f>
        <v>-6.6965498973122289E-2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168374191</v>
      </c>
      <c r="D67" s="361">
        <f>LN_IB2+LN_IB14</f>
        <v>165689668</v>
      </c>
      <c r="E67" s="361">
        <f>D67-C67</f>
        <v>-2684523</v>
      </c>
      <c r="F67" s="362">
        <f>IF(C67=0,0,E67/C67)</f>
        <v>-1.5943791528002058E-2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143242273</v>
      </c>
      <c r="D68" s="361">
        <f>LN_IB21-LN_IB22</f>
        <v>125059244</v>
      </c>
      <c r="E68" s="361">
        <f>D68-C68</f>
        <v>-18183029</v>
      </c>
      <c r="F68" s="362">
        <f>IF(C68=0,0,E68/C68)</f>
        <v>-0.12693898678918616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-30052649.77267921</v>
      </c>
      <c r="D70" s="353">
        <f>LN_IB9+LN_IB20</f>
        <v>-40006991.490392067</v>
      </c>
      <c r="E70" s="361">
        <f>D70-C70</f>
        <v>-9954341.7177128568</v>
      </c>
      <c r="F70" s="362">
        <f>IF(C70=0,0,E70/C70)</f>
        <v>0.33123008430232748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304547819</v>
      </c>
      <c r="D73" s="400">
        <v>284611249</v>
      </c>
      <c r="E73" s="400">
        <f>D73-C73</f>
        <v>-19936570</v>
      </c>
      <c r="F73" s="401">
        <f>IF(C73=0,0,E73/C73)</f>
        <v>-6.5462855933307473E-2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161305546</v>
      </c>
      <c r="D74" s="400">
        <v>159552005</v>
      </c>
      <c r="E74" s="400">
        <f>D74-C74</f>
        <v>-1753541</v>
      </c>
      <c r="F74" s="401">
        <f>IF(C74=0,0,E74/C74)</f>
        <v>-1.0870928145272823E-2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143242273</v>
      </c>
      <c r="D76" s="353">
        <f>LN_IB32-LN_IB33</f>
        <v>125059244</v>
      </c>
      <c r="E76" s="400">
        <f>D76-C76</f>
        <v>-18183029</v>
      </c>
      <c r="F76" s="401">
        <f>IF(C76=0,0,E76/C76)</f>
        <v>-0.12693898678918616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0.47034411039403962</v>
      </c>
      <c r="D77" s="366">
        <f>IF(LN_IB1=0,0,LN_IB34/LN_IB32)</f>
        <v>0.43940372855747523</v>
      </c>
      <c r="E77" s="405">
        <f>D77-C77</f>
        <v>-3.094038183656439E-2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4796385</v>
      </c>
      <c r="D83" s="361">
        <v>5651953</v>
      </c>
      <c r="E83" s="361">
        <f t="shared" ref="E83:E95" si="8">D83-C83</f>
        <v>855568</v>
      </c>
      <c r="F83" s="362">
        <f t="shared" ref="F83:F95" si="9">IF(C83=0,0,E83/C83)</f>
        <v>0.17837767401907895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45806</v>
      </c>
      <c r="D84" s="361">
        <v>583493</v>
      </c>
      <c r="E84" s="361">
        <f t="shared" si="8"/>
        <v>537687</v>
      </c>
      <c r="F84" s="362">
        <f t="shared" si="9"/>
        <v>11.73835305418504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9.5501090925770131E-3</v>
      </c>
      <c r="D85" s="366">
        <f>IF(LN_IC1=0,0,LN_IC2/LN_IC1)</f>
        <v>0.10323741191761503</v>
      </c>
      <c r="E85" s="367">
        <f t="shared" si="8"/>
        <v>9.368730282503801E-2</v>
      </c>
      <c r="F85" s="362">
        <f t="shared" si="9"/>
        <v>9.8100767139778622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460</v>
      </c>
      <c r="D86" s="369">
        <v>334</v>
      </c>
      <c r="E86" s="369">
        <f t="shared" si="8"/>
        <v>-126</v>
      </c>
      <c r="F86" s="362">
        <f t="shared" si="9"/>
        <v>-0.27391304347826084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1.0395000000000001</v>
      </c>
      <c r="D87" s="372">
        <v>0.91161000000000003</v>
      </c>
      <c r="E87" s="373">
        <f t="shared" si="8"/>
        <v>-0.12789000000000006</v>
      </c>
      <c r="F87" s="362">
        <f t="shared" si="9"/>
        <v>-0.12303030303030307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478.17</v>
      </c>
      <c r="D88" s="376">
        <f>LN_IC4*LN_IC5</f>
        <v>304.47773999999998</v>
      </c>
      <c r="E88" s="376">
        <f t="shared" si="8"/>
        <v>-173.69226000000003</v>
      </c>
      <c r="F88" s="362">
        <f t="shared" si="9"/>
        <v>-0.36324374176548097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95.794382750904489</v>
      </c>
      <c r="D89" s="378">
        <f>IF(LN_IC6=0,0,LN_IC2/LN_IC6)</f>
        <v>1916.3732626234023</v>
      </c>
      <c r="E89" s="378">
        <f t="shared" si="8"/>
        <v>1820.5788798724977</v>
      </c>
      <c r="F89" s="362">
        <f t="shared" si="9"/>
        <v>19.005069270153086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8190.8741176055628</v>
      </c>
      <c r="D90" s="378">
        <f>LN_IB7-LN_IC7</f>
        <v>6841.9451018269729</v>
      </c>
      <c r="E90" s="378">
        <f t="shared" si="8"/>
        <v>-1348.9290157785899</v>
      </c>
      <c r="F90" s="362">
        <f t="shared" si="9"/>
        <v>-0.16468682052861558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7600.6906349350938</v>
      </c>
      <c r="D91" s="378">
        <f>LN_IA7-LN_IC7</f>
        <v>5871.3465851525034</v>
      </c>
      <c r="E91" s="378">
        <f t="shared" si="8"/>
        <v>-1729.3440497825904</v>
      </c>
      <c r="F91" s="362">
        <f t="shared" si="9"/>
        <v>-0.22752459386177323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3634422.2409069138</v>
      </c>
      <c r="D92" s="353">
        <f>LN_IC9*LN_IC6</f>
        <v>1787694.3390039518</v>
      </c>
      <c r="E92" s="353">
        <f t="shared" si="8"/>
        <v>-1846727.901902962</v>
      </c>
      <c r="F92" s="362">
        <f t="shared" si="9"/>
        <v>-0.50812145080923221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1698</v>
      </c>
      <c r="D93" s="369">
        <v>1083</v>
      </c>
      <c r="E93" s="369">
        <f t="shared" si="8"/>
        <v>-615</v>
      </c>
      <c r="F93" s="362">
        <f t="shared" si="9"/>
        <v>-0.36219081272084808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26.976442873969376</v>
      </c>
      <c r="D94" s="411">
        <f>IF(LN_IC11=0,0,LN_IC2/LN_IC11)</f>
        <v>538.77469990766394</v>
      </c>
      <c r="E94" s="411">
        <f t="shared" si="8"/>
        <v>511.79825703369454</v>
      </c>
      <c r="F94" s="362">
        <f t="shared" si="9"/>
        <v>18.972043846727793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3.6913043478260867</v>
      </c>
      <c r="D95" s="379">
        <f>IF(LN_IC4=0,0,LN_IC11/LN_IC4)</f>
        <v>3.2425149700598803</v>
      </c>
      <c r="E95" s="379">
        <f t="shared" si="8"/>
        <v>-0.44878937776620642</v>
      </c>
      <c r="F95" s="362">
        <f t="shared" si="9"/>
        <v>-0.12158016123230564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15715137</v>
      </c>
      <c r="D98" s="361">
        <v>14929960</v>
      </c>
      <c r="E98" s="361">
        <f t="shared" ref="E98:E106" si="10">D98-C98</f>
        <v>-785177</v>
      </c>
      <c r="F98" s="362">
        <f t="shared" ref="F98:F106" si="11">IF(C98=0,0,E98/C98)</f>
        <v>-4.9963102453386185E-2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2421250</v>
      </c>
      <c r="D99" s="361">
        <v>5500273</v>
      </c>
      <c r="E99" s="361">
        <f t="shared" si="10"/>
        <v>3079023</v>
      </c>
      <c r="F99" s="362">
        <f t="shared" si="11"/>
        <v>1.2716667010841507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0.15407119899750157</v>
      </c>
      <c r="D100" s="366">
        <f>IF(LN_IC14=0,0,LN_IC15/LN_IC14)</f>
        <v>0.36840507275304152</v>
      </c>
      <c r="E100" s="367">
        <f t="shared" si="10"/>
        <v>0.21433387375553994</v>
      </c>
      <c r="F100" s="362">
        <f t="shared" si="11"/>
        <v>1.3911352358529747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3.2764544547612422</v>
      </c>
      <c r="D101" s="366">
        <f>IF(LN_IC1=0,0,LN_IC14/LN_IC1)</f>
        <v>2.6415577058054094</v>
      </c>
      <c r="E101" s="367">
        <f t="shared" si="10"/>
        <v>-0.63489674895583281</v>
      </c>
      <c r="F101" s="362">
        <f t="shared" si="11"/>
        <v>-0.1937755454018964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1507.1690491901713</v>
      </c>
      <c r="D102" s="376">
        <f>LN_IC17*LN_IC4</f>
        <v>882.2802737390067</v>
      </c>
      <c r="E102" s="376">
        <f t="shared" si="10"/>
        <v>-624.88877545116463</v>
      </c>
      <c r="F102" s="362">
        <f t="shared" si="11"/>
        <v>-0.41461093948746391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1606.4886691383297</v>
      </c>
      <c r="D103" s="378">
        <f>IF(LN_IC18=0,0,LN_IC15/LN_IC18)</f>
        <v>6234.1561561729677</v>
      </c>
      <c r="E103" s="378">
        <f t="shared" si="10"/>
        <v>4627.6674870346378</v>
      </c>
      <c r="F103" s="362">
        <f t="shared" si="11"/>
        <v>2.8806101007340277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8035.2644360475761</v>
      </c>
      <c r="D104" s="378">
        <f>LN_IB18-LN_IC19</f>
        <v>4829.9484251329604</v>
      </c>
      <c r="E104" s="378">
        <f t="shared" si="10"/>
        <v>-3205.3160109146156</v>
      </c>
      <c r="F104" s="362">
        <f t="shared" si="11"/>
        <v>-0.39890610152604533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5713.8564369821952</v>
      </c>
      <c r="D105" s="378">
        <f>LN_IA16-LN_IC19</f>
        <v>1340.0540837560202</v>
      </c>
      <c r="E105" s="378">
        <f t="shared" si="10"/>
        <v>-4373.802353226175</v>
      </c>
      <c r="F105" s="362">
        <f t="shared" si="11"/>
        <v>-0.76547291684077079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8611747.5733355954</v>
      </c>
      <c r="D106" s="361">
        <f>LN_IC21*LN_IC18</f>
        <v>1182303.2838413352</v>
      </c>
      <c r="E106" s="361">
        <f t="shared" si="10"/>
        <v>-7429444.2894942602</v>
      </c>
      <c r="F106" s="362">
        <f t="shared" si="11"/>
        <v>-0.86271041112467339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20511522</v>
      </c>
      <c r="D109" s="361">
        <f>LN_IC1+LN_IC14</f>
        <v>20581913</v>
      </c>
      <c r="E109" s="361">
        <f>D109-C109</f>
        <v>70391</v>
      </c>
      <c r="F109" s="362">
        <f>IF(C109=0,0,E109/C109)</f>
        <v>3.4317784901578734E-3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2467056</v>
      </c>
      <c r="D110" s="361">
        <f>LN_IC2+LN_IC15</f>
        <v>6083766</v>
      </c>
      <c r="E110" s="361">
        <f>D110-C110</f>
        <v>3616710</v>
      </c>
      <c r="F110" s="362">
        <f>IF(C110=0,0,E110/C110)</f>
        <v>1.4660023931357862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18044466</v>
      </c>
      <c r="D111" s="361">
        <f>LN_IC23-LN_IC24</f>
        <v>14498147</v>
      </c>
      <c r="E111" s="361">
        <f>D111-C111</f>
        <v>-3546319</v>
      </c>
      <c r="F111" s="362">
        <f>IF(C111=0,0,E111/C111)</f>
        <v>-0.19653222212283811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12246169.814242508</v>
      </c>
      <c r="D113" s="361">
        <f>LN_IC10+LN_IC22</f>
        <v>2969997.622845287</v>
      </c>
      <c r="E113" s="361">
        <f>D113-C113</f>
        <v>-9276172.1913972218</v>
      </c>
      <c r="F113" s="362">
        <f>IF(C113=0,0,E113/C113)</f>
        <v>-0.75747538472060649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55559524</v>
      </c>
      <c r="D118" s="361">
        <v>58585464</v>
      </c>
      <c r="E118" s="361">
        <f t="shared" ref="E118:E130" si="12">D118-C118</f>
        <v>3025940</v>
      </c>
      <c r="F118" s="362">
        <f t="shared" ref="F118:F130" si="13">IF(C118=0,0,E118/C118)</f>
        <v>5.4463029596869834E-2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16828095</v>
      </c>
      <c r="D119" s="361">
        <v>20418163</v>
      </c>
      <c r="E119" s="361">
        <f t="shared" si="12"/>
        <v>3590068</v>
      </c>
      <c r="F119" s="362">
        <f t="shared" si="13"/>
        <v>0.21333775451113154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0.30288407438479853</v>
      </c>
      <c r="D120" s="366">
        <f>IF(LN_ID1=0,0,LN_1D2/LN_ID1)</f>
        <v>0.34851926750977003</v>
      </c>
      <c r="E120" s="367">
        <f t="shared" si="12"/>
        <v>4.5635193124971496E-2</v>
      </c>
      <c r="F120" s="362">
        <f t="shared" si="13"/>
        <v>0.15066884324526864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3283</v>
      </c>
      <c r="D121" s="369">
        <v>4042</v>
      </c>
      <c r="E121" s="369">
        <f t="shared" si="12"/>
        <v>759</v>
      </c>
      <c r="F121" s="362">
        <f t="shared" si="13"/>
        <v>0.23119098385622905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0.89039999999999997</v>
      </c>
      <c r="D122" s="372">
        <v>0.92566999999999999</v>
      </c>
      <c r="E122" s="373">
        <f t="shared" si="12"/>
        <v>3.5270000000000024E-2</v>
      </c>
      <c r="F122" s="362">
        <f t="shared" si="13"/>
        <v>3.961141060197667E-2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2923.1831999999999</v>
      </c>
      <c r="D123" s="376">
        <f>LN_ID4*LN_ID5</f>
        <v>3741.5581400000001</v>
      </c>
      <c r="E123" s="376">
        <f t="shared" si="12"/>
        <v>818.37494000000015</v>
      </c>
      <c r="F123" s="362">
        <f t="shared" si="13"/>
        <v>0.27996019544720979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5756.7705643628497</v>
      </c>
      <c r="D124" s="378">
        <f>IF(LN_ID6=0,0,LN_1D2/LN_ID6)</f>
        <v>5457.1283502760161</v>
      </c>
      <c r="E124" s="378">
        <f t="shared" si="12"/>
        <v>-299.64221408683352</v>
      </c>
      <c r="F124" s="362">
        <f t="shared" si="13"/>
        <v>-5.2050400608591466E-2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2529.8979359936175</v>
      </c>
      <c r="D125" s="378">
        <f>LN_IB7-LN_ID7</f>
        <v>3301.190014174359</v>
      </c>
      <c r="E125" s="378">
        <f t="shared" si="12"/>
        <v>771.29207818074156</v>
      </c>
      <c r="F125" s="362">
        <f t="shared" si="13"/>
        <v>0.30487082787306857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1939.7144533231485</v>
      </c>
      <c r="D126" s="378">
        <f>LN_IA7-LN_ID7</f>
        <v>2330.5914974998896</v>
      </c>
      <c r="E126" s="378">
        <f t="shared" si="12"/>
        <v>390.87704417674104</v>
      </c>
      <c r="F126" s="362">
        <f t="shared" si="13"/>
        <v>0.20151267291280142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5670140.7027514121</v>
      </c>
      <c r="D127" s="391">
        <f>LN_ID9*LN_ID6</f>
        <v>8720043.5884855017</v>
      </c>
      <c r="E127" s="391">
        <f t="shared" si="12"/>
        <v>3049902.8857340897</v>
      </c>
      <c r="F127" s="362">
        <f t="shared" si="13"/>
        <v>0.53788839565376867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12606</v>
      </c>
      <c r="D128" s="369">
        <v>14479</v>
      </c>
      <c r="E128" s="369">
        <f t="shared" si="12"/>
        <v>1873</v>
      </c>
      <c r="F128" s="362">
        <f t="shared" si="13"/>
        <v>0.14858004125019833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1334.9274155164208</v>
      </c>
      <c r="D129" s="378">
        <f>IF(LN_ID11=0,0,LN_1D2/LN_ID11)</f>
        <v>1410.191518751295</v>
      </c>
      <c r="E129" s="378">
        <f t="shared" si="12"/>
        <v>75.264103234874256</v>
      </c>
      <c r="F129" s="362">
        <f t="shared" si="13"/>
        <v>5.6380670858990567E-2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3.8397806883947609</v>
      </c>
      <c r="D130" s="379">
        <f>IF(LN_ID4=0,0,LN_ID11/LN_ID4)</f>
        <v>3.5821375556655122</v>
      </c>
      <c r="E130" s="379">
        <f t="shared" si="12"/>
        <v>-0.25764313272924877</v>
      </c>
      <c r="F130" s="362">
        <f t="shared" si="13"/>
        <v>-6.7098397965264456E-2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63702766</v>
      </c>
      <c r="D133" s="361">
        <v>70754649</v>
      </c>
      <c r="E133" s="361">
        <f t="shared" ref="E133:E141" si="14">D133-C133</f>
        <v>7051883</v>
      </c>
      <c r="F133" s="362">
        <f t="shared" ref="F133:F141" si="15">IF(C133=0,0,E133/C133)</f>
        <v>0.1106997928472996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22407348</v>
      </c>
      <c r="D134" s="361">
        <v>28874807</v>
      </c>
      <c r="E134" s="361">
        <f t="shared" si="14"/>
        <v>6467459</v>
      </c>
      <c r="F134" s="362">
        <f t="shared" si="15"/>
        <v>0.28863116688329205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0.35174843114347659</v>
      </c>
      <c r="D135" s="366">
        <f>IF(LN_ID14=0,0,LN_ID15/LN_ID14)</f>
        <v>0.40809766436690259</v>
      </c>
      <c r="E135" s="367">
        <f t="shared" si="14"/>
        <v>5.6349233223425998E-2</v>
      </c>
      <c r="F135" s="362">
        <f t="shared" si="15"/>
        <v>0.1601975395888586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1.1465678863627413</v>
      </c>
      <c r="D136" s="366">
        <f>IF(LN_ID1=0,0,LN_ID14/LN_ID1)</f>
        <v>1.2077167981463799</v>
      </c>
      <c r="E136" s="367">
        <f t="shared" si="14"/>
        <v>6.1148911783638571E-2</v>
      </c>
      <c r="F136" s="362">
        <f t="shared" si="15"/>
        <v>5.3332133675591892E-2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3764.1823709288797</v>
      </c>
      <c r="D137" s="376">
        <f>LN_ID17*LN_ID4</f>
        <v>4881.5912981076672</v>
      </c>
      <c r="E137" s="376">
        <f t="shared" si="14"/>
        <v>1117.4089271787875</v>
      </c>
      <c r="F137" s="362">
        <f t="shared" si="15"/>
        <v>0.29685302598743291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5952.7795924697939</v>
      </c>
      <c r="D138" s="378">
        <f>IF(LN_ID18=0,0,LN_ID15/LN_ID18)</f>
        <v>5915.0398377662677</v>
      </c>
      <c r="E138" s="378">
        <f t="shared" si="14"/>
        <v>-37.73975470352616</v>
      </c>
      <c r="F138" s="362">
        <f t="shared" si="15"/>
        <v>-6.3398542004253896E-3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3688.9735127161121</v>
      </c>
      <c r="D139" s="378">
        <f>LN_IB18-LN_ID19</f>
        <v>5149.0647435396604</v>
      </c>
      <c r="E139" s="378">
        <f t="shared" si="14"/>
        <v>1460.0912308235484</v>
      </c>
      <c r="F139" s="362">
        <f t="shared" si="15"/>
        <v>0.39579878407652608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1367.5655136507312</v>
      </c>
      <c r="D140" s="378">
        <f>LN_IA16-LN_ID19</f>
        <v>1659.1704021627202</v>
      </c>
      <c r="E140" s="378">
        <f t="shared" si="14"/>
        <v>291.60488851198897</v>
      </c>
      <c r="F140" s="362">
        <f t="shared" si="15"/>
        <v>0.21322919129010975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5147765.9975743806</v>
      </c>
      <c r="D141" s="353">
        <f>LN_ID21*LN_ID18</f>
        <v>8099391.7972753337</v>
      </c>
      <c r="E141" s="353">
        <f t="shared" si="14"/>
        <v>2951625.7997009531</v>
      </c>
      <c r="F141" s="362">
        <f t="shared" si="15"/>
        <v>0.573379947940865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119262290</v>
      </c>
      <c r="D144" s="361">
        <f>LN_ID1+LN_ID14</f>
        <v>129340113</v>
      </c>
      <c r="E144" s="361">
        <f>D144-C144</f>
        <v>10077823</v>
      </c>
      <c r="F144" s="362">
        <f>IF(C144=0,0,E144/C144)</f>
        <v>8.4501337346448741E-2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39235443</v>
      </c>
      <c r="D145" s="361">
        <f>LN_1D2+LN_ID15</f>
        <v>49292970</v>
      </c>
      <c r="E145" s="361">
        <f>D145-C145</f>
        <v>10057527</v>
      </c>
      <c r="F145" s="362">
        <f>IF(C145=0,0,E145/C145)</f>
        <v>0.25633779641534826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80026847</v>
      </c>
      <c r="D146" s="361">
        <f>LN_ID23-LN_ID24</f>
        <v>80047143</v>
      </c>
      <c r="E146" s="361">
        <f>D146-C146</f>
        <v>20296</v>
      </c>
      <c r="F146" s="362">
        <f>IF(C146=0,0,E146/C146)</f>
        <v>2.5361489001309771E-4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10817906.700325793</v>
      </c>
      <c r="D148" s="361">
        <f>LN_ID10+LN_ID22</f>
        <v>16819435.385760836</v>
      </c>
      <c r="E148" s="361">
        <f>D148-C148</f>
        <v>6001528.6854350436</v>
      </c>
      <c r="F148" s="415">
        <f>IF(C148=0,0,E148/C148)</f>
        <v>0.5547772643717015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12609294</v>
      </c>
      <c r="D153" s="361">
        <v>13232447</v>
      </c>
      <c r="E153" s="361">
        <f t="shared" ref="E153:E165" si="16">D153-C153</f>
        <v>623153</v>
      </c>
      <c r="F153" s="362">
        <f t="shared" ref="F153:F165" si="17">IF(C153=0,0,E153/C153)</f>
        <v>4.9420134069361854E-2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2331833</v>
      </c>
      <c r="D154" s="361">
        <v>2694797</v>
      </c>
      <c r="E154" s="361">
        <f t="shared" si="16"/>
        <v>362964</v>
      </c>
      <c r="F154" s="362">
        <f t="shared" si="17"/>
        <v>0.15565608686385346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0.18492970343938367</v>
      </c>
      <c r="D155" s="366">
        <f>IF(LN_IE1=0,0,LN_IE2/LN_IE1)</f>
        <v>0.20365069287638182</v>
      </c>
      <c r="E155" s="367">
        <f t="shared" si="16"/>
        <v>1.8720989436998153E-2</v>
      </c>
      <c r="F155" s="362">
        <f t="shared" si="17"/>
        <v>0.10123300415681749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567</v>
      </c>
      <c r="D156" s="419">
        <v>493</v>
      </c>
      <c r="E156" s="419">
        <f t="shared" si="16"/>
        <v>-74</v>
      </c>
      <c r="F156" s="362">
        <f t="shared" si="17"/>
        <v>-0.13051146384479717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1.0858000000000001</v>
      </c>
      <c r="D157" s="372">
        <v>1.26766</v>
      </c>
      <c r="E157" s="373">
        <f t="shared" si="16"/>
        <v>0.18185999999999991</v>
      </c>
      <c r="F157" s="362">
        <f t="shared" si="17"/>
        <v>0.16748940873088958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615.6486000000001</v>
      </c>
      <c r="D158" s="376">
        <f>LN_IE4*LN_IE5</f>
        <v>624.95637999999997</v>
      </c>
      <c r="E158" s="376">
        <f t="shared" si="16"/>
        <v>9.307779999999866</v>
      </c>
      <c r="F158" s="362">
        <f t="shared" si="17"/>
        <v>1.5118656974124305E-2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3787.6038376437464</v>
      </c>
      <c r="D159" s="378">
        <f>IF(LN_IE6=0,0,LN_IE2/LN_IE6)</f>
        <v>4311.9761414388631</v>
      </c>
      <c r="E159" s="378">
        <f t="shared" si="16"/>
        <v>524.37230379511675</v>
      </c>
      <c r="F159" s="362">
        <f t="shared" si="17"/>
        <v>0.13844433744193446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4499.0646627127207</v>
      </c>
      <c r="D160" s="378">
        <f>LN_IB7-LN_IE7</f>
        <v>4446.342223011512</v>
      </c>
      <c r="E160" s="378">
        <f t="shared" si="16"/>
        <v>-52.722439701208714</v>
      </c>
      <c r="F160" s="362">
        <f t="shared" si="17"/>
        <v>-1.1718533440552865E-2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3908.8811800422518</v>
      </c>
      <c r="D161" s="378">
        <f>LN_IA7-LN_IE7</f>
        <v>3475.7437063370426</v>
      </c>
      <c r="E161" s="378">
        <f t="shared" si="16"/>
        <v>-433.13747370520923</v>
      </c>
      <c r="F161" s="362">
        <f t="shared" si="17"/>
        <v>-0.11080855461063858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2406497.2260593604</v>
      </c>
      <c r="D162" s="391">
        <f>LN_IE9*LN_IE6</f>
        <v>2172188.2045201813</v>
      </c>
      <c r="E162" s="391">
        <f t="shared" si="16"/>
        <v>-234309.02153917914</v>
      </c>
      <c r="F162" s="362">
        <f t="shared" si="17"/>
        <v>-9.7365174163470861E-2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2548</v>
      </c>
      <c r="D163" s="369">
        <v>2600</v>
      </c>
      <c r="E163" s="419">
        <f t="shared" si="16"/>
        <v>52</v>
      </c>
      <c r="F163" s="362">
        <f t="shared" si="17"/>
        <v>2.0408163265306121E-2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915.16208791208794</v>
      </c>
      <c r="D164" s="378">
        <f>IF(LN_IE11=0,0,LN_IE2/LN_IE11)</f>
        <v>1036.4603846153846</v>
      </c>
      <c r="E164" s="378">
        <f t="shared" si="16"/>
        <v>121.29829670329661</v>
      </c>
      <c r="F164" s="362">
        <f t="shared" si="17"/>
        <v>0.13254296512657629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4.4938271604938276</v>
      </c>
      <c r="D165" s="379">
        <f>IF(LN_IE4=0,0,LN_IE11/LN_IE4)</f>
        <v>5.2738336713995944</v>
      </c>
      <c r="E165" s="379">
        <f t="shared" si="16"/>
        <v>0.78000651090576678</v>
      </c>
      <c r="F165" s="362">
        <f t="shared" si="17"/>
        <v>0.17357287742683269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13304483</v>
      </c>
      <c r="D168" s="424">
        <v>10574526</v>
      </c>
      <c r="E168" s="424">
        <f t="shared" ref="E168:E176" si="18">D168-C168</f>
        <v>-2729957</v>
      </c>
      <c r="F168" s="362">
        <f t="shared" ref="F168:F176" si="19">IF(C168=0,0,E168/C168)</f>
        <v>-0.20519076164026817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2164640</v>
      </c>
      <c r="D169" s="424">
        <v>1756436</v>
      </c>
      <c r="E169" s="424">
        <f t="shared" si="18"/>
        <v>-408204</v>
      </c>
      <c r="F169" s="362">
        <f t="shared" si="19"/>
        <v>-0.18857823933771897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0.16270004629266691</v>
      </c>
      <c r="D170" s="366">
        <f>IF(LN_IE14=0,0,LN_IE15/LN_IE14)</f>
        <v>0.16610068385098301</v>
      </c>
      <c r="E170" s="367">
        <f t="shared" si="18"/>
        <v>3.4006375583160997E-3</v>
      </c>
      <c r="F170" s="362">
        <f t="shared" si="19"/>
        <v>2.0901269764846839E-2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1.0551330629613362</v>
      </c>
      <c r="D171" s="366">
        <f>IF(LN_IE1=0,0,LN_IE14/LN_IE1)</f>
        <v>0.79913609327133528</v>
      </c>
      <c r="E171" s="367">
        <f t="shared" si="18"/>
        <v>-0.25599696969000096</v>
      </c>
      <c r="F171" s="362">
        <f t="shared" si="19"/>
        <v>-0.24262055533689744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598.26044669907765</v>
      </c>
      <c r="D172" s="376">
        <f>LN_IE17*LN_IE4</f>
        <v>393.9740939827683</v>
      </c>
      <c r="E172" s="376">
        <f t="shared" si="18"/>
        <v>-204.28635271630935</v>
      </c>
      <c r="F172" s="362">
        <f t="shared" si="19"/>
        <v>-0.34146725534583849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3618.2234876857979</v>
      </c>
      <c r="D173" s="378">
        <f>IF(LN_IE18=0,0,LN_IE15/LN_IE18)</f>
        <v>4458.2525268192467</v>
      </c>
      <c r="E173" s="378">
        <f t="shared" si="18"/>
        <v>840.0290391334488</v>
      </c>
      <c r="F173" s="362">
        <f t="shared" si="19"/>
        <v>0.23216615612396244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6023.5296175001076</v>
      </c>
      <c r="D174" s="378">
        <f>LN_IB18-LN_IE19</f>
        <v>6605.8520544866815</v>
      </c>
      <c r="E174" s="378">
        <f t="shared" si="18"/>
        <v>582.32243698657385</v>
      </c>
      <c r="F174" s="362">
        <f t="shared" si="19"/>
        <v>9.6674620025899369E-2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3702.1216184347272</v>
      </c>
      <c r="D175" s="378">
        <f>LN_IA16-LN_IE19</f>
        <v>3115.9577131097412</v>
      </c>
      <c r="E175" s="378">
        <f t="shared" si="18"/>
        <v>-586.16390532498599</v>
      </c>
      <c r="F175" s="362">
        <f t="shared" si="19"/>
        <v>-0.15833188796558731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2214832.9331790721</v>
      </c>
      <c r="D176" s="353">
        <f>LN_IE21*LN_IE18</f>
        <v>1227606.616911029</v>
      </c>
      <c r="E176" s="353">
        <f t="shared" si="18"/>
        <v>-987226.31626804313</v>
      </c>
      <c r="F176" s="362">
        <f t="shared" si="19"/>
        <v>-0.44573398809409187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25913777</v>
      </c>
      <c r="D179" s="361">
        <f>LN_IE1+LN_IE14</f>
        <v>23806973</v>
      </c>
      <c r="E179" s="361">
        <f>D179-C179</f>
        <v>-2106804</v>
      </c>
      <c r="F179" s="362">
        <f>IF(C179=0,0,E179/C179)</f>
        <v>-8.1300537548038634E-2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4496473</v>
      </c>
      <c r="D180" s="361">
        <f>LN_IE15+LN_IE2</f>
        <v>4451233</v>
      </c>
      <c r="E180" s="361">
        <f>D180-C180</f>
        <v>-45240</v>
      </c>
      <c r="F180" s="362">
        <f>IF(C180=0,0,E180/C180)</f>
        <v>-1.0061219093275996E-2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21417304</v>
      </c>
      <c r="D181" s="361">
        <f>LN_IE23-LN_IE24</f>
        <v>19355740</v>
      </c>
      <c r="E181" s="361">
        <f>D181-C181</f>
        <v>-2061564</v>
      </c>
      <c r="F181" s="362">
        <f>IF(C181=0,0,E181/C181)</f>
        <v>-9.6256933178891238E-2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4621330.1592384325</v>
      </c>
      <c r="D183" s="361">
        <f>LN_IE10+LN_IE22</f>
        <v>3399794.8214312103</v>
      </c>
      <c r="E183" s="353">
        <f>D183-C183</f>
        <v>-1221535.3378072223</v>
      </c>
      <c r="F183" s="362">
        <f>IF(C183=0,0,E183/C183)</f>
        <v>-0.26432548545904455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68168818</v>
      </c>
      <c r="D188" s="361">
        <f>LN_ID1+LN_IE1</f>
        <v>71817911</v>
      </c>
      <c r="E188" s="361">
        <f t="shared" ref="E188:E200" si="20">D188-C188</f>
        <v>3649093</v>
      </c>
      <c r="F188" s="362">
        <f t="shared" ref="F188:F200" si="21">IF(C188=0,0,E188/C188)</f>
        <v>5.3530237241314643E-2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19159928</v>
      </c>
      <c r="D189" s="361">
        <f>LN_1D2+LN_IE2</f>
        <v>23112960</v>
      </c>
      <c r="E189" s="361">
        <f t="shared" si="20"/>
        <v>3953032</v>
      </c>
      <c r="F189" s="362">
        <f t="shared" si="21"/>
        <v>0.20631768553618782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0.28106586797500288</v>
      </c>
      <c r="D190" s="366">
        <f>IF(LN_IF1=0,0,LN_IF2/LN_IF1)</f>
        <v>0.32182723889030967</v>
      </c>
      <c r="E190" s="367">
        <f t="shared" si="20"/>
        <v>4.0761370915306794E-2</v>
      </c>
      <c r="F190" s="362">
        <f t="shared" si="21"/>
        <v>0.14502426498450527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3850</v>
      </c>
      <c r="D191" s="369">
        <f>LN_ID4+LN_IE4</f>
        <v>4535</v>
      </c>
      <c r="E191" s="369">
        <f t="shared" si="20"/>
        <v>685</v>
      </c>
      <c r="F191" s="362">
        <f t="shared" si="21"/>
        <v>0.17792207792207793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0.91917709090909094</v>
      </c>
      <c r="D192" s="372">
        <f>IF((LN_ID4+LN_IE4)=0,0,(LN_ID6+LN_IE6)/(LN_ID4+LN_IE4))</f>
        <v>0.96284774421168684</v>
      </c>
      <c r="E192" s="373">
        <f t="shared" si="20"/>
        <v>4.3670653302595897E-2</v>
      </c>
      <c r="F192" s="362">
        <f t="shared" si="21"/>
        <v>4.7510598049614619E-2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3538.8317999999999</v>
      </c>
      <c r="D193" s="376">
        <f>LN_IF4*LN_IF5</f>
        <v>4366.5145199999997</v>
      </c>
      <c r="E193" s="376">
        <f t="shared" si="20"/>
        <v>827.68271999999979</v>
      </c>
      <c r="F193" s="362">
        <f t="shared" si="21"/>
        <v>0.23388586030000064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5414.1957241369882</v>
      </c>
      <c r="D194" s="378">
        <f>IF(LN_IF6=0,0,LN_IF2/LN_IF6)</f>
        <v>5293.2287054435355</v>
      </c>
      <c r="E194" s="378">
        <f t="shared" si="20"/>
        <v>-120.9670186934527</v>
      </c>
      <c r="F194" s="362">
        <f t="shared" si="21"/>
        <v>-2.2342564779136164E-2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2872.4727762194789</v>
      </c>
      <c r="D195" s="378">
        <f>LN_IB7-LN_IF7</f>
        <v>3465.0896590068396</v>
      </c>
      <c r="E195" s="378">
        <f t="shared" si="20"/>
        <v>592.61688278736074</v>
      </c>
      <c r="F195" s="362">
        <f t="shared" si="21"/>
        <v>0.20630896407217342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2282.2892935490099</v>
      </c>
      <c r="D196" s="378">
        <f>LN_IA7-LN_IF7</f>
        <v>2494.4911423323701</v>
      </c>
      <c r="E196" s="378">
        <f t="shared" si="20"/>
        <v>212.20184878336022</v>
      </c>
      <c r="F196" s="362">
        <f t="shared" si="21"/>
        <v>9.297762969101156E-2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8076637.9288107725</v>
      </c>
      <c r="D197" s="391">
        <f>LN_IF9*LN_IF6</f>
        <v>10892231.793005681</v>
      </c>
      <c r="E197" s="391">
        <f t="shared" si="20"/>
        <v>2815593.8641949082</v>
      </c>
      <c r="F197" s="362">
        <f t="shared" si="21"/>
        <v>0.34860964289994911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15154</v>
      </c>
      <c r="D198" s="369">
        <f>LN_ID11+LN_IE11</f>
        <v>17079</v>
      </c>
      <c r="E198" s="369">
        <f t="shared" si="20"/>
        <v>1925</v>
      </c>
      <c r="F198" s="362">
        <f t="shared" si="21"/>
        <v>0.12702916721657648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1264.347894945229</v>
      </c>
      <c r="D199" s="432">
        <f>IF(LN_IF11=0,0,LN_IF2/LN_IF11)</f>
        <v>1353.2970314421218</v>
      </c>
      <c r="E199" s="432">
        <f t="shared" si="20"/>
        <v>88.949136496892834</v>
      </c>
      <c r="F199" s="362">
        <f t="shared" si="21"/>
        <v>7.0351789133754256E-2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3.9361038961038961</v>
      </c>
      <c r="D200" s="379">
        <f>IF(LN_IF4=0,0,LN_IF11/LN_IF4)</f>
        <v>3.7660418963616316</v>
      </c>
      <c r="E200" s="379">
        <f t="shared" si="20"/>
        <v>-0.17006199974226455</v>
      </c>
      <c r="F200" s="362">
        <f t="shared" si="21"/>
        <v>-4.3205668404891019E-2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77007249</v>
      </c>
      <c r="D203" s="361">
        <f>LN_ID14+LN_IE14</f>
        <v>81329175</v>
      </c>
      <c r="E203" s="361">
        <f t="shared" ref="E203:E211" si="22">D203-C203</f>
        <v>4321926</v>
      </c>
      <c r="F203" s="362">
        <f t="shared" ref="F203:F211" si="23">IF(C203=0,0,E203/C203)</f>
        <v>5.6123625452455785E-2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24571988</v>
      </c>
      <c r="D204" s="361">
        <f>LN_ID15+LN_IE15</f>
        <v>30631243</v>
      </c>
      <c r="E204" s="361">
        <f t="shared" si="22"/>
        <v>6059255</v>
      </c>
      <c r="F204" s="362">
        <f t="shared" si="23"/>
        <v>0.24659197294089513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0.31908668754028596</v>
      </c>
      <c r="D205" s="366">
        <f>IF(LN_IF14=0,0,LN_IF15/LN_IF14)</f>
        <v>0.37663289957140228</v>
      </c>
      <c r="E205" s="367">
        <f t="shared" si="22"/>
        <v>5.7546212031116317E-2</v>
      </c>
      <c r="F205" s="362">
        <f t="shared" si="23"/>
        <v>0.18034664020212651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1.1296550425738643</v>
      </c>
      <c r="D206" s="366">
        <f>IF(LN_IF1=0,0,LN_IF14/LN_IF1)</f>
        <v>1.1324358209193803</v>
      </c>
      <c r="E206" s="367">
        <f t="shared" si="22"/>
        <v>2.780778345516044E-3</v>
      </c>
      <c r="F206" s="362">
        <f t="shared" si="23"/>
        <v>2.4616172554589545E-3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4362.4428176279571</v>
      </c>
      <c r="D207" s="376">
        <f>LN_ID18+LN_IE18</f>
        <v>5275.5653920904351</v>
      </c>
      <c r="E207" s="376">
        <f t="shared" si="22"/>
        <v>913.12257446247804</v>
      </c>
      <c r="F207" s="362">
        <f t="shared" si="23"/>
        <v>0.20931450855302697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5632.6212232991102</v>
      </c>
      <c r="D208" s="378">
        <f>IF(LN_IF18=0,0,LN_IF15/LN_IF18)</f>
        <v>5806.2483778373589</v>
      </c>
      <c r="E208" s="378">
        <f t="shared" si="22"/>
        <v>173.62715453824876</v>
      </c>
      <c r="F208" s="362">
        <f t="shared" si="23"/>
        <v>3.0825285005859626E-2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4009.1318818867958</v>
      </c>
      <c r="D209" s="378">
        <f>LN_IB18-LN_IF19</f>
        <v>5257.8562034685692</v>
      </c>
      <c r="E209" s="378">
        <f t="shared" si="22"/>
        <v>1248.7243215817734</v>
      </c>
      <c r="F209" s="362">
        <f t="shared" si="23"/>
        <v>0.31147000357446292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1687.7238828214149</v>
      </c>
      <c r="D210" s="378">
        <f>LN_IA16-LN_IF19</f>
        <v>1767.961862091629</v>
      </c>
      <c r="E210" s="378">
        <f t="shared" si="22"/>
        <v>80.237979270214055</v>
      </c>
      <c r="F210" s="362">
        <f t="shared" si="23"/>
        <v>4.7542124684565104E-2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7362598.9307534527</v>
      </c>
      <c r="D211" s="353">
        <f>LN_IF21*LN_IF18</f>
        <v>9326998.4141863603</v>
      </c>
      <c r="E211" s="353">
        <f t="shared" si="22"/>
        <v>1964399.4834329076</v>
      </c>
      <c r="F211" s="362">
        <f t="shared" si="23"/>
        <v>0.26680788970150793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145176067</v>
      </c>
      <c r="D214" s="361">
        <f>LN_IF1+LN_IF14</f>
        <v>153147086</v>
      </c>
      <c r="E214" s="361">
        <f>D214-C214</f>
        <v>7971019</v>
      </c>
      <c r="F214" s="362">
        <f>IF(C214=0,0,E214/C214)</f>
        <v>5.4905875084768622E-2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43731916</v>
      </c>
      <c r="D215" s="361">
        <f>LN_IF2+LN_IF15</f>
        <v>53744203</v>
      </c>
      <c r="E215" s="361">
        <f>D215-C215</f>
        <v>10012287</v>
      </c>
      <c r="F215" s="362">
        <f>IF(C215=0,0,E215/C215)</f>
        <v>0.22894690916355004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101444151</v>
      </c>
      <c r="D216" s="361">
        <f>LN_IF23-LN_IF24</f>
        <v>99402883</v>
      </c>
      <c r="E216" s="361">
        <f>D216-C216</f>
        <v>-2041268</v>
      </c>
      <c r="F216" s="362">
        <f>IF(C216=0,0,E216/C216)</f>
        <v>-2.0122086683933112E-2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517947</v>
      </c>
      <c r="D221" s="361">
        <v>754937</v>
      </c>
      <c r="E221" s="361">
        <f t="shared" ref="E221:E230" si="24">D221-C221</f>
        <v>236990</v>
      </c>
      <c r="F221" s="362">
        <f t="shared" ref="F221:F230" si="25">IF(C221=0,0,E221/C221)</f>
        <v>0.45755646813283984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108143</v>
      </c>
      <c r="D222" s="361">
        <v>182086</v>
      </c>
      <c r="E222" s="361">
        <f t="shared" si="24"/>
        <v>73943</v>
      </c>
      <c r="F222" s="362">
        <f t="shared" si="25"/>
        <v>0.68375206901972385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0.20879163312076332</v>
      </c>
      <c r="D223" s="366">
        <f>IF(LN_IG1=0,0,LN_IG2/LN_IG1)</f>
        <v>0.24119363602525773</v>
      </c>
      <c r="E223" s="367">
        <f t="shared" si="24"/>
        <v>3.2402002904494409E-2</v>
      </c>
      <c r="F223" s="362">
        <f t="shared" si="25"/>
        <v>0.15518822483539541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33</v>
      </c>
      <c r="D224" s="369">
        <v>37</v>
      </c>
      <c r="E224" s="369">
        <f t="shared" si="24"/>
        <v>4</v>
      </c>
      <c r="F224" s="362">
        <f t="shared" si="25"/>
        <v>0.12121212121212122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0.79620000000000002</v>
      </c>
      <c r="D225" s="372">
        <v>0.96677999999999997</v>
      </c>
      <c r="E225" s="373">
        <f t="shared" si="24"/>
        <v>0.17057999999999995</v>
      </c>
      <c r="F225" s="362">
        <f t="shared" si="25"/>
        <v>0.21424265259984923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26.2746</v>
      </c>
      <c r="D226" s="376">
        <f>LN_IG3*LN_IG4</f>
        <v>35.770859999999999</v>
      </c>
      <c r="E226" s="376">
        <f t="shared" si="24"/>
        <v>9.4962599999999995</v>
      </c>
      <c r="F226" s="362">
        <f t="shared" si="25"/>
        <v>0.36142358018770981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4115.8761693803144</v>
      </c>
      <c r="D227" s="378">
        <f>IF(LN_IG5=0,0,LN_IG2/LN_IG5)</f>
        <v>5090.3444871048669</v>
      </c>
      <c r="E227" s="378">
        <f t="shared" si="24"/>
        <v>974.46831772455243</v>
      </c>
      <c r="F227" s="362">
        <f t="shared" si="25"/>
        <v>0.23675841488478702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130</v>
      </c>
      <c r="D228" s="369">
        <v>185</v>
      </c>
      <c r="E228" s="369">
        <f t="shared" si="24"/>
        <v>55</v>
      </c>
      <c r="F228" s="362">
        <f t="shared" si="25"/>
        <v>0.42307692307692307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831.86923076923074</v>
      </c>
      <c r="D229" s="378">
        <f>IF(LN_IG6=0,0,LN_IG2/LN_IG6)</f>
        <v>984.24864864864867</v>
      </c>
      <c r="E229" s="378">
        <f t="shared" si="24"/>
        <v>152.37941787941793</v>
      </c>
      <c r="F229" s="362">
        <f t="shared" si="25"/>
        <v>0.18317712958142765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3.9393939393939394</v>
      </c>
      <c r="D230" s="379">
        <f>IF(LN_IG3=0,0,LN_IG6/LN_IG3)</f>
        <v>5</v>
      </c>
      <c r="E230" s="379">
        <f t="shared" si="24"/>
        <v>1.0606060606060606</v>
      </c>
      <c r="F230" s="362">
        <f t="shared" si="25"/>
        <v>0.26923076923076922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661469</v>
      </c>
      <c r="D233" s="361">
        <v>669381</v>
      </c>
      <c r="E233" s="361">
        <f>D233-C233</f>
        <v>7912</v>
      </c>
      <c r="F233" s="362">
        <f>IF(C233=0,0,E233/C233)</f>
        <v>1.1961255931872847E-2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250766</v>
      </c>
      <c r="D234" s="361">
        <v>201216</v>
      </c>
      <c r="E234" s="361">
        <f>D234-C234</f>
        <v>-49550</v>
      </c>
      <c r="F234" s="362">
        <f>IF(C234=0,0,E234/C234)</f>
        <v>-0.19759457023679447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1179416</v>
      </c>
      <c r="D237" s="361">
        <f>LN_IG1+LN_IG9</f>
        <v>1424318</v>
      </c>
      <c r="E237" s="361">
        <f>D237-C237</f>
        <v>244902</v>
      </c>
      <c r="F237" s="362">
        <f>IF(C237=0,0,E237/C237)</f>
        <v>0.2076468353829353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358909</v>
      </c>
      <c r="D238" s="361">
        <f>LN_IG2+LN_IG10</f>
        <v>383302</v>
      </c>
      <c r="E238" s="361">
        <f>D238-C238</f>
        <v>24393</v>
      </c>
      <c r="F238" s="362">
        <f>IF(C238=0,0,E238/C238)</f>
        <v>6.7964302929154743E-2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820507</v>
      </c>
      <c r="D239" s="361">
        <f>LN_IG13-LN_IG14</f>
        <v>1041016</v>
      </c>
      <c r="E239" s="361">
        <f>D239-C239</f>
        <v>220509</v>
      </c>
      <c r="F239" s="362">
        <f>IF(C239=0,0,E239/C239)</f>
        <v>0.26874725017580592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23347865</v>
      </c>
      <c r="D243" s="361">
        <v>23393788</v>
      </c>
      <c r="E243" s="353">
        <f>D243-C243</f>
        <v>45923</v>
      </c>
      <c r="F243" s="415">
        <f>IF(C243=0,0,E243/C243)</f>
        <v>1.9669036119576671E-3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371908113</v>
      </c>
      <c r="D244" s="361">
        <v>381476536</v>
      </c>
      <c r="E244" s="353">
        <f>D244-C244</f>
        <v>9568423</v>
      </c>
      <c r="F244" s="415">
        <f>IF(C244=0,0,E244/C244)</f>
        <v>2.5727922208569835E-2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2227302</v>
      </c>
      <c r="D245" s="400">
        <v>1763987</v>
      </c>
      <c r="E245" s="400">
        <f>D245-C245</f>
        <v>-463315</v>
      </c>
      <c r="F245" s="401">
        <f>IF(C245=0,0,E245/C245)</f>
        <v>-0.20801624566403659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5631704</v>
      </c>
      <c r="D248" s="353">
        <v>8420571</v>
      </c>
      <c r="E248" s="353">
        <f>D248-C248</f>
        <v>2788867</v>
      </c>
      <c r="F248" s="362">
        <f>IF(C248=0,0,E248/C248)</f>
        <v>0.49520837742892737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19160722</v>
      </c>
      <c r="D249" s="353">
        <v>9548336</v>
      </c>
      <c r="E249" s="353">
        <f>D249-C249</f>
        <v>-9612386</v>
      </c>
      <c r="F249" s="362">
        <f>IF(C249=0,0,E249/C249)</f>
        <v>-0.50167138795709265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24792426</v>
      </c>
      <c r="D250" s="353">
        <f>LN_IH4+LN_IH5</f>
        <v>17968907</v>
      </c>
      <c r="E250" s="353">
        <f>D250-C250</f>
        <v>-6823519</v>
      </c>
      <c r="F250" s="362">
        <f>IF(C250=0,0,E250/C250)</f>
        <v>-0.27522595005426254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9645034.938931141</v>
      </c>
      <c r="D251" s="353">
        <f>LN_IH6*LN_III10</f>
        <v>7461609.7403504821</v>
      </c>
      <c r="E251" s="353">
        <f>D251-C251</f>
        <v>-2183425.198580659</v>
      </c>
      <c r="F251" s="362">
        <f>IF(C251=0,0,E251/C251)</f>
        <v>-0.22637815336132161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145176067</v>
      </c>
      <c r="D254" s="353">
        <f>LN_IF23</f>
        <v>153147086</v>
      </c>
      <c r="E254" s="353">
        <f>D254-C254</f>
        <v>7971019</v>
      </c>
      <c r="F254" s="362">
        <f>IF(C254=0,0,E254/C254)</f>
        <v>5.4905875084768622E-2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43731916</v>
      </c>
      <c r="D255" s="353">
        <f>LN_IF24</f>
        <v>53744203</v>
      </c>
      <c r="E255" s="353">
        <f>D255-C255</f>
        <v>10012287</v>
      </c>
      <c r="F255" s="362">
        <f>IF(C255=0,0,E255/C255)</f>
        <v>0.22894690916355004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56478064.652148537</v>
      </c>
      <c r="D256" s="353">
        <f>LN_IH8*LN_III10</f>
        <v>63594507.367860101</v>
      </c>
      <c r="E256" s="353">
        <f>D256-C256</f>
        <v>7116442.7157115638</v>
      </c>
      <c r="F256" s="362">
        <f>IF(C256=0,0,E256/C256)</f>
        <v>0.12600365751804918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12746148.652148537</v>
      </c>
      <c r="D257" s="353">
        <f>LN_IH10-LN_IH9</f>
        <v>9850304.3678601012</v>
      </c>
      <c r="E257" s="353">
        <f>D257-C257</f>
        <v>-2895844.2842884362</v>
      </c>
      <c r="F257" s="362">
        <f>IF(C257=0,0,E257/C257)</f>
        <v>-0.22719366950112432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430799767</v>
      </c>
      <c r="D261" s="361">
        <f>LN_IA1+LN_IB1+LN_IF1+LN_IG1</f>
        <v>416962565</v>
      </c>
      <c r="E261" s="361">
        <f t="shared" ref="E261:E274" si="26">D261-C261</f>
        <v>-13837202</v>
      </c>
      <c r="F261" s="415">
        <f t="shared" ref="F261:F274" si="27">IF(C261=0,0,E261/C261)</f>
        <v>-3.2119799173428984E-2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177351134</v>
      </c>
      <c r="D262" s="361">
        <f>+LN_IA2+LN_IB2+LN_IF2+LN_IG2</f>
        <v>175974423</v>
      </c>
      <c r="E262" s="361">
        <f t="shared" si="26"/>
        <v>-1376711</v>
      </c>
      <c r="F262" s="415">
        <f t="shared" si="27"/>
        <v>-7.7626286844041268E-3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0.411678806687934</v>
      </c>
      <c r="D263" s="366">
        <f>IF(LN_IIA1=0,0,LN_IIA2/LN_IIA1)</f>
        <v>0.42203890174169473</v>
      </c>
      <c r="E263" s="367">
        <f t="shared" si="26"/>
        <v>1.0360095053760732E-2</v>
      </c>
      <c r="F263" s="371">
        <f t="shared" si="27"/>
        <v>2.516548067438901E-2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20067</v>
      </c>
      <c r="D264" s="369">
        <f>LN_IA4+LN_IB4+LN_IF4+LN_IG3</f>
        <v>19517</v>
      </c>
      <c r="E264" s="369">
        <f t="shared" si="26"/>
        <v>-550</v>
      </c>
      <c r="F264" s="415">
        <f t="shared" si="27"/>
        <v>-2.7408182588329097E-2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1.1726925848407836</v>
      </c>
      <c r="D265" s="439">
        <f>IF(LN_IIA4=0,0,LN_IIA6/LN_IIA4)</f>
        <v>1.1864045498795921</v>
      </c>
      <c r="E265" s="439">
        <f t="shared" si="26"/>
        <v>1.3711965038808449E-2</v>
      </c>
      <c r="F265" s="415">
        <f t="shared" si="27"/>
        <v>1.1692719145717222E-2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23532.422100000003</v>
      </c>
      <c r="D266" s="376">
        <f>LN_IA6+LN_IB6+LN_IF6+LN_IG5</f>
        <v>23155.0576</v>
      </c>
      <c r="E266" s="376">
        <f t="shared" si="26"/>
        <v>-377.36450000000332</v>
      </c>
      <c r="F266" s="415">
        <f t="shared" si="27"/>
        <v>-1.6035939623911609E-2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396091858</v>
      </c>
      <c r="D267" s="361">
        <f>LN_IA11+LN_IB13+LN_IF14+LN_IG9</f>
        <v>383777484</v>
      </c>
      <c r="E267" s="361">
        <f t="shared" si="26"/>
        <v>-12314374</v>
      </c>
      <c r="F267" s="415">
        <f t="shared" si="27"/>
        <v>-3.1089692330913805E-2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0.91943377954519645</v>
      </c>
      <c r="D268" s="366">
        <f>IF(LN_IIA1=0,0,LN_IIA7/LN_IIA1)</f>
        <v>0.92041232526473926</v>
      </c>
      <c r="E268" s="367">
        <f t="shared" si="26"/>
        <v>9.7854571954281155E-4</v>
      </c>
      <c r="F268" s="371">
        <f t="shared" si="27"/>
        <v>1.0642916774570271E-3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166900888</v>
      </c>
      <c r="D269" s="361">
        <f>LN_IA12+LN_IB14+LN_IF15+LN_IG10</f>
        <v>172738743</v>
      </c>
      <c r="E269" s="361">
        <f t="shared" si="26"/>
        <v>5837855</v>
      </c>
      <c r="F269" s="415">
        <f t="shared" si="27"/>
        <v>3.497797447308968E-2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0.4213691461438725</v>
      </c>
      <c r="D270" s="366">
        <f>IF(LN_IIA7=0,0,LN_IIA9/LN_IIA7)</f>
        <v>0.45010129619798123</v>
      </c>
      <c r="E270" s="367">
        <f t="shared" si="26"/>
        <v>2.8732150054108729E-2</v>
      </c>
      <c r="F270" s="371">
        <f t="shared" si="27"/>
        <v>6.8187598254520532E-2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826891625</v>
      </c>
      <c r="D271" s="353">
        <f>LN_IIA1+LN_IIA7</f>
        <v>800740049</v>
      </c>
      <c r="E271" s="353">
        <f t="shared" si="26"/>
        <v>-26151576</v>
      </c>
      <c r="F271" s="415">
        <f t="shared" si="27"/>
        <v>-3.1626364579517903E-2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344252022</v>
      </c>
      <c r="D272" s="353">
        <f>LN_IIA2+LN_IIA9</f>
        <v>348713166</v>
      </c>
      <c r="E272" s="353">
        <f t="shared" si="26"/>
        <v>4461144</v>
      </c>
      <c r="F272" s="415">
        <f t="shared" si="27"/>
        <v>1.2958947848968626E-2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0.41632060549651834</v>
      </c>
      <c r="D273" s="366">
        <f>IF(LN_IIA11=0,0,LN_IIA12/LN_IIA11)</f>
        <v>0.43548860386774535</v>
      </c>
      <c r="E273" s="367">
        <f t="shared" si="26"/>
        <v>1.9167998371227013E-2</v>
      </c>
      <c r="F273" s="371">
        <f t="shared" si="27"/>
        <v>4.6041435658383027E-2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86498</v>
      </c>
      <c r="D274" s="421">
        <f>LN_IA8+LN_IB10+LN_IF11+LN_IG6</f>
        <v>81872</v>
      </c>
      <c r="E274" s="442">
        <f t="shared" si="26"/>
        <v>-4626</v>
      </c>
      <c r="F274" s="371">
        <f t="shared" si="27"/>
        <v>-5.3481005341163956E-2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310332107</v>
      </c>
      <c r="D277" s="361">
        <f>LN_IA1+LN_IF1+LN_IG1</f>
        <v>302514913</v>
      </c>
      <c r="E277" s="361">
        <f t="shared" ref="E277:E291" si="28">D277-C277</f>
        <v>-7817194</v>
      </c>
      <c r="F277" s="415">
        <f t="shared" ref="F277:F291" si="29">IF(C277=0,0,E277/C277)</f>
        <v>-2.5189768714456606E-2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115502426</v>
      </c>
      <c r="D278" s="361">
        <f>LN_IA2+LN_IF2+LN_IG2</f>
        <v>116075225</v>
      </c>
      <c r="E278" s="361">
        <f t="shared" si="28"/>
        <v>572799</v>
      </c>
      <c r="F278" s="415">
        <f t="shared" si="29"/>
        <v>4.9591945367450548E-3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0.3721897392975842</v>
      </c>
      <c r="D279" s="366">
        <f>IF(D277=0,0,LN_IIB2/D277)</f>
        <v>0.38370083593201237</v>
      </c>
      <c r="E279" s="367">
        <f t="shared" si="28"/>
        <v>1.1511096634428175E-2</v>
      </c>
      <c r="F279" s="371">
        <f t="shared" si="29"/>
        <v>3.0928033255705853E-2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13104</v>
      </c>
      <c r="D280" s="369">
        <f>LN_IA4+LN_IF4+LN_IG3</f>
        <v>13310</v>
      </c>
      <c r="E280" s="369">
        <f t="shared" si="28"/>
        <v>206</v>
      </c>
      <c r="F280" s="415">
        <f t="shared" si="29"/>
        <v>1.572039072039072E-2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1.2262501831501833</v>
      </c>
      <c r="D281" s="439">
        <f>IF(LN_IIB4=0,0,LN_IIB6/LN_IIB4)</f>
        <v>1.2258404748309539</v>
      </c>
      <c r="E281" s="439">
        <f t="shared" si="28"/>
        <v>-4.0970831922937379E-4</v>
      </c>
      <c r="F281" s="415">
        <f t="shared" si="29"/>
        <v>-3.3411478738934903E-4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16068.782400000002</v>
      </c>
      <c r="D282" s="376">
        <f>LN_IA6+LN_IF6+LN_IG5</f>
        <v>16315.936719999998</v>
      </c>
      <c r="E282" s="376">
        <f t="shared" si="28"/>
        <v>247.15431999999601</v>
      </c>
      <c r="F282" s="415">
        <f t="shared" si="29"/>
        <v>1.5381023517998227E-2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204943054</v>
      </c>
      <c r="D283" s="361">
        <f>LN_IA11+LN_IF14+LN_IG9</f>
        <v>207476224</v>
      </c>
      <c r="E283" s="361">
        <f t="shared" si="28"/>
        <v>2533170</v>
      </c>
      <c r="F283" s="415">
        <f t="shared" si="29"/>
        <v>1.2360360356492003E-2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0.66039913169538722</v>
      </c>
      <c r="D284" s="366">
        <f>IF(D277=0,0,LN_IIB7/D277)</f>
        <v>0.68583800362926239</v>
      </c>
      <c r="E284" s="367">
        <f t="shared" si="28"/>
        <v>2.5438871933875173E-2</v>
      </c>
      <c r="F284" s="371">
        <f t="shared" si="29"/>
        <v>3.8520450304905904E-2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60375405</v>
      </c>
      <c r="D285" s="361">
        <f>LN_IA12+LN_IF15+LN_IG10</f>
        <v>66948273</v>
      </c>
      <c r="E285" s="361">
        <f t="shared" si="28"/>
        <v>6572868</v>
      </c>
      <c r="F285" s="415">
        <f t="shared" si="29"/>
        <v>0.10886664859639451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0.29459600519078827</v>
      </c>
      <c r="D286" s="366">
        <f>IF(LN_IIB7=0,0,LN_IIB9/LN_IIB7)</f>
        <v>0.32267925311769702</v>
      </c>
      <c r="E286" s="367">
        <f t="shared" si="28"/>
        <v>2.808324792690875E-2</v>
      </c>
      <c r="F286" s="371">
        <f t="shared" si="29"/>
        <v>9.5327999810185096E-2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515275161</v>
      </c>
      <c r="D287" s="353">
        <f>D277+LN_IIB7</f>
        <v>509991137</v>
      </c>
      <c r="E287" s="353">
        <f t="shared" si="28"/>
        <v>-5284024</v>
      </c>
      <c r="F287" s="415">
        <f t="shared" si="29"/>
        <v>-1.0254761727200742E-2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175877831</v>
      </c>
      <c r="D288" s="353">
        <f>LN_IIB2+LN_IIB9</f>
        <v>183023498</v>
      </c>
      <c r="E288" s="353">
        <f t="shared" si="28"/>
        <v>7145667</v>
      </c>
      <c r="F288" s="415">
        <f t="shared" si="29"/>
        <v>4.0628582689310057E-2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0.34132798223510719</v>
      </c>
      <c r="D289" s="366">
        <f>IF(LN_IIB11=0,0,LN_IIB12/LN_IIB11)</f>
        <v>0.35887584062073613</v>
      </c>
      <c r="E289" s="367">
        <f t="shared" si="28"/>
        <v>1.7547858385628945E-2</v>
      </c>
      <c r="F289" s="371">
        <f t="shared" si="29"/>
        <v>5.1410547329641308E-2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62057</v>
      </c>
      <c r="D290" s="421">
        <f>LN_IA8+LN_IF11+LN_IG6</f>
        <v>59623</v>
      </c>
      <c r="E290" s="442">
        <f t="shared" si="28"/>
        <v>-2434</v>
      </c>
      <c r="F290" s="371">
        <f t="shared" si="29"/>
        <v>-3.9222005575519282E-2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339397330</v>
      </c>
      <c r="D291" s="429">
        <f>LN_IIB11-LN_IIB12</f>
        <v>326967639</v>
      </c>
      <c r="E291" s="353">
        <f t="shared" si="28"/>
        <v>-12429691</v>
      </c>
      <c r="F291" s="415">
        <f t="shared" si="29"/>
        <v>-3.662283082780881E-2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5.072443335863789</v>
      </c>
      <c r="D294" s="379">
        <f>IF(LN_IA4=0,0,LN_IA8/LN_IA4)</f>
        <v>4.8476768139162276</v>
      </c>
      <c r="E294" s="379">
        <f t="shared" ref="E294:E300" si="30">D294-C294</f>
        <v>-0.22476652194756142</v>
      </c>
      <c r="F294" s="415">
        <f t="shared" ref="F294:F300" si="31">IF(C294=0,0,E294/C294)</f>
        <v>-4.4311292815907975E-2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3.5101249461439035</v>
      </c>
      <c r="D295" s="379">
        <f>IF(LN_IB4=0,0,(LN_IB10)/(LN_IB4))</f>
        <v>3.5845013694216208</v>
      </c>
      <c r="E295" s="379">
        <f t="shared" si="30"/>
        <v>7.4376423277717318E-2</v>
      </c>
      <c r="F295" s="415">
        <f t="shared" si="31"/>
        <v>2.1189109908872211E-2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3.6913043478260867</v>
      </c>
      <c r="D296" s="379">
        <f>IF(LN_IC4=0,0,LN_IC11/LN_IC4)</f>
        <v>3.2425149700598803</v>
      </c>
      <c r="E296" s="379">
        <f t="shared" si="30"/>
        <v>-0.44878937776620642</v>
      </c>
      <c r="F296" s="415">
        <f t="shared" si="31"/>
        <v>-0.12158016123230564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3.8397806883947609</v>
      </c>
      <c r="D297" s="379">
        <f>IF(LN_ID4=0,0,LN_ID11/LN_ID4)</f>
        <v>3.5821375556655122</v>
      </c>
      <c r="E297" s="379">
        <f t="shared" si="30"/>
        <v>-0.25764313272924877</v>
      </c>
      <c r="F297" s="415">
        <f t="shared" si="31"/>
        <v>-6.7098397965264456E-2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4.4938271604938276</v>
      </c>
      <c r="D298" s="379">
        <f>IF(LN_IE4=0,0,LN_IE11/LN_IE4)</f>
        <v>5.2738336713995944</v>
      </c>
      <c r="E298" s="379">
        <f t="shared" si="30"/>
        <v>0.78000651090576678</v>
      </c>
      <c r="F298" s="415">
        <f t="shared" si="31"/>
        <v>0.17357287742683269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3.9393939393939394</v>
      </c>
      <c r="D299" s="379">
        <f>IF(LN_IG3=0,0,LN_IG6/LN_IG3)</f>
        <v>5</v>
      </c>
      <c r="E299" s="379">
        <f t="shared" si="30"/>
        <v>1.0606060606060606</v>
      </c>
      <c r="F299" s="415">
        <f t="shared" si="31"/>
        <v>0.26923076923076922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4.3104599591368915</v>
      </c>
      <c r="D300" s="379">
        <f>IF(LN_IIA4=0,0,LN_IIA14/LN_IIA4)</f>
        <v>4.1949070041502283</v>
      </c>
      <c r="E300" s="379">
        <f t="shared" si="30"/>
        <v>-0.11555295498666318</v>
      </c>
      <c r="F300" s="415">
        <f t="shared" si="31"/>
        <v>-2.6807569512790702E-2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826891625</v>
      </c>
      <c r="D304" s="353">
        <f>LN_IIA11</f>
        <v>800740049</v>
      </c>
      <c r="E304" s="353">
        <f t="shared" ref="E304:E316" si="32">D304-C304</f>
        <v>-26151576</v>
      </c>
      <c r="F304" s="362">
        <f>IF(C304=0,0,E304/C304)</f>
        <v>-3.1626364579517903E-2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339397330</v>
      </c>
      <c r="D305" s="353">
        <f>LN_IIB14</f>
        <v>326967639</v>
      </c>
      <c r="E305" s="353">
        <f t="shared" si="32"/>
        <v>-12429691</v>
      </c>
      <c r="F305" s="362">
        <f>IF(C305=0,0,E305/C305)</f>
        <v>-3.662283082780881E-2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24792426</v>
      </c>
      <c r="D306" s="353">
        <f>LN_IH6</f>
        <v>17968907</v>
      </c>
      <c r="E306" s="353">
        <f t="shared" si="32"/>
        <v>-6823519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143242273</v>
      </c>
      <c r="D307" s="353">
        <f>LN_IB32-LN_IB33</f>
        <v>125059244</v>
      </c>
      <c r="E307" s="353">
        <f t="shared" si="32"/>
        <v>-18183029</v>
      </c>
      <c r="F307" s="362">
        <f t="shared" ref="F307:F316" si="33">IF(C307=0,0,E307/C307)</f>
        <v>-0.12693898678918616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507432029</v>
      </c>
      <c r="D309" s="353">
        <f>LN_III2+LN_III3+LN_III4+LN_III5</f>
        <v>469995790</v>
      </c>
      <c r="E309" s="353">
        <f t="shared" si="32"/>
        <v>-37436239</v>
      </c>
      <c r="F309" s="362">
        <f t="shared" si="33"/>
        <v>-7.3775869201193056E-2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319459596</v>
      </c>
      <c r="D310" s="353">
        <f>LN_III1-LN_III6</f>
        <v>330744259</v>
      </c>
      <c r="E310" s="353">
        <f t="shared" si="32"/>
        <v>11284663</v>
      </c>
      <c r="F310" s="362">
        <f t="shared" si="33"/>
        <v>3.5324226103384919E-2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2227302</v>
      </c>
      <c r="D311" s="353">
        <f>LN_IH3</f>
        <v>1763987</v>
      </c>
      <c r="E311" s="353">
        <f t="shared" si="32"/>
        <v>-463315</v>
      </c>
      <c r="F311" s="362">
        <f t="shared" si="33"/>
        <v>-0.20801624566403659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321686898</v>
      </c>
      <c r="D312" s="353">
        <f>LN_III7+LN_III8</f>
        <v>332508246</v>
      </c>
      <c r="E312" s="353">
        <f t="shared" si="32"/>
        <v>10821348</v>
      </c>
      <c r="F312" s="362">
        <f t="shared" si="33"/>
        <v>3.3639380612884025E-2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0.38903151062873564</v>
      </c>
      <c r="D313" s="448">
        <f>IF(LN_III1=0,0,LN_III9/LN_III1)</f>
        <v>0.415251174729241</v>
      </c>
      <c r="E313" s="448">
        <f t="shared" si="32"/>
        <v>2.6219664100505358E-2</v>
      </c>
      <c r="F313" s="362">
        <f t="shared" si="33"/>
        <v>6.7397276015329161E-2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9645034.938931141</v>
      </c>
      <c r="D314" s="353">
        <f>D313*LN_III5</f>
        <v>7461609.7403504821</v>
      </c>
      <c r="E314" s="353">
        <f t="shared" si="32"/>
        <v>-2183425.198580659</v>
      </c>
      <c r="F314" s="362">
        <f t="shared" si="33"/>
        <v>-0.22637815336132161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12746148.652148537</v>
      </c>
      <c r="D315" s="353">
        <f>D313*LN_IH8-LN_IH9</f>
        <v>9850304.3678601012</v>
      </c>
      <c r="E315" s="353">
        <f t="shared" si="32"/>
        <v>-2895844.2842884362</v>
      </c>
      <c r="F315" s="362">
        <f t="shared" si="33"/>
        <v>-0.22719366950112432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22391183.591079678</v>
      </c>
      <c r="D318" s="353">
        <f>D314+D315+D316</f>
        <v>17311914.108210582</v>
      </c>
      <c r="E318" s="353">
        <f>D318-C318</f>
        <v>-5079269.4828690961</v>
      </c>
      <c r="F318" s="362">
        <f>IF(C318=0,0,E318/C318)</f>
        <v>-0.22684238473631216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5147765.9975743806</v>
      </c>
      <c r="D322" s="353">
        <f>LN_ID22</f>
        <v>8099391.7972753337</v>
      </c>
      <c r="E322" s="353">
        <f>LN_IV2-C322</f>
        <v>2951625.7997009531</v>
      </c>
      <c r="F322" s="362">
        <f>IF(C322=0,0,E322/C322)</f>
        <v>0.573379947940865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4621330.1592384325</v>
      </c>
      <c r="D323" s="353">
        <f>LN_IE10+LN_IE22</f>
        <v>3399794.8214312103</v>
      </c>
      <c r="E323" s="353">
        <f>LN_IV3-C323</f>
        <v>-1221535.3378072223</v>
      </c>
      <c r="F323" s="362">
        <f>IF(C323=0,0,E323/C323)</f>
        <v>-0.26432548545904455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12246169.814242508</v>
      </c>
      <c r="D324" s="353">
        <f>LN_IC10+LN_IC22</f>
        <v>2969997.622845287</v>
      </c>
      <c r="E324" s="353">
        <f>LN_IV1-C324</f>
        <v>-9276172.1913972218</v>
      </c>
      <c r="F324" s="362">
        <f>IF(C324=0,0,E324/C324)</f>
        <v>-0.75747538472060649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22015265.971055321</v>
      </c>
      <c r="D325" s="429">
        <f>LN_IV1+LN_IV2+LN_IV3</f>
        <v>14469184.241551831</v>
      </c>
      <c r="E325" s="353">
        <f>LN_IV4-C325</f>
        <v>-7546081.72950349</v>
      </c>
      <c r="F325" s="362">
        <f>IF(C325=0,0,E325/C325)</f>
        <v>-0.34276586707717899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25829053</v>
      </c>
      <c r="D330" s="429">
        <v>18469683</v>
      </c>
      <c r="E330" s="431">
        <f t="shared" si="34"/>
        <v>-7359370</v>
      </c>
      <c r="F330" s="463">
        <f t="shared" si="35"/>
        <v>-0.28492604819851508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372308376</v>
      </c>
      <c r="D331" s="429">
        <v>368946837</v>
      </c>
      <c r="E331" s="431">
        <f t="shared" si="34"/>
        <v>-3361539</v>
      </c>
      <c r="F331" s="462">
        <f t="shared" si="35"/>
        <v>-9.0289104857528106E-3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7766252</v>
      </c>
      <c r="D332" s="429">
        <v>8584797</v>
      </c>
      <c r="E332" s="431">
        <f t="shared" si="34"/>
        <v>818545</v>
      </c>
      <c r="F332" s="463">
        <f t="shared" si="35"/>
        <v>0.10539768732716888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834657876</v>
      </c>
      <c r="D333" s="429">
        <v>809324847</v>
      </c>
      <c r="E333" s="431">
        <f t="shared" si="34"/>
        <v>-25333029</v>
      </c>
      <c r="F333" s="462">
        <f t="shared" si="35"/>
        <v>-3.0351392742383947E-2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1186001</v>
      </c>
      <c r="D334" s="429">
        <v>1403970</v>
      </c>
      <c r="E334" s="429">
        <f t="shared" si="34"/>
        <v>217969</v>
      </c>
      <c r="F334" s="463">
        <f t="shared" si="35"/>
        <v>0.18378483660637723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25978427</v>
      </c>
      <c r="D335" s="429">
        <v>19372878</v>
      </c>
      <c r="E335" s="429">
        <f t="shared" si="34"/>
        <v>-6605549</v>
      </c>
      <c r="F335" s="462">
        <f t="shared" si="35"/>
        <v>-0.25427055302463081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120467660</v>
      </c>
      <c r="D14" s="513">
        <v>114447652</v>
      </c>
      <c r="E14" s="514">
        <f t="shared" ref="E14:E22" si="0">D14-C14</f>
        <v>-6020008</v>
      </c>
    </row>
    <row r="15" spans="1:5" s="506" customFormat="1" x14ac:dyDescent="0.2">
      <c r="A15" s="512">
        <v>2</v>
      </c>
      <c r="B15" s="511" t="s">
        <v>600</v>
      </c>
      <c r="C15" s="513">
        <v>241645342</v>
      </c>
      <c r="D15" s="515">
        <v>229942065</v>
      </c>
      <c r="E15" s="514">
        <f t="shared" si="0"/>
        <v>-11703277</v>
      </c>
    </row>
    <row r="16" spans="1:5" s="506" customFormat="1" x14ac:dyDescent="0.2">
      <c r="A16" s="512">
        <v>3</v>
      </c>
      <c r="B16" s="511" t="s">
        <v>746</v>
      </c>
      <c r="C16" s="513">
        <v>68168818</v>
      </c>
      <c r="D16" s="515">
        <v>71817911</v>
      </c>
      <c r="E16" s="514">
        <f t="shared" si="0"/>
        <v>3649093</v>
      </c>
    </row>
    <row r="17" spans="1:5" s="506" customFormat="1" x14ac:dyDescent="0.2">
      <c r="A17" s="512">
        <v>4</v>
      </c>
      <c r="B17" s="511" t="s">
        <v>114</v>
      </c>
      <c r="C17" s="513">
        <v>55559524</v>
      </c>
      <c r="D17" s="515">
        <v>58585464</v>
      </c>
      <c r="E17" s="514">
        <f t="shared" si="0"/>
        <v>3025940</v>
      </c>
    </row>
    <row r="18" spans="1:5" s="506" customFormat="1" x14ac:dyDescent="0.2">
      <c r="A18" s="512">
        <v>5</v>
      </c>
      <c r="B18" s="511" t="s">
        <v>713</v>
      </c>
      <c r="C18" s="513">
        <v>12609294</v>
      </c>
      <c r="D18" s="515">
        <v>13232447</v>
      </c>
      <c r="E18" s="514">
        <f t="shared" si="0"/>
        <v>623153</v>
      </c>
    </row>
    <row r="19" spans="1:5" s="506" customFormat="1" x14ac:dyDescent="0.2">
      <c r="A19" s="512">
        <v>6</v>
      </c>
      <c r="B19" s="511" t="s">
        <v>418</v>
      </c>
      <c r="C19" s="513">
        <v>517947</v>
      </c>
      <c r="D19" s="515">
        <v>754937</v>
      </c>
      <c r="E19" s="514">
        <f t="shared" si="0"/>
        <v>236990</v>
      </c>
    </row>
    <row r="20" spans="1:5" s="506" customFormat="1" x14ac:dyDescent="0.2">
      <c r="A20" s="512">
        <v>7</v>
      </c>
      <c r="B20" s="511" t="s">
        <v>728</v>
      </c>
      <c r="C20" s="513">
        <v>4796385</v>
      </c>
      <c r="D20" s="515">
        <v>5651953</v>
      </c>
      <c r="E20" s="514">
        <f t="shared" si="0"/>
        <v>855568</v>
      </c>
    </row>
    <row r="21" spans="1:5" s="506" customFormat="1" x14ac:dyDescent="0.2">
      <c r="A21" s="512"/>
      <c r="B21" s="516" t="s">
        <v>747</v>
      </c>
      <c r="C21" s="517">
        <f>SUM(C15+C16+C19)</f>
        <v>310332107</v>
      </c>
      <c r="D21" s="517">
        <f>SUM(D15+D16+D19)</f>
        <v>302514913</v>
      </c>
      <c r="E21" s="517">
        <f t="shared" si="0"/>
        <v>-7817194</v>
      </c>
    </row>
    <row r="22" spans="1:5" s="506" customFormat="1" x14ac:dyDescent="0.2">
      <c r="A22" s="512"/>
      <c r="B22" s="516" t="s">
        <v>687</v>
      </c>
      <c r="C22" s="517">
        <f>SUM(C14+C21)</f>
        <v>430799767</v>
      </c>
      <c r="D22" s="517">
        <f>SUM(D14+D21)</f>
        <v>416962565</v>
      </c>
      <c r="E22" s="517">
        <f t="shared" si="0"/>
        <v>-13837202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191148804</v>
      </c>
      <c r="D25" s="513">
        <v>176301260</v>
      </c>
      <c r="E25" s="514">
        <f t="shared" ref="E25:E33" si="1">D25-C25</f>
        <v>-14847544</v>
      </c>
    </row>
    <row r="26" spans="1:5" s="506" customFormat="1" x14ac:dyDescent="0.2">
      <c r="A26" s="512">
        <v>2</v>
      </c>
      <c r="B26" s="511" t="s">
        <v>600</v>
      </c>
      <c r="C26" s="513">
        <v>127274336</v>
      </c>
      <c r="D26" s="515">
        <v>125477668</v>
      </c>
      <c r="E26" s="514">
        <f t="shared" si="1"/>
        <v>-1796668</v>
      </c>
    </row>
    <row r="27" spans="1:5" s="506" customFormat="1" x14ac:dyDescent="0.2">
      <c r="A27" s="512">
        <v>3</v>
      </c>
      <c r="B27" s="511" t="s">
        <v>746</v>
      </c>
      <c r="C27" s="513">
        <v>77007249</v>
      </c>
      <c r="D27" s="515">
        <v>81329175</v>
      </c>
      <c r="E27" s="514">
        <f t="shared" si="1"/>
        <v>4321926</v>
      </c>
    </row>
    <row r="28" spans="1:5" s="506" customFormat="1" x14ac:dyDescent="0.2">
      <c r="A28" s="512">
        <v>4</v>
      </c>
      <c r="B28" s="511" t="s">
        <v>114</v>
      </c>
      <c r="C28" s="513">
        <v>63702766</v>
      </c>
      <c r="D28" s="515">
        <v>70754649</v>
      </c>
      <c r="E28" s="514">
        <f t="shared" si="1"/>
        <v>7051883</v>
      </c>
    </row>
    <row r="29" spans="1:5" s="506" customFormat="1" x14ac:dyDescent="0.2">
      <c r="A29" s="512">
        <v>5</v>
      </c>
      <c r="B29" s="511" t="s">
        <v>713</v>
      </c>
      <c r="C29" s="513">
        <v>13304483</v>
      </c>
      <c r="D29" s="515">
        <v>10574526</v>
      </c>
      <c r="E29" s="514">
        <f t="shared" si="1"/>
        <v>-2729957</v>
      </c>
    </row>
    <row r="30" spans="1:5" s="506" customFormat="1" x14ac:dyDescent="0.2">
      <c r="A30" s="512">
        <v>6</v>
      </c>
      <c r="B30" s="511" t="s">
        <v>418</v>
      </c>
      <c r="C30" s="513">
        <v>661469</v>
      </c>
      <c r="D30" s="515">
        <v>669381</v>
      </c>
      <c r="E30" s="514">
        <f t="shared" si="1"/>
        <v>7912</v>
      </c>
    </row>
    <row r="31" spans="1:5" s="506" customFormat="1" x14ac:dyDescent="0.2">
      <c r="A31" s="512">
        <v>7</v>
      </c>
      <c r="B31" s="511" t="s">
        <v>728</v>
      </c>
      <c r="C31" s="514">
        <v>15715137</v>
      </c>
      <c r="D31" s="518">
        <v>14929960</v>
      </c>
      <c r="E31" s="514">
        <f t="shared" si="1"/>
        <v>-785177</v>
      </c>
    </row>
    <row r="32" spans="1:5" s="506" customFormat="1" x14ac:dyDescent="0.2">
      <c r="A32" s="512"/>
      <c r="B32" s="516" t="s">
        <v>749</v>
      </c>
      <c r="C32" s="517">
        <f>SUM(C26+C27+C30)</f>
        <v>204943054</v>
      </c>
      <c r="D32" s="517">
        <f>SUM(D26+D27+D30)</f>
        <v>207476224</v>
      </c>
      <c r="E32" s="517">
        <f t="shared" si="1"/>
        <v>2533170</v>
      </c>
    </row>
    <row r="33" spans="1:5" s="506" customFormat="1" x14ac:dyDescent="0.2">
      <c r="A33" s="512"/>
      <c r="B33" s="516" t="s">
        <v>693</v>
      </c>
      <c r="C33" s="517">
        <f>SUM(C25+C32)</f>
        <v>396091858</v>
      </c>
      <c r="D33" s="517">
        <f>SUM(D25+D32)</f>
        <v>383777484</v>
      </c>
      <c r="E33" s="517">
        <f t="shared" si="1"/>
        <v>-12314374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311616464</v>
      </c>
      <c r="D36" s="514">
        <f t="shared" si="2"/>
        <v>290748912</v>
      </c>
      <c r="E36" s="514">
        <f t="shared" ref="E36:E44" si="3">D36-C36</f>
        <v>-20867552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368919678</v>
      </c>
      <c r="D37" s="514">
        <f t="shared" si="2"/>
        <v>355419733</v>
      </c>
      <c r="E37" s="514">
        <f t="shared" si="3"/>
        <v>-13499945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145176067</v>
      </c>
      <c r="D38" s="514">
        <f t="shared" si="2"/>
        <v>153147086</v>
      </c>
      <c r="E38" s="514">
        <f t="shared" si="3"/>
        <v>7971019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119262290</v>
      </c>
      <c r="D39" s="514">
        <f t="shared" si="2"/>
        <v>129340113</v>
      </c>
      <c r="E39" s="514">
        <f t="shared" si="3"/>
        <v>10077823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25913777</v>
      </c>
      <c r="D40" s="514">
        <f t="shared" si="2"/>
        <v>23806973</v>
      </c>
      <c r="E40" s="514">
        <f t="shared" si="3"/>
        <v>-2106804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1179416</v>
      </c>
      <c r="D41" s="514">
        <f t="shared" si="2"/>
        <v>1424318</v>
      </c>
      <c r="E41" s="514">
        <f t="shared" si="3"/>
        <v>244902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20511522</v>
      </c>
      <c r="D42" s="514">
        <f t="shared" si="2"/>
        <v>20581913</v>
      </c>
      <c r="E42" s="514">
        <f t="shared" si="3"/>
        <v>70391</v>
      </c>
    </row>
    <row r="43" spans="1:5" s="506" customFormat="1" x14ac:dyDescent="0.2">
      <c r="A43" s="512"/>
      <c r="B43" s="516" t="s">
        <v>757</v>
      </c>
      <c r="C43" s="517">
        <f>SUM(C37+C38+C41)</f>
        <v>515275161</v>
      </c>
      <c r="D43" s="517">
        <f>SUM(D37+D38+D41)</f>
        <v>509991137</v>
      </c>
      <c r="E43" s="517">
        <f t="shared" si="3"/>
        <v>-5284024</v>
      </c>
    </row>
    <row r="44" spans="1:5" s="506" customFormat="1" x14ac:dyDescent="0.2">
      <c r="A44" s="512"/>
      <c r="B44" s="516" t="s">
        <v>695</v>
      </c>
      <c r="C44" s="517">
        <f>SUM(C36+C43)</f>
        <v>826891625</v>
      </c>
      <c r="D44" s="517">
        <f>SUM(D36+D43)</f>
        <v>800740049</v>
      </c>
      <c r="E44" s="517">
        <f t="shared" si="3"/>
        <v>-26151576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61848708</v>
      </c>
      <c r="D47" s="513">
        <v>59899198</v>
      </c>
      <c r="E47" s="514">
        <f t="shared" ref="E47:E55" si="4">D47-C47</f>
        <v>-1949510</v>
      </c>
    </row>
    <row r="48" spans="1:5" s="506" customFormat="1" x14ac:dyDescent="0.2">
      <c r="A48" s="512">
        <v>2</v>
      </c>
      <c r="B48" s="511" t="s">
        <v>600</v>
      </c>
      <c r="C48" s="513">
        <v>96234355</v>
      </c>
      <c r="D48" s="515">
        <v>92780179</v>
      </c>
      <c r="E48" s="514">
        <f t="shared" si="4"/>
        <v>-3454176</v>
      </c>
    </row>
    <row r="49" spans="1:5" s="506" customFormat="1" x14ac:dyDescent="0.2">
      <c r="A49" s="512">
        <v>3</v>
      </c>
      <c r="B49" s="511" t="s">
        <v>746</v>
      </c>
      <c r="C49" s="513">
        <v>19159928</v>
      </c>
      <c r="D49" s="515">
        <v>23112960</v>
      </c>
      <c r="E49" s="514">
        <f t="shared" si="4"/>
        <v>3953032</v>
      </c>
    </row>
    <row r="50" spans="1:5" s="506" customFormat="1" x14ac:dyDescent="0.2">
      <c r="A50" s="512">
        <v>4</v>
      </c>
      <c r="B50" s="511" t="s">
        <v>114</v>
      </c>
      <c r="C50" s="513">
        <v>16828095</v>
      </c>
      <c r="D50" s="515">
        <v>20418163</v>
      </c>
      <c r="E50" s="514">
        <f t="shared" si="4"/>
        <v>3590068</v>
      </c>
    </row>
    <row r="51" spans="1:5" s="506" customFormat="1" x14ac:dyDescent="0.2">
      <c r="A51" s="512">
        <v>5</v>
      </c>
      <c r="B51" s="511" t="s">
        <v>713</v>
      </c>
      <c r="C51" s="513">
        <v>2331833</v>
      </c>
      <c r="D51" s="515">
        <v>2694797</v>
      </c>
      <c r="E51" s="514">
        <f t="shared" si="4"/>
        <v>362964</v>
      </c>
    </row>
    <row r="52" spans="1:5" s="506" customFormat="1" x14ac:dyDescent="0.2">
      <c r="A52" s="512">
        <v>6</v>
      </c>
      <c r="B52" s="511" t="s">
        <v>418</v>
      </c>
      <c r="C52" s="513">
        <v>108143</v>
      </c>
      <c r="D52" s="515">
        <v>182086</v>
      </c>
      <c r="E52" s="514">
        <f t="shared" si="4"/>
        <v>73943</v>
      </c>
    </row>
    <row r="53" spans="1:5" s="506" customFormat="1" x14ac:dyDescent="0.2">
      <c r="A53" s="512">
        <v>7</v>
      </c>
      <c r="B53" s="511" t="s">
        <v>728</v>
      </c>
      <c r="C53" s="513">
        <v>45806</v>
      </c>
      <c r="D53" s="515">
        <v>583493</v>
      </c>
      <c r="E53" s="514">
        <f t="shared" si="4"/>
        <v>537687</v>
      </c>
    </row>
    <row r="54" spans="1:5" s="506" customFormat="1" x14ac:dyDescent="0.2">
      <c r="A54" s="512"/>
      <c r="B54" s="516" t="s">
        <v>759</v>
      </c>
      <c r="C54" s="517">
        <f>SUM(C48+C49+C52)</f>
        <v>115502426</v>
      </c>
      <c r="D54" s="517">
        <f>SUM(D48+D49+D52)</f>
        <v>116075225</v>
      </c>
      <c r="E54" s="517">
        <f t="shared" si="4"/>
        <v>572799</v>
      </c>
    </row>
    <row r="55" spans="1:5" s="506" customFormat="1" x14ac:dyDescent="0.2">
      <c r="A55" s="512"/>
      <c r="B55" s="516" t="s">
        <v>688</v>
      </c>
      <c r="C55" s="517">
        <f>SUM(C47+C54)</f>
        <v>177351134</v>
      </c>
      <c r="D55" s="517">
        <f>SUM(D47+D54)</f>
        <v>175974423</v>
      </c>
      <c r="E55" s="517">
        <f t="shared" si="4"/>
        <v>-1376711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106525483</v>
      </c>
      <c r="D58" s="513">
        <v>105790470</v>
      </c>
      <c r="E58" s="514">
        <f t="shared" ref="E58:E66" si="5">D58-C58</f>
        <v>-735013</v>
      </c>
    </row>
    <row r="59" spans="1:5" s="506" customFormat="1" x14ac:dyDescent="0.2">
      <c r="A59" s="512">
        <v>2</v>
      </c>
      <c r="B59" s="511" t="s">
        <v>600</v>
      </c>
      <c r="C59" s="513">
        <v>35552651</v>
      </c>
      <c r="D59" s="515">
        <v>36115814</v>
      </c>
      <c r="E59" s="514">
        <f t="shared" si="5"/>
        <v>563163</v>
      </c>
    </row>
    <row r="60" spans="1:5" s="506" customFormat="1" x14ac:dyDescent="0.2">
      <c r="A60" s="512">
        <v>3</v>
      </c>
      <c r="B60" s="511" t="s">
        <v>746</v>
      </c>
      <c r="C60" s="513">
        <f>C61+C62</f>
        <v>24571988</v>
      </c>
      <c r="D60" s="515">
        <f>D61+D62</f>
        <v>30631243</v>
      </c>
      <c r="E60" s="514">
        <f t="shared" si="5"/>
        <v>6059255</v>
      </c>
    </row>
    <row r="61" spans="1:5" s="506" customFormat="1" x14ac:dyDescent="0.2">
      <c r="A61" s="512">
        <v>4</v>
      </c>
      <c r="B61" s="511" t="s">
        <v>114</v>
      </c>
      <c r="C61" s="513">
        <v>22407348</v>
      </c>
      <c r="D61" s="515">
        <v>28874807</v>
      </c>
      <c r="E61" s="514">
        <f t="shared" si="5"/>
        <v>6467459</v>
      </c>
    </row>
    <row r="62" spans="1:5" s="506" customFormat="1" x14ac:dyDescent="0.2">
      <c r="A62" s="512">
        <v>5</v>
      </c>
      <c r="B62" s="511" t="s">
        <v>713</v>
      </c>
      <c r="C62" s="513">
        <v>2164640</v>
      </c>
      <c r="D62" s="515">
        <v>1756436</v>
      </c>
      <c r="E62" s="514">
        <f t="shared" si="5"/>
        <v>-408204</v>
      </c>
    </row>
    <row r="63" spans="1:5" s="506" customFormat="1" x14ac:dyDescent="0.2">
      <c r="A63" s="512">
        <v>6</v>
      </c>
      <c r="B63" s="511" t="s">
        <v>418</v>
      </c>
      <c r="C63" s="513">
        <v>250766</v>
      </c>
      <c r="D63" s="515">
        <v>201216</v>
      </c>
      <c r="E63" s="514">
        <f t="shared" si="5"/>
        <v>-49550</v>
      </c>
    </row>
    <row r="64" spans="1:5" s="506" customFormat="1" x14ac:dyDescent="0.2">
      <c r="A64" s="512">
        <v>7</v>
      </c>
      <c r="B64" s="511" t="s">
        <v>728</v>
      </c>
      <c r="C64" s="513">
        <v>2421250</v>
      </c>
      <c r="D64" s="515">
        <v>5500273</v>
      </c>
      <c r="E64" s="514">
        <f t="shared" si="5"/>
        <v>3079023</v>
      </c>
    </row>
    <row r="65" spans="1:5" s="506" customFormat="1" x14ac:dyDescent="0.2">
      <c r="A65" s="512"/>
      <c r="B65" s="516" t="s">
        <v>761</v>
      </c>
      <c r="C65" s="517">
        <f>SUM(C59+C60+C63)</f>
        <v>60375405</v>
      </c>
      <c r="D65" s="517">
        <f>SUM(D59+D60+D63)</f>
        <v>66948273</v>
      </c>
      <c r="E65" s="517">
        <f t="shared" si="5"/>
        <v>6572868</v>
      </c>
    </row>
    <row r="66" spans="1:5" s="506" customFormat="1" x14ac:dyDescent="0.2">
      <c r="A66" s="512"/>
      <c r="B66" s="516" t="s">
        <v>694</v>
      </c>
      <c r="C66" s="517">
        <f>SUM(C58+C65)</f>
        <v>166900888</v>
      </c>
      <c r="D66" s="517">
        <f>SUM(D58+D65)</f>
        <v>172738743</v>
      </c>
      <c r="E66" s="517">
        <f t="shared" si="5"/>
        <v>5837855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168374191</v>
      </c>
      <c r="D69" s="514">
        <f t="shared" si="6"/>
        <v>165689668</v>
      </c>
      <c r="E69" s="514">
        <f t="shared" ref="E69:E77" si="7">D69-C69</f>
        <v>-2684523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131787006</v>
      </c>
      <c r="D70" s="514">
        <f t="shared" si="6"/>
        <v>128895993</v>
      </c>
      <c r="E70" s="514">
        <f t="shared" si="7"/>
        <v>-2891013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43731916</v>
      </c>
      <c r="D71" s="514">
        <f t="shared" si="6"/>
        <v>53744203</v>
      </c>
      <c r="E71" s="514">
        <f t="shared" si="7"/>
        <v>10012287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39235443</v>
      </c>
      <c r="D72" s="514">
        <f t="shared" si="6"/>
        <v>49292970</v>
      </c>
      <c r="E72" s="514">
        <f t="shared" si="7"/>
        <v>10057527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4496473</v>
      </c>
      <c r="D73" s="514">
        <f t="shared" si="6"/>
        <v>4451233</v>
      </c>
      <c r="E73" s="514">
        <f t="shared" si="7"/>
        <v>-45240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358909</v>
      </c>
      <c r="D74" s="514">
        <f t="shared" si="6"/>
        <v>383302</v>
      </c>
      <c r="E74" s="514">
        <f t="shared" si="7"/>
        <v>24393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2467056</v>
      </c>
      <c r="D75" s="514">
        <f t="shared" si="6"/>
        <v>6083766</v>
      </c>
      <c r="E75" s="514">
        <f t="shared" si="7"/>
        <v>3616710</v>
      </c>
    </row>
    <row r="76" spans="1:5" s="506" customFormat="1" x14ac:dyDescent="0.2">
      <c r="A76" s="512"/>
      <c r="B76" s="516" t="s">
        <v>762</v>
      </c>
      <c r="C76" s="517">
        <f>SUM(C70+C71+C74)</f>
        <v>175877831</v>
      </c>
      <c r="D76" s="517">
        <f>SUM(D70+D71+D74)</f>
        <v>183023498</v>
      </c>
      <c r="E76" s="517">
        <f t="shared" si="7"/>
        <v>7145667</v>
      </c>
    </row>
    <row r="77" spans="1:5" s="506" customFormat="1" x14ac:dyDescent="0.2">
      <c r="A77" s="512"/>
      <c r="B77" s="516" t="s">
        <v>696</v>
      </c>
      <c r="C77" s="517">
        <f>SUM(C69+C76)</f>
        <v>344252022</v>
      </c>
      <c r="D77" s="517">
        <f>SUM(D69+D76)</f>
        <v>348713166</v>
      </c>
      <c r="E77" s="517">
        <f t="shared" si="7"/>
        <v>4461144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0.14568736259724482</v>
      </c>
      <c r="D83" s="523">
        <f t="shared" si="8"/>
        <v>0.14292734844838514</v>
      </c>
      <c r="E83" s="523">
        <f t="shared" ref="E83:E91" si="9">D83-C83</f>
        <v>-2.7600141488596797E-3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0.29223338910948576</v>
      </c>
      <c r="D84" s="523">
        <f t="shared" si="8"/>
        <v>0.28716193886787844</v>
      </c>
      <c r="E84" s="523">
        <f t="shared" si="9"/>
        <v>-5.0714502416073226E-3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8.2439845729481182E-2</v>
      </c>
      <c r="D85" s="523">
        <f t="shared" si="8"/>
        <v>8.9689420542521159E-2</v>
      </c>
      <c r="E85" s="523">
        <f t="shared" si="9"/>
        <v>7.2495748130399773E-3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6.7190817176313769E-2</v>
      </c>
      <c r="D86" s="523">
        <f t="shared" si="8"/>
        <v>7.3164148681165816E-2</v>
      </c>
      <c r="E86" s="523">
        <f t="shared" si="9"/>
        <v>5.9733315048520474E-3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1.5249028553167412E-2</v>
      </c>
      <c r="D87" s="523">
        <f t="shared" si="8"/>
        <v>1.6525271861355346E-2</v>
      </c>
      <c r="E87" s="523">
        <f t="shared" si="9"/>
        <v>1.2762433081879333E-3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6.2637833585507652E-4</v>
      </c>
      <c r="D88" s="523">
        <f t="shared" si="8"/>
        <v>9.4279910308320302E-4</v>
      </c>
      <c r="E88" s="523">
        <f t="shared" si="9"/>
        <v>3.164207672281265E-4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5.8005001562326866E-3</v>
      </c>
      <c r="D89" s="523">
        <f t="shared" si="8"/>
        <v>7.0584117867695164E-3</v>
      </c>
      <c r="E89" s="523">
        <f t="shared" si="9"/>
        <v>1.2579116305368298E-3</v>
      </c>
    </row>
    <row r="90" spans="1:5" s="506" customFormat="1" x14ac:dyDescent="0.2">
      <c r="A90" s="512"/>
      <c r="B90" s="516" t="s">
        <v>765</v>
      </c>
      <c r="C90" s="524">
        <f>SUM(C84+C85+C88)</f>
        <v>0.37529961317482202</v>
      </c>
      <c r="D90" s="524">
        <f>SUM(D84+D85+D88)</f>
        <v>0.3777941585134828</v>
      </c>
      <c r="E90" s="525">
        <f t="shared" si="9"/>
        <v>2.4945453386607808E-3</v>
      </c>
    </row>
    <row r="91" spans="1:5" s="506" customFormat="1" x14ac:dyDescent="0.2">
      <c r="A91" s="512"/>
      <c r="B91" s="516" t="s">
        <v>766</v>
      </c>
      <c r="C91" s="524">
        <f>SUM(C83+C90)</f>
        <v>0.52098697577206687</v>
      </c>
      <c r="D91" s="524">
        <f>SUM(D83+D90)</f>
        <v>0.52072150696186792</v>
      </c>
      <c r="E91" s="525">
        <f t="shared" si="9"/>
        <v>-2.6546881019895441E-4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0.23116548556166597</v>
      </c>
      <c r="D95" s="523">
        <f t="shared" si="10"/>
        <v>0.22017290158044786</v>
      </c>
      <c r="E95" s="523">
        <f t="shared" ref="E95:E103" si="11">D95-C95</f>
        <v>-1.0992583981218107E-2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0.15391900480307805</v>
      </c>
      <c r="D96" s="523">
        <f t="shared" si="10"/>
        <v>0.15670212593550445</v>
      </c>
      <c r="E96" s="523">
        <f t="shared" si="11"/>
        <v>2.7831211324264027E-3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9.312858743731986E-2</v>
      </c>
      <c r="D97" s="523">
        <f t="shared" si="10"/>
        <v>0.10156751257985348</v>
      </c>
      <c r="E97" s="523">
        <f t="shared" si="11"/>
        <v>8.4389251425336237E-3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7.703883323283145E-2</v>
      </c>
      <c r="D98" s="523">
        <f t="shared" si="10"/>
        <v>8.8361571384323254E-2</v>
      </c>
      <c r="E98" s="523">
        <f t="shared" si="11"/>
        <v>1.1322738151491804E-2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1.6089754204488407E-2</v>
      </c>
      <c r="D99" s="523">
        <f t="shared" si="10"/>
        <v>1.3205941195530237E-2</v>
      </c>
      <c r="E99" s="523">
        <f t="shared" si="11"/>
        <v>-2.88381300895817E-3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7.9994642586929095E-4</v>
      </c>
      <c r="D100" s="523">
        <f t="shared" si="10"/>
        <v>8.3595294232623055E-4</v>
      </c>
      <c r="E100" s="523">
        <f t="shared" si="11"/>
        <v>3.60065164569396E-5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1.9005074576731867E-2</v>
      </c>
      <c r="D101" s="523">
        <f t="shared" si="10"/>
        <v>1.8645202046088744E-2</v>
      </c>
      <c r="E101" s="523">
        <f t="shared" si="11"/>
        <v>-3.5987253064312386E-4</v>
      </c>
    </row>
    <row r="102" spans="1:5" s="506" customFormat="1" x14ac:dyDescent="0.2">
      <c r="A102" s="512"/>
      <c r="B102" s="516" t="s">
        <v>768</v>
      </c>
      <c r="C102" s="524">
        <f>SUM(C96+C97+C100)</f>
        <v>0.24784753866626719</v>
      </c>
      <c r="D102" s="524">
        <f>SUM(D96+D97+D100)</f>
        <v>0.25910559145768419</v>
      </c>
      <c r="E102" s="525">
        <f t="shared" si="11"/>
        <v>1.1258052791417006E-2</v>
      </c>
    </row>
    <row r="103" spans="1:5" s="506" customFormat="1" x14ac:dyDescent="0.2">
      <c r="A103" s="512"/>
      <c r="B103" s="516" t="s">
        <v>769</v>
      </c>
      <c r="C103" s="524">
        <f>SUM(C95+C102)</f>
        <v>0.47901302422793313</v>
      </c>
      <c r="D103" s="524">
        <f>SUM(D95+D102)</f>
        <v>0.47927849303813208</v>
      </c>
      <c r="E103" s="525">
        <f t="shared" si="11"/>
        <v>2.6546881019895441E-4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0.17966113209931997</v>
      </c>
      <c r="D109" s="523">
        <f t="shared" si="12"/>
        <v>0.171772114850404</v>
      </c>
      <c r="E109" s="523">
        <f t="shared" ref="E109:E117" si="13">D109-C109</f>
        <v>-7.8890172489159693E-3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0.27954623023245451</v>
      </c>
      <c r="D110" s="523">
        <f t="shared" si="12"/>
        <v>0.26606445653961913</v>
      </c>
      <c r="E110" s="523">
        <f t="shared" si="13"/>
        <v>-1.3481773692835375E-2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5.5656689795710187E-2</v>
      </c>
      <c r="D111" s="523">
        <f t="shared" si="12"/>
        <v>6.6280720814539021E-2</v>
      </c>
      <c r="E111" s="523">
        <f t="shared" si="13"/>
        <v>1.0624031018828833E-2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4.8883067998363131E-2</v>
      </c>
      <c r="D112" s="523">
        <f t="shared" si="12"/>
        <v>5.8552888135000904E-2</v>
      </c>
      <c r="E112" s="523">
        <f t="shared" si="13"/>
        <v>9.6698201366377731E-3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6.7736217973470613E-3</v>
      </c>
      <c r="D113" s="523">
        <f t="shared" si="12"/>
        <v>7.7278326795381163E-3</v>
      </c>
      <c r="E113" s="523">
        <f t="shared" si="13"/>
        <v>9.5421088219105506E-4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3.1413904084490749E-4</v>
      </c>
      <c r="D114" s="523">
        <f t="shared" si="12"/>
        <v>5.2216554393016523E-4</v>
      </c>
      <c r="E114" s="523">
        <f t="shared" si="13"/>
        <v>2.0802650308525774E-4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1.3305949441888825E-4</v>
      </c>
      <c r="D115" s="523">
        <f t="shared" si="12"/>
        <v>1.6732749345059143E-3</v>
      </c>
      <c r="E115" s="523">
        <f t="shared" si="13"/>
        <v>1.540215440087026E-3</v>
      </c>
    </row>
    <row r="116" spans="1:5" s="506" customFormat="1" x14ac:dyDescent="0.2">
      <c r="A116" s="512"/>
      <c r="B116" s="516" t="s">
        <v>765</v>
      </c>
      <c r="C116" s="524">
        <f>SUM(C110+C111+C114)</f>
        <v>0.33551705906900964</v>
      </c>
      <c r="D116" s="524">
        <f>SUM(D110+D111+D114)</f>
        <v>0.33286734289808828</v>
      </c>
      <c r="E116" s="525">
        <f t="shared" si="13"/>
        <v>-2.6497161709213568E-3</v>
      </c>
    </row>
    <row r="117" spans="1:5" s="506" customFormat="1" x14ac:dyDescent="0.2">
      <c r="A117" s="512"/>
      <c r="B117" s="516" t="s">
        <v>766</v>
      </c>
      <c r="C117" s="524">
        <f>SUM(C109+C116)</f>
        <v>0.51517819116832964</v>
      </c>
      <c r="D117" s="524">
        <f>SUM(D109+D116)</f>
        <v>0.50463945774849228</v>
      </c>
      <c r="E117" s="525">
        <f t="shared" si="13"/>
        <v>-1.0538733419837354E-2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0.30944039887149888</v>
      </c>
      <c r="D121" s="523">
        <f t="shared" si="14"/>
        <v>0.30337389096458722</v>
      </c>
      <c r="E121" s="523">
        <f t="shared" ref="E121:E129" si="15">D121-C121</f>
        <v>-6.0665079069116556E-3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0.10327506805464748</v>
      </c>
      <c r="D122" s="523">
        <f t="shared" si="14"/>
        <v>0.10356882825582789</v>
      </c>
      <c r="E122" s="523">
        <f t="shared" si="15"/>
        <v>2.9376020118040969E-4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7.1377904644522316E-2</v>
      </c>
      <c r="D123" s="523">
        <f t="shared" si="14"/>
        <v>8.7840798646530022E-2</v>
      </c>
      <c r="E123" s="523">
        <f t="shared" si="15"/>
        <v>1.6462894002007705E-2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6.5089953197137645E-2</v>
      </c>
      <c r="D124" s="523">
        <f t="shared" si="14"/>
        <v>8.2803891035189647E-2</v>
      </c>
      <c r="E124" s="523">
        <f t="shared" si="15"/>
        <v>1.7713937838052002E-2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6.2879514473846718E-3</v>
      </c>
      <c r="D125" s="523">
        <f t="shared" si="14"/>
        <v>5.0369076113403761E-3</v>
      </c>
      <c r="E125" s="523">
        <f t="shared" si="15"/>
        <v>-1.2510438360442957E-3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7.2843726100176693E-4</v>
      </c>
      <c r="D126" s="523">
        <f t="shared" si="14"/>
        <v>5.7702438456252612E-4</v>
      </c>
      <c r="E126" s="523">
        <f t="shared" si="15"/>
        <v>-1.5141287643924081E-4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7.0333646435343233E-3</v>
      </c>
      <c r="D127" s="523">
        <f t="shared" si="14"/>
        <v>1.5773058020986795E-2</v>
      </c>
      <c r="E127" s="523">
        <f t="shared" si="15"/>
        <v>8.7396933774524718E-3</v>
      </c>
    </row>
    <row r="128" spans="1:5" s="506" customFormat="1" x14ac:dyDescent="0.2">
      <c r="A128" s="512"/>
      <c r="B128" s="516" t="s">
        <v>768</v>
      </c>
      <c r="C128" s="524">
        <f>SUM(C122+C123+C126)</f>
        <v>0.17538140996017157</v>
      </c>
      <c r="D128" s="524">
        <f>SUM(D122+D123+D126)</f>
        <v>0.19198665128692044</v>
      </c>
      <c r="E128" s="525">
        <f t="shared" si="15"/>
        <v>1.6605241326748871E-2</v>
      </c>
    </row>
    <row r="129" spans="1:5" s="506" customFormat="1" x14ac:dyDescent="0.2">
      <c r="A129" s="512"/>
      <c r="B129" s="516" t="s">
        <v>769</v>
      </c>
      <c r="C129" s="524">
        <f>SUM(C121+C128)</f>
        <v>0.48482180883167048</v>
      </c>
      <c r="D129" s="524">
        <f>SUM(D121+D128)</f>
        <v>0.49536054225150766</v>
      </c>
      <c r="E129" s="525">
        <f t="shared" si="15"/>
        <v>1.0538733419837187E-2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6963</v>
      </c>
      <c r="D137" s="530">
        <v>6207</v>
      </c>
      <c r="E137" s="531">
        <f t="shared" ref="E137:E145" si="16">D137-C137</f>
        <v>-756</v>
      </c>
    </row>
    <row r="138" spans="1:5" s="506" customFormat="1" x14ac:dyDescent="0.2">
      <c r="A138" s="512">
        <v>2</v>
      </c>
      <c r="B138" s="511" t="s">
        <v>600</v>
      </c>
      <c r="C138" s="530">
        <v>9221</v>
      </c>
      <c r="D138" s="530">
        <v>8738</v>
      </c>
      <c r="E138" s="531">
        <f t="shared" si="16"/>
        <v>-483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3850</v>
      </c>
      <c r="D139" s="530">
        <f>D140+D141</f>
        <v>4535</v>
      </c>
      <c r="E139" s="531">
        <f t="shared" si="16"/>
        <v>685</v>
      </c>
    </row>
    <row r="140" spans="1:5" s="506" customFormat="1" x14ac:dyDescent="0.2">
      <c r="A140" s="512">
        <v>4</v>
      </c>
      <c r="B140" s="511" t="s">
        <v>114</v>
      </c>
      <c r="C140" s="530">
        <v>3283</v>
      </c>
      <c r="D140" s="530">
        <v>4042</v>
      </c>
      <c r="E140" s="531">
        <f t="shared" si="16"/>
        <v>759</v>
      </c>
    </row>
    <row r="141" spans="1:5" s="506" customFormat="1" x14ac:dyDescent="0.2">
      <c r="A141" s="512">
        <v>5</v>
      </c>
      <c r="B141" s="511" t="s">
        <v>713</v>
      </c>
      <c r="C141" s="530">
        <v>567</v>
      </c>
      <c r="D141" s="530">
        <v>493</v>
      </c>
      <c r="E141" s="531">
        <f t="shared" si="16"/>
        <v>-74</v>
      </c>
    </row>
    <row r="142" spans="1:5" s="506" customFormat="1" x14ac:dyDescent="0.2">
      <c r="A142" s="512">
        <v>6</v>
      </c>
      <c r="B142" s="511" t="s">
        <v>418</v>
      </c>
      <c r="C142" s="530">
        <v>33</v>
      </c>
      <c r="D142" s="530">
        <v>37</v>
      </c>
      <c r="E142" s="531">
        <f t="shared" si="16"/>
        <v>4</v>
      </c>
    </row>
    <row r="143" spans="1:5" s="506" customFormat="1" x14ac:dyDescent="0.2">
      <c r="A143" s="512">
        <v>7</v>
      </c>
      <c r="B143" s="511" t="s">
        <v>728</v>
      </c>
      <c r="C143" s="530">
        <v>460</v>
      </c>
      <c r="D143" s="530">
        <v>334</v>
      </c>
      <c r="E143" s="531">
        <f t="shared" si="16"/>
        <v>-126</v>
      </c>
    </row>
    <row r="144" spans="1:5" s="506" customFormat="1" x14ac:dyDescent="0.2">
      <c r="A144" s="512"/>
      <c r="B144" s="516" t="s">
        <v>776</v>
      </c>
      <c r="C144" s="532">
        <f>SUM(C138+C139+C142)</f>
        <v>13104</v>
      </c>
      <c r="D144" s="532">
        <f>SUM(D138+D139+D142)</f>
        <v>13310</v>
      </c>
      <c r="E144" s="533">
        <f t="shared" si="16"/>
        <v>206</v>
      </c>
    </row>
    <row r="145" spans="1:5" s="506" customFormat="1" x14ac:dyDescent="0.2">
      <c r="A145" s="512"/>
      <c r="B145" s="516" t="s">
        <v>690</v>
      </c>
      <c r="C145" s="532">
        <f>SUM(C137+C144)</f>
        <v>20067</v>
      </c>
      <c r="D145" s="532">
        <f>SUM(D137+D144)</f>
        <v>19517</v>
      </c>
      <c r="E145" s="533">
        <f t="shared" si="16"/>
        <v>-550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24441</v>
      </c>
      <c r="D149" s="534">
        <v>22249</v>
      </c>
      <c r="E149" s="531">
        <f t="shared" ref="E149:E157" si="17">D149-C149</f>
        <v>-2192</v>
      </c>
    </row>
    <row r="150" spans="1:5" s="506" customFormat="1" x14ac:dyDescent="0.2">
      <c r="A150" s="512">
        <v>2</v>
      </c>
      <c r="B150" s="511" t="s">
        <v>600</v>
      </c>
      <c r="C150" s="534">
        <v>46773</v>
      </c>
      <c r="D150" s="534">
        <v>42359</v>
      </c>
      <c r="E150" s="531">
        <f t="shared" si="17"/>
        <v>-4414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15154</v>
      </c>
      <c r="D151" s="534">
        <f>D152+D153</f>
        <v>17079</v>
      </c>
      <c r="E151" s="531">
        <f t="shared" si="17"/>
        <v>1925</v>
      </c>
    </row>
    <row r="152" spans="1:5" s="506" customFormat="1" x14ac:dyDescent="0.2">
      <c r="A152" s="512">
        <v>4</v>
      </c>
      <c r="B152" s="511" t="s">
        <v>114</v>
      </c>
      <c r="C152" s="534">
        <v>12606</v>
      </c>
      <c r="D152" s="534">
        <v>14479</v>
      </c>
      <c r="E152" s="531">
        <f t="shared" si="17"/>
        <v>1873</v>
      </c>
    </row>
    <row r="153" spans="1:5" s="506" customFormat="1" x14ac:dyDescent="0.2">
      <c r="A153" s="512">
        <v>5</v>
      </c>
      <c r="B153" s="511" t="s">
        <v>713</v>
      </c>
      <c r="C153" s="535">
        <v>2548</v>
      </c>
      <c r="D153" s="534">
        <v>2600</v>
      </c>
      <c r="E153" s="531">
        <f t="shared" si="17"/>
        <v>52</v>
      </c>
    </row>
    <row r="154" spans="1:5" s="506" customFormat="1" x14ac:dyDescent="0.2">
      <c r="A154" s="512">
        <v>6</v>
      </c>
      <c r="B154" s="511" t="s">
        <v>418</v>
      </c>
      <c r="C154" s="534">
        <v>130</v>
      </c>
      <c r="D154" s="534">
        <v>185</v>
      </c>
      <c r="E154" s="531">
        <f t="shared" si="17"/>
        <v>55</v>
      </c>
    </row>
    <row r="155" spans="1:5" s="506" customFormat="1" x14ac:dyDescent="0.2">
      <c r="A155" s="512">
        <v>7</v>
      </c>
      <c r="B155" s="511" t="s">
        <v>728</v>
      </c>
      <c r="C155" s="534">
        <v>1698</v>
      </c>
      <c r="D155" s="534">
        <v>1083</v>
      </c>
      <c r="E155" s="531">
        <f t="shared" si="17"/>
        <v>-615</v>
      </c>
    </row>
    <row r="156" spans="1:5" s="506" customFormat="1" x14ac:dyDescent="0.2">
      <c r="A156" s="512"/>
      <c r="B156" s="516" t="s">
        <v>777</v>
      </c>
      <c r="C156" s="532">
        <f>SUM(C150+C151+C154)</f>
        <v>62057</v>
      </c>
      <c r="D156" s="532">
        <f>SUM(D150+D151+D154)</f>
        <v>59623</v>
      </c>
      <c r="E156" s="533">
        <f t="shared" si="17"/>
        <v>-2434</v>
      </c>
    </row>
    <row r="157" spans="1:5" s="506" customFormat="1" x14ac:dyDescent="0.2">
      <c r="A157" s="512"/>
      <c r="B157" s="516" t="s">
        <v>778</v>
      </c>
      <c r="C157" s="532">
        <f>SUM(C149+C156)</f>
        <v>86498</v>
      </c>
      <c r="D157" s="532">
        <f>SUM(D149+D156)</f>
        <v>81872</v>
      </c>
      <c r="E157" s="533">
        <f t="shared" si="17"/>
        <v>-4626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3.5101249461439035</v>
      </c>
      <c r="D161" s="536">
        <f t="shared" si="18"/>
        <v>3.5845013694216208</v>
      </c>
      <c r="E161" s="537">
        <f t="shared" ref="E161:E169" si="19">D161-C161</f>
        <v>7.4376423277717318E-2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5.072443335863789</v>
      </c>
      <c r="D162" s="536">
        <f t="shared" si="18"/>
        <v>4.8476768139162276</v>
      </c>
      <c r="E162" s="537">
        <f t="shared" si="19"/>
        <v>-0.22476652194756142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3.9361038961038961</v>
      </c>
      <c r="D163" s="536">
        <f t="shared" si="18"/>
        <v>3.7660418963616316</v>
      </c>
      <c r="E163" s="537">
        <f t="shared" si="19"/>
        <v>-0.17006199974226455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3.8397806883947609</v>
      </c>
      <c r="D164" s="536">
        <f t="shared" si="18"/>
        <v>3.5821375556655122</v>
      </c>
      <c r="E164" s="537">
        <f t="shared" si="19"/>
        <v>-0.25764313272924877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4.4938271604938276</v>
      </c>
      <c r="D165" s="536">
        <f t="shared" si="18"/>
        <v>5.2738336713995944</v>
      </c>
      <c r="E165" s="537">
        <f t="shared" si="19"/>
        <v>0.78000651090576678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3.9393939393939394</v>
      </c>
      <c r="D166" s="536">
        <f t="shared" si="18"/>
        <v>5</v>
      </c>
      <c r="E166" s="537">
        <f t="shared" si="19"/>
        <v>1.0606060606060606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3.6913043478260867</v>
      </c>
      <c r="D167" s="536">
        <f t="shared" si="18"/>
        <v>3.2425149700598803</v>
      </c>
      <c r="E167" s="537">
        <f t="shared" si="19"/>
        <v>-0.44878937776620642</v>
      </c>
    </row>
    <row r="168" spans="1:5" s="506" customFormat="1" x14ac:dyDescent="0.2">
      <c r="A168" s="512"/>
      <c r="B168" s="516" t="s">
        <v>780</v>
      </c>
      <c r="C168" s="538">
        <f t="shared" si="18"/>
        <v>4.7357295482295481</v>
      </c>
      <c r="D168" s="538">
        <f t="shared" si="18"/>
        <v>4.4795642374154774</v>
      </c>
      <c r="E168" s="539">
        <f t="shared" si="19"/>
        <v>-0.25616531081407068</v>
      </c>
    </row>
    <row r="169" spans="1:5" s="506" customFormat="1" x14ac:dyDescent="0.2">
      <c r="A169" s="512"/>
      <c r="B169" s="516" t="s">
        <v>714</v>
      </c>
      <c r="C169" s="538">
        <f t="shared" si="18"/>
        <v>4.3104599591368915</v>
      </c>
      <c r="D169" s="538">
        <f t="shared" si="18"/>
        <v>4.1949070041502283</v>
      </c>
      <c r="E169" s="539">
        <f t="shared" si="19"/>
        <v>-0.11555295498666318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1.0719000000000001</v>
      </c>
      <c r="D173" s="541">
        <f t="shared" si="20"/>
        <v>1.1018399999999999</v>
      </c>
      <c r="E173" s="542">
        <f t="shared" ref="E173:E181" si="21">D173-C173</f>
        <v>2.9939999999999856E-2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1.3560000000000001</v>
      </c>
      <c r="D174" s="541">
        <f t="shared" si="20"/>
        <v>1.3634299999999999</v>
      </c>
      <c r="E174" s="542">
        <f t="shared" si="21"/>
        <v>7.4299999999998256E-3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0.91917709090909094</v>
      </c>
      <c r="D175" s="541">
        <f t="shared" si="20"/>
        <v>0.96284774421168684</v>
      </c>
      <c r="E175" s="542">
        <f t="shared" si="21"/>
        <v>4.3670653302595897E-2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0.89039999999999997</v>
      </c>
      <c r="D176" s="541">
        <f t="shared" si="20"/>
        <v>0.92566999999999999</v>
      </c>
      <c r="E176" s="542">
        <f t="shared" si="21"/>
        <v>3.5270000000000024E-2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1.0858000000000001</v>
      </c>
      <c r="D177" s="541">
        <f t="shared" si="20"/>
        <v>1.26766</v>
      </c>
      <c r="E177" s="542">
        <f t="shared" si="21"/>
        <v>0.18185999999999991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0.79620000000000002</v>
      </c>
      <c r="D178" s="541">
        <f t="shared" si="20"/>
        <v>0.96677999999999997</v>
      </c>
      <c r="E178" s="542">
        <f t="shared" si="21"/>
        <v>0.17057999999999995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1.0395000000000001</v>
      </c>
      <c r="D179" s="541">
        <f t="shared" si="20"/>
        <v>0.91160999999999992</v>
      </c>
      <c r="E179" s="542">
        <f t="shared" si="21"/>
        <v>-0.12789000000000017</v>
      </c>
    </row>
    <row r="180" spans="1:5" s="506" customFormat="1" x14ac:dyDescent="0.2">
      <c r="A180" s="512"/>
      <c r="B180" s="516" t="s">
        <v>782</v>
      </c>
      <c r="C180" s="543">
        <f t="shared" si="20"/>
        <v>1.2262501831501833</v>
      </c>
      <c r="D180" s="543">
        <f t="shared" si="20"/>
        <v>1.2258404748309539</v>
      </c>
      <c r="E180" s="544">
        <f t="shared" si="21"/>
        <v>-4.0970831922937379E-4</v>
      </c>
    </row>
    <row r="181" spans="1:5" s="506" customFormat="1" x14ac:dyDescent="0.2">
      <c r="A181" s="512"/>
      <c r="B181" s="516" t="s">
        <v>691</v>
      </c>
      <c r="C181" s="543">
        <f t="shared" si="20"/>
        <v>1.1726925848407836</v>
      </c>
      <c r="D181" s="543">
        <f t="shared" si="20"/>
        <v>1.1864045498795919</v>
      </c>
      <c r="E181" s="544">
        <f t="shared" si="21"/>
        <v>1.3711965038808227E-2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784</v>
      </c>
      <c r="C185" s="513">
        <v>304547819</v>
      </c>
      <c r="D185" s="513">
        <v>284611249</v>
      </c>
      <c r="E185" s="514">
        <f>D185-C185</f>
        <v>-19936570</v>
      </c>
    </row>
    <row r="186" spans="1:5" s="506" customFormat="1" ht="25.5" x14ac:dyDescent="0.2">
      <c r="A186" s="512">
        <v>2</v>
      </c>
      <c r="B186" s="511" t="s">
        <v>785</v>
      </c>
      <c r="C186" s="513">
        <v>161305546</v>
      </c>
      <c r="D186" s="513">
        <v>159552005</v>
      </c>
      <c r="E186" s="514">
        <f>D186-C186</f>
        <v>-1753541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143242273</v>
      </c>
      <c r="D188" s="546">
        <f>+D185-D186</f>
        <v>125059244</v>
      </c>
      <c r="E188" s="514">
        <f t="shared" ref="E188:E197" si="22">D188-C188</f>
        <v>-18183029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0.47034411039403962</v>
      </c>
      <c r="D189" s="547">
        <f>IF(D185=0,0,+D188/D185)</f>
        <v>0.43940372855747523</v>
      </c>
      <c r="E189" s="523">
        <f t="shared" si="22"/>
        <v>-3.094038183656439E-2</v>
      </c>
    </row>
    <row r="190" spans="1:5" s="506" customFormat="1" x14ac:dyDescent="0.2">
      <c r="A190" s="512">
        <v>5</v>
      </c>
      <c r="B190" s="511" t="s">
        <v>732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718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786</v>
      </c>
      <c r="C192" s="513">
        <v>2227302</v>
      </c>
      <c r="D192" s="513">
        <v>1763987</v>
      </c>
      <c r="E192" s="546">
        <f t="shared" si="22"/>
        <v>-463315</v>
      </c>
    </row>
    <row r="193" spans="1:5" s="506" customFormat="1" x14ac:dyDescent="0.2">
      <c r="A193" s="512">
        <v>8</v>
      </c>
      <c r="B193" s="511" t="s">
        <v>787</v>
      </c>
      <c r="C193" s="513">
        <v>5631704</v>
      </c>
      <c r="D193" s="513">
        <v>8420571</v>
      </c>
      <c r="E193" s="546">
        <f t="shared" si="22"/>
        <v>2788867</v>
      </c>
    </row>
    <row r="194" spans="1:5" s="506" customFormat="1" x14ac:dyDescent="0.2">
      <c r="A194" s="512">
        <v>9</v>
      </c>
      <c r="B194" s="511" t="s">
        <v>788</v>
      </c>
      <c r="C194" s="513">
        <v>19160722</v>
      </c>
      <c r="D194" s="513">
        <v>9548336</v>
      </c>
      <c r="E194" s="546">
        <f t="shared" si="22"/>
        <v>-9612386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24792426</v>
      </c>
      <c r="D195" s="513">
        <f>+D193+D194</f>
        <v>17968907</v>
      </c>
      <c r="E195" s="549">
        <f t="shared" si="22"/>
        <v>-6823519</v>
      </c>
    </row>
    <row r="196" spans="1:5" s="506" customFormat="1" x14ac:dyDescent="0.2">
      <c r="A196" s="512">
        <v>11</v>
      </c>
      <c r="B196" s="511" t="s">
        <v>790</v>
      </c>
      <c r="C196" s="513">
        <v>304547819</v>
      </c>
      <c r="D196" s="513">
        <v>284611249</v>
      </c>
      <c r="E196" s="546">
        <f t="shared" si="22"/>
        <v>-19936570</v>
      </c>
    </row>
    <row r="197" spans="1:5" s="506" customFormat="1" x14ac:dyDescent="0.2">
      <c r="A197" s="512">
        <v>12</v>
      </c>
      <c r="B197" s="511" t="s">
        <v>675</v>
      </c>
      <c r="C197" s="513">
        <v>371908113</v>
      </c>
      <c r="D197" s="513">
        <v>381476536</v>
      </c>
      <c r="E197" s="546">
        <f t="shared" si="22"/>
        <v>9568423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7463.6397000000006</v>
      </c>
      <c r="D203" s="553">
        <v>6839.1208799999995</v>
      </c>
      <c r="E203" s="554">
        <f t="shared" ref="E203:E211" si="23">D203-C203</f>
        <v>-624.51882000000114</v>
      </c>
    </row>
    <row r="204" spans="1:5" s="506" customFormat="1" x14ac:dyDescent="0.2">
      <c r="A204" s="512">
        <v>2</v>
      </c>
      <c r="B204" s="511" t="s">
        <v>600</v>
      </c>
      <c r="C204" s="553">
        <v>12503.676000000001</v>
      </c>
      <c r="D204" s="553">
        <v>11913.651339999999</v>
      </c>
      <c r="E204" s="554">
        <f t="shared" si="23"/>
        <v>-590.02466000000277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3538.8317999999999</v>
      </c>
      <c r="D205" s="553">
        <f>D206+D207</f>
        <v>4366.5145199999997</v>
      </c>
      <c r="E205" s="554">
        <f t="shared" si="23"/>
        <v>827.68271999999979</v>
      </c>
    </row>
    <row r="206" spans="1:5" s="506" customFormat="1" x14ac:dyDescent="0.2">
      <c r="A206" s="512">
        <v>4</v>
      </c>
      <c r="B206" s="511" t="s">
        <v>114</v>
      </c>
      <c r="C206" s="553">
        <v>2923.1831999999999</v>
      </c>
      <c r="D206" s="553">
        <v>3741.5581400000001</v>
      </c>
      <c r="E206" s="554">
        <f t="shared" si="23"/>
        <v>818.37494000000015</v>
      </c>
    </row>
    <row r="207" spans="1:5" s="506" customFormat="1" x14ac:dyDescent="0.2">
      <c r="A207" s="512">
        <v>5</v>
      </c>
      <c r="B207" s="511" t="s">
        <v>713</v>
      </c>
      <c r="C207" s="553">
        <v>615.6486000000001</v>
      </c>
      <c r="D207" s="553">
        <v>624.95637999999997</v>
      </c>
      <c r="E207" s="554">
        <f t="shared" si="23"/>
        <v>9.307779999999866</v>
      </c>
    </row>
    <row r="208" spans="1:5" s="506" customFormat="1" x14ac:dyDescent="0.2">
      <c r="A208" s="512">
        <v>6</v>
      </c>
      <c r="B208" s="511" t="s">
        <v>418</v>
      </c>
      <c r="C208" s="553">
        <v>26.2746</v>
      </c>
      <c r="D208" s="553">
        <v>35.770859999999999</v>
      </c>
      <c r="E208" s="554">
        <f t="shared" si="23"/>
        <v>9.4962599999999995</v>
      </c>
    </row>
    <row r="209" spans="1:5" s="506" customFormat="1" x14ac:dyDescent="0.2">
      <c r="A209" s="512">
        <v>7</v>
      </c>
      <c r="B209" s="511" t="s">
        <v>728</v>
      </c>
      <c r="C209" s="553">
        <v>478.17</v>
      </c>
      <c r="D209" s="553">
        <v>304.47773999999998</v>
      </c>
      <c r="E209" s="554">
        <f t="shared" si="23"/>
        <v>-173.69226000000003</v>
      </c>
    </row>
    <row r="210" spans="1:5" s="506" customFormat="1" x14ac:dyDescent="0.2">
      <c r="A210" s="512"/>
      <c r="B210" s="516" t="s">
        <v>793</v>
      </c>
      <c r="C210" s="555">
        <f>C204+C205+C208</f>
        <v>16068.782400000002</v>
      </c>
      <c r="D210" s="555">
        <f>D204+D205+D208</f>
        <v>16315.936719999998</v>
      </c>
      <c r="E210" s="556">
        <f t="shared" si="23"/>
        <v>247.15431999999601</v>
      </c>
    </row>
    <row r="211" spans="1:5" s="506" customFormat="1" x14ac:dyDescent="0.2">
      <c r="A211" s="512"/>
      <c r="B211" s="516" t="s">
        <v>692</v>
      </c>
      <c r="C211" s="555">
        <f>C210+C203</f>
        <v>23532.422100000003</v>
      </c>
      <c r="D211" s="555">
        <f>D210+D203</f>
        <v>23155.057599999996</v>
      </c>
      <c r="E211" s="556">
        <f t="shared" si="23"/>
        <v>-377.36450000000696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11048.35208264193</v>
      </c>
      <c r="D215" s="557">
        <f>IF(D14*D137=0,0,D25/D14*D137)</f>
        <v>9561.5934595145736</v>
      </c>
      <c r="E215" s="557">
        <f t="shared" ref="E215:E223" si="24">D215-C215</f>
        <v>-1486.7586231273563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4856.6905637105147</v>
      </c>
      <c r="D216" s="557">
        <f>IF(D15*D138=0,0,D26/D15*D138)</f>
        <v>4768.2613574162688</v>
      </c>
      <c r="E216" s="557">
        <f t="shared" si="24"/>
        <v>-88.429206294245887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4362.4428176279571</v>
      </c>
      <c r="D217" s="557">
        <f>D218+D219</f>
        <v>5275.5653920904351</v>
      </c>
      <c r="E217" s="557">
        <f t="shared" si="24"/>
        <v>913.12257446247804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3764.1823709288797</v>
      </c>
      <c r="D218" s="557">
        <f t="shared" si="25"/>
        <v>4881.5912981076672</v>
      </c>
      <c r="E218" s="557">
        <f t="shared" si="24"/>
        <v>1117.4089271787875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598.26044669907765</v>
      </c>
      <c r="D219" s="557">
        <f t="shared" si="25"/>
        <v>393.9740939827683</v>
      </c>
      <c r="E219" s="557">
        <f t="shared" si="24"/>
        <v>-204.28635271630935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42.144229042739894</v>
      </c>
      <c r="D220" s="557">
        <f t="shared" si="25"/>
        <v>32.806839511111519</v>
      </c>
      <c r="E220" s="557">
        <f t="shared" si="24"/>
        <v>-9.337389531628375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1507.1690491901713</v>
      </c>
      <c r="D221" s="557">
        <f t="shared" si="25"/>
        <v>882.2802737390067</v>
      </c>
      <c r="E221" s="557">
        <f t="shared" si="24"/>
        <v>-624.88877545116463</v>
      </c>
    </row>
    <row r="222" spans="1:5" s="506" customFormat="1" x14ac:dyDescent="0.2">
      <c r="A222" s="512"/>
      <c r="B222" s="516" t="s">
        <v>795</v>
      </c>
      <c r="C222" s="558">
        <f>C216+C218+C219+C220</f>
        <v>9261.2776103812121</v>
      </c>
      <c r="D222" s="558">
        <f>D216+D218+D219+D220</f>
        <v>10076.633589017816</v>
      </c>
      <c r="E222" s="558">
        <f t="shared" si="24"/>
        <v>815.35597863660405</v>
      </c>
    </row>
    <row r="223" spans="1:5" s="506" customFormat="1" x14ac:dyDescent="0.2">
      <c r="A223" s="512"/>
      <c r="B223" s="516" t="s">
        <v>796</v>
      </c>
      <c r="C223" s="558">
        <f>C215+C222</f>
        <v>20309.62969302314</v>
      </c>
      <c r="D223" s="558">
        <f>D215+D222</f>
        <v>19638.22704853239</v>
      </c>
      <c r="E223" s="558">
        <f t="shared" si="24"/>
        <v>-671.40264449075039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8286.6685003564671</v>
      </c>
      <c r="D227" s="560">
        <f t="shared" si="26"/>
        <v>8758.3183644503752</v>
      </c>
      <c r="E227" s="560">
        <f t="shared" ref="E227:E235" si="27">D227-C227</f>
        <v>471.64986409390804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7696.4850176859982</v>
      </c>
      <c r="D228" s="560">
        <f t="shared" si="26"/>
        <v>7787.7198477759057</v>
      </c>
      <c r="E228" s="560">
        <f t="shared" si="27"/>
        <v>91.234830089907518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5414.1957241369882</v>
      </c>
      <c r="D229" s="560">
        <f t="shared" si="26"/>
        <v>5293.2287054435355</v>
      </c>
      <c r="E229" s="560">
        <f t="shared" si="27"/>
        <v>-120.9670186934527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5756.7705643628497</v>
      </c>
      <c r="D230" s="560">
        <f t="shared" si="26"/>
        <v>5457.1283502760161</v>
      </c>
      <c r="E230" s="560">
        <f t="shared" si="27"/>
        <v>-299.64221408683352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3787.6038376437464</v>
      </c>
      <c r="D231" s="560">
        <f t="shared" si="26"/>
        <v>4311.9761414388631</v>
      </c>
      <c r="E231" s="560">
        <f t="shared" si="27"/>
        <v>524.37230379511675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4115.8761693803144</v>
      </c>
      <c r="D232" s="560">
        <f t="shared" si="26"/>
        <v>5090.3444871048669</v>
      </c>
      <c r="E232" s="560">
        <f t="shared" si="27"/>
        <v>974.46831772455243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95.794382750904489</v>
      </c>
      <c r="D233" s="560">
        <f t="shared" si="26"/>
        <v>1916.3732626234023</v>
      </c>
      <c r="E233" s="560">
        <f t="shared" si="27"/>
        <v>1820.5788798724977</v>
      </c>
    </row>
    <row r="234" spans="1:5" x14ac:dyDescent="0.2">
      <c r="A234" s="512"/>
      <c r="B234" s="516" t="s">
        <v>798</v>
      </c>
      <c r="C234" s="561">
        <f t="shared" si="26"/>
        <v>7188.0011269553306</v>
      </c>
      <c r="D234" s="561">
        <f t="shared" si="26"/>
        <v>7114.2237796077952</v>
      </c>
      <c r="E234" s="561">
        <f t="shared" si="27"/>
        <v>-73.777347347535397</v>
      </c>
    </row>
    <row r="235" spans="1:5" s="506" customFormat="1" x14ac:dyDescent="0.2">
      <c r="A235" s="512"/>
      <c r="B235" s="516" t="s">
        <v>799</v>
      </c>
      <c r="C235" s="561">
        <f t="shared" si="26"/>
        <v>7536.4589860896631</v>
      </c>
      <c r="D235" s="561">
        <f t="shared" si="26"/>
        <v>7599.8266141216609</v>
      </c>
      <c r="E235" s="561">
        <f t="shared" si="27"/>
        <v>63.36762803199781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9641.753105185906</v>
      </c>
      <c r="D239" s="560">
        <f t="shared" si="28"/>
        <v>11064.104581305928</v>
      </c>
      <c r="E239" s="562">
        <f t="shared" ref="E239:E247" si="29">D239-C239</f>
        <v>1422.3514761200222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7320.3451061205251</v>
      </c>
      <c r="D240" s="560">
        <f t="shared" si="28"/>
        <v>7574.2102399289879</v>
      </c>
      <c r="E240" s="562">
        <f t="shared" si="29"/>
        <v>253.86513380846282</v>
      </c>
    </row>
    <row r="241" spans="1:5" x14ac:dyDescent="0.2">
      <c r="A241" s="512">
        <v>3</v>
      </c>
      <c r="B241" s="511" t="s">
        <v>746</v>
      </c>
      <c r="C241" s="560">
        <f t="shared" si="28"/>
        <v>5632.6212232991102</v>
      </c>
      <c r="D241" s="560">
        <f t="shared" si="28"/>
        <v>5806.2483778373589</v>
      </c>
      <c r="E241" s="562">
        <f t="shared" si="29"/>
        <v>173.62715453824876</v>
      </c>
    </row>
    <row r="242" spans="1:5" x14ac:dyDescent="0.2">
      <c r="A242" s="512">
        <v>4</v>
      </c>
      <c r="B242" s="511" t="s">
        <v>114</v>
      </c>
      <c r="C242" s="560">
        <f t="shared" si="28"/>
        <v>5952.7795924697939</v>
      </c>
      <c r="D242" s="560">
        <f t="shared" si="28"/>
        <v>5915.0398377662677</v>
      </c>
      <c r="E242" s="562">
        <f t="shared" si="29"/>
        <v>-37.73975470352616</v>
      </c>
    </row>
    <row r="243" spans="1:5" x14ac:dyDescent="0.2">
      <c r="A243" s="512">
        <v>5</v>
      </c>
      <c r="B243" s="511" t="s">
        <v>713</v>
      </c>
      <c r="C243" s="560">
        <f t="shared" si="28"/>
        <v>3618.2234876857979</v>
      </c>
      <c r="D243" s="560">
        <f t="shared" si="28"/>
        <v>4458.2525268192467</v>
      </c>
      <c r="E243" s="562">
        <f t="shared" si="29"/>
        <v>840.0290391334488</v>
      </c>
    </row>
    <row r="244" spans="1:5" x14ac:dyDescent="0.2">
      <c r="A244" s="512">
        <v>6</v>
      </c>
      <c r="B244" s="511" t="s">
        <v>418</v>
      </c>
      <c r="C244" s="560">
        <f t="shared" si="28"/>
        <v>5950.1859613018351</v>
      </c>
      <c r="D244" s="560">
        <f t="shared" si="28"/>
        <v>6133.3552088078795</v>
      </c>
      <c r="E244" s="562">
        <f t="shared" si="29"/>
        <v>183.16924750604448</v>
      </c>
    </row>
    <row r="245" spans="1:5" x14ac:dyDescent="0.2">
      <c r="A245" s="512">
        <v>7</v>
      </c>
      <c r="B245" s="511" t="s">
        <v>728</v>
      </c>
      <c r="C245" s="560">
        <f t="shared" si="28"/>
        <v>1606.4886691383297</v>
      </c>
      <c r="D245" s="560">
        <f t="shared" si="28"/>
        <v>6234.1561561729677</v>
      </c>
      <c r="E245" s="562">
        <f t="shared" si="29"/>
        <v>4627.6674870346378</v>
      </c>
    </row>
    <row r="246" spans="1:5" ht="25.5" x14ac:dyDescent="0.2">
      <c r="A246" s="512"/>
      <c r="B246" s="516" t="s">
        <v>801</v>
      </c>
      <c r="C246" s="561">
        <f t="shared" si="28"/>
        <v>6519.1226891118786</v>
      </c>
      <c r="D246" s="561">
        <f t="shared" si="28"/>
        <v>6643.9126131334842</v>
      </c>
      <c r="E246" s="563">
        <f t="shared" si="29"/>
        <v>124.78992402160566</v>
      </c>
    </row>
    <row r="247" spans="1:5" x14ac:dyDescent="0.2">
      <c r="A247" s="512"/>
      <c r="B247" s="516" t="s">
        <v>802</v>
      </c>
      <c r="C247" s="561">
        <f t="shared" si="28"/>
        <v>8217.8203405320874</v>
      </c>
      <c r="D247" s="561">
        <f t="shared" si="28"/>
        <v>8796.045721088105</v>
      </c>
      <c r="E247" s="563">
        <f t="shared" si="29"/>
        <v>578.22538055601763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5147765.9975743806</v>
      </c>
      <c r="D251" s="546">
        <f>((IF((IF(D15=0,0,D26/D15)*D138)=0,0,D59/(IF(D15=0,0,D26/D15)*D138)))-(IF((IF(D17=0,0,D28/D17)*D140)=0,0,D61/(IF(D17=0,0,D28/D17)*D140))))*(IF(D17=0,0,D28/D17)*D140)</f>
        <v>8099391.7972753337</v>
      </c>
      <c r="E251" s="546">
        <f>D251-C251</f>
        <v>2951625.7997009531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4621330.1592384325</v>
      </c>
      <c r="D252" s="546">
        <f>IF(D231=0,0,(D228-D231)*D207)+IF(D243=0,0,(D240-D243)*D219)</f>
        <v>3399794.8214312103</v>
      </c>
      <c r="E252" s="546">
        <f>D252-C252</f>
        <v>-1221535.3378072223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12246169.814242508</v>
      </c>
      <c r="D253" s="546">
        <f>IF(D233=0,0,(D228-D233)*D209+IF(D221=0,0,(D240-D245)*D221))</f>
        <v>2969997.622845287</v>
      </c>
      <c r="E253" s="546">
        <f>D253-C253</f>
        <v>-9276172.1913972218</v>
      </c>
    </row>
    <row r="254" spans="1:5" ht="15" customHeight="1" x14ac:dyDescent="0.2">
      <c r="A254" s="512"/>
      <c r="B254" s="516" t="s">
        <v>729</v>
      </c>
      <c r="C254" s="564">
        <f>+C251+C252+C253</f>
        <v>22015265.971055321</v>
      </c>
      <c r="D254" s="564">
        <f>+D251+D252+D253</f>
        <v>14469184.24155183</v>
      </c>
      <c r="E254" s="564">
        <f>D254-C254</f>
        <v>-7546081.7295034919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826891625</v>
      </c>
      <c r="D258" s="549">
        <f>+D44</f>
        <v>800740049</v>
      </c>
      <c r="E258" s="546">
        <f t="shared" ref="E258:E271" si="30">D258-C258</f>
        <v>-26151576</v>
      </c>
    </row>
    <row r="259" spans="1:5" x14ac:dyDescent="0.2">
      <c r="A259" s="512">
        <v>2</v>
      </c>
      <c r="B259" s="511" t="s">
        <v>712</v>
      </c>
      <c r="C259" s="546">
        <f>+(C43-C76)</f>
        <v>339397330</v>
      </c>
      <c r="D259" s="549">
        <f>+(D43-D76)</f>
        <v>326967639</v>
      </c>
      <c r="E259" s="546">
        <f t="shared" si="30"/>
        <v>-12429691</v>
      </c>
    </row>
    <row r="260" spans="1:5" x14ac:dyDescent="0.2">
      <c r="A260" s="512">
        <v>3</v>
      </c>
      <c r="B260" s="511" t="s">
        <v>716</v>
      </c>
      <c r="C260" s="546">
        <f>C195</f>
        <v>24792426</v>
      </c>
      <c r="D260" s="546">
        <f>D195</f>
        <v>17968907</v>
      </c>
      <c r="E260" s="546">
        <f t="shared" si="30"/>
        <v>-6823519</v>
      </c>
    </row>
    <row r="261" spans="1:5" x14ac:dyDescent="0.2">
      <c r="A261" s="512">
        <v>4</v>
      </c>
      <c r="B261" s="511" t="s">
        <v>717</v>
      </c>
      <c r="C261" s="546">
        <f>C188</f>
        <v>143242273</v>
      </c>
      <c r="D261" s="546">
        <f>D188</f>
        <v>125059244</v>
      </c>
      <c r="E261" s="546">
        <f t="shared" si="30"/>
        <v>-18183029</v>
      </c>
    </row>
    <row r="262" spans="1:5" x14ac:dyDescent="0.2">
      <c r="A262" s="512">
        <v>5</v>
      </c>
      <c r="B262" s="511" t="s">
        <v>718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719</v>
      </c>
      <c r="C263" s="546">
        <f>+C259+C260+C261+C262</f>
        <v>507432029</v>
      </c>
      <c r="D263" s="546">
        <f>+D259+D260+D261+D262</f>
        <v>469995790</v>
      </c>
      <c r="E263" s="546">
        <f t="shared" si="30"/>
        <v>-37436239</v>
      </c>
    </row>
    <row r="264" spans="1:5" x14ac:dyDescent="0.2">
      <c r="A264" s="512">
        <v>7</v>
      </c>
      <c r="B264" s="511" t="s">
        <v>619</v>
      </c>
      <c r="C264" s="546">
        <f>+C258-C263</f>
        <v>319459596</v>
      </c>
      <c r="D264" s="546">
        <f>+D258-D263</f>
        <v>330744259</v>
      </c>
      <c r="E264" s="546">
        <f t="shared" si="30"/>
        <v>11284663</v>
      </c>
    </row>
    <row r="265" spans="1:5" x14ac:dyDescent="0.2">
      <c r="A265" s="512">
        <v>8</v>
      </c>
      <c r="B265" s="511" t="s">
        <v>805</v>
      </c>
      <c r="C265" s="565">
        <f>C192</f>
        <v>2227302</v>
      </c>
      <c r="D265" s="565">
        <f>D192</f>
        <v>1763987</v>
      </c>
      <c r="E265" s="546">
        <f t="shared" si="30"/>
        <v>-463315</v>
      </c>
    </row>
    <row r="266" spans="1:5" x14ac:dyDescent="0.2">
      <c r="A266" s="512">
        <v>9</v>
      </c>
      <c r="B266" s="511" t="s">
        <v>806</v>
      </c>
      <c r="C266" s="546">
        <f>+C264+C265</f>
        <v>321686898</v>
      </c>
      <c r="D266" s="546">
        <f>+D264+D265</f>
        <v>332508246</v>
      </c>
      <c r="E266" s="565">
        <f t="shared" si="30"/>
        <v>10821348</v>
      </c>
    </row>
    <row r="267" spans="1:5" x14ac:dyDescent="0.2">
      <c r="A267" s="512">
        <v>10</v>
      </c>
      <c r="B267" s="511" t="s">
        <v>807</v>
      </c>
      <c r="C267" s="566">
        <f>IF(C258=0,0,C266/C258)</f>
        <v>0.38903151062873564</v>
      </c>
      <c r="D267" s="566">
        <f>IF(D258=0,0,D266/D258)</f>
        <v>0.415251174729241</v>
      </c>
      <c r="E267" s="567">
        <f t="shared" si="30"/>
        <v>2.6219664100505358E-2</v>
      </c>
    </row>
    <row r="268" spans="1:5" x14ac:dyDescent="0.2">
      <c r="A268" s="512">
        <v>11</v>
      </c>
      <c r="B268" s="511" t="s">
        <v>681</v>
      </c>
      <c r="C268" s="546">
        <f>+C260*C267</f>
        <v>9645034.938931141</v>
      </c>
      <c r="D268" s="568">
        <f>+D260*D267</f>
        <v>7461609.7403504821</v>
      </c>
      <c r="E268" s="546">
        <f t="shared" si="30"/>
        <v>-2183425.198580659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12746148.652148537</v>
      </c>
      <c r="D269" s="568">
        <f>((D17+D18+D28+D29)*D267)-(D50+D51+D61+D62)</f>
        <v>9850304.3678601012</v>
      </c>
      <c r="E269" s="546">
        <f t="shared" si="30"/>
        <v>-2895844.2842884362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810</v>
      </c>
      <c r="C271" s="546">
        <f>+C268+C269+C270</f>
        <v>22391183.591079678</v>
      </c>
      <c r="D271" s="546">
        <f>+D268+D269+D270</f>
        <v>17311914.108210582</v>
      </c>
      <c r="E271" s="549">
        <f t="shared" si="30"/>
        <v>-5079269.4828690961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0.51340507485577458</v>
      </c>
      <c r="D276" s="547">
        <f t="shared" si="31"/>
        <v>0.52337638171904133</v>
      </c>
      <c r="E276" s="574">
        <f t="shared" ref="E276:E284" si="32">D276-C276</f>
        <v>9.971306863266749E-3</v>
      </c>
    </row>
    <row r="277" spans="1:5" x14ac:dyDescent="0.2">
      <c r="A277" s="512">
        <v>2</v>
      </c>
      <c r="B277" s="511" t="s">
        <v>600</v>
      </c>
      <c r="C277" s="547">
        <f t="shared" si="31"/>
        <v>0.39824626538838892</v>
      </c>
      <c r="D277" s="547">
        <f t="shared" si="31"/>
        <v>0.40349371916791299</v>
      </c>
      <c r="E277" s="574">
        <f t="shared" si="32"/>
        <v>5.2474537795240694E-3</v>
      </c>
    </row>
    <row r="278" spans="1:5" x14ac:dyDescent="0.2">
      <c r="A278" s="512">
        <v>3</v>
      </c>
      <c r="B278" s="511" t="s">
        <v>746</v>
      </c>
      <c r="C278" s="547">
        <f t="shared" si="31"/>
        <v>0.28106586797500288</v>
      </c>
      <c r="D278" s="547">
        <f t="shared" si="31"/>
        <v>0.32182723889030967</v>
      </c>
      <c r="E278" s="574">
        <f t="shared" si="32"/>
        <v>4.0761370915306794E-2</v>
      </c>
    </row>
    <row r="279" spans="1:5" x14ac:dyDescent="0.2">
      <c r="A279" s="512">
        <v>4</v>
      </c>
      <c r="B279" s="511" t="s">
        <v>114</v>
      </c>
      <c r="C279" s="547">
        <f t="shared" si="31"/>
        <v>0.30288407438479853</v>
      </c>
      <c r="D279" s="547">
        <f t="shared" si="31"/>
        <v>0.34851926750977003</v>
      </c>
      <c r="E279" s="574">
        <f t="shared" si="32"/>
        <v>4.5635193124971496E-2</v>
      </c>
    </row>
    <row r="280" spans="1:5" x14ac:dyDescent="0.2">
      <c r="A280" s="512">
        <v>5</v>
      </c>
      <c r="B280" s="511" t="s">
        <v>713</v>
      </c>
      <c r="C280" s="547">
        <f t="shared" si="31"/>
        <v>0.18492970343938367</v>
      </c>
      <c r="D280" s="547">
        <f t="shared" si="31"/>
        <v>0.20365069287638182</v>
      </c>
      <c r="E280" s="574">
        <f t="shared" si="32"/>
        <v>1.8720989436998153E-2</v>
      </c>
    </row>
    <row r="281" spans="1:5" x14ac:dyDescent="0.2">
      <c r="A281" s="512">
        <v>6</v>
      </c>
      <c r="B281" s="511" t="s">
        <v>418</v>
      </c>
      <c r="C281" s="547">
        <f t="shared" si="31"/>
        <v>0.20879163312076332</v>
      </c>
      <c r="D281" s="547">
        <f t="shared" si="31"/>
        <v>0.24119363602525773</v>
      </c>
      <c r="E281" s="574">
        <f t="shared" si="32"/>
        <v>3.2402002904494409E-2</v>
      </c>
    </row>
    <row r="282" spans="1:5" x14ac:dyDescent="0.2">
      <c r="A282" s="512">
        <v>7</v>
      </c>
      <c r="B282" s="511" t="s">
        <v>728</v>
      </c>
      <c r="C282" s="547">
        <f t="shared" si="31"/>
        <v>9.5501090925770131E-3</v>
      </c>
      <c r="D282" s="547">
        <f t="shared" si="31"/>
        <v>0.10323741191761503</v>
      </c>
      <c r="E282" s="574">
        <f t="shared" si="32"/>
        <v>9.368730282503801E-2</v>
      </c>
    </row>
    <row r="283" spans="1:5" ht="29.25" customHeight="1" x14ac:dyDescent="0.2">
      <c r="A283" s="512"/>
      <c r="B283" s="516" t="s">
        <v>814</v>
      </c>
      <c r="C283" s="575">
        <f t="shared" si="31"/>
        <v>0.3721897392975842</v>
      </c>
      <c r="D283" s="575">
        <f t="shared" si="31"/>
        <v>0.38370083593201237</v>
      </c>
      <c r="E283" s="576">
        <f t="shared" si="32"/>
        <v>1.1511096634428175E-2</v>
      </c>
    </row>
    <row r="284" spans="1:5" x14ac:dyDescent="0.2">
      <c r="A284" s="512"/>
      <c r="B284" s="516" t="s">
        <v>815</v>
      </c>
      <c r="C284" s="575">
        <f t="shared" si="31"/>
        <v>0.411678806687934</v>
      </c>
      <c r="D284" s="575">
        <f t="shared" si="31"/>
        <v>0.42203890174169473</v>
      </c>
      <c r="E284" s="576">
        <f t="shared" si="32"/>
        <v>1.0360095053760732E-2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0.55729086853193177</v>
      </c>
      <c r="D287" s="547">
        <f t="shared" si="33"/>
        <v>0.6000550988688339</v>
      </c>
      <c r="E287" s="574">
        <f t="shared" ref="E287:E295" si="34">D287-C287</f>
        <v>4.2764230336902131E-2</v>
      </c>
    </row>
    <row r="288" spans="1:5" x14ac:dyDescent="0.2">
      <c r="A288" s="512">
        <v>2</v>
      </c>
      <c r="B288" s="511" t="s">
        <v>600</v>
      </c>
      <c r="C288" s="547">
        <f t="shared" si="33"/>
        <v>0.27933872701563339</v>
      </c>
      <c r="D288" s="547">
        <f t="shared" si="33"/>
        <v>0.28782662744417598</v>
      </c>
      <c r="E288" s="574">
        <f t="shared" si="34"/>
        <v>8.487900428542583E-3</v>
      </c>
    </row>
    <row r="289" spans="1:5" x14ac:dyDescent="0.2">
      <c r="A289" s="512">
        <v>3</v>
      </c>
      <c r="B289" s="511" t="s">
        <v>746</v>
      </c>
      <c r="C289" s="547">
        <f t="shared" si="33"/>
        <v>0.31908668754028596</v>
      </c>
      <c r="D289" s="547">
        <f t="shared" si="33"/>
        <v>0.37663289957140228</v>
      </c>
      <c r="E289" s="574">
        <f t="shared" si="34"/>
        <v>5.7546212031116317E-2</v>
      </c>
    </row>
    <row r="290" spans="1:5" x14ac:dyDescent="0.2">
      <c r="A290" s="512">
        <v>4</v>
      </c>
      <c r="B290" s="511" t="s">
        <v>114</v>
      </c>
      <c r="C290" s="547">
        <f t="shared" si="33"/>
        <v>0.35174843114347659</v>
      </c>
      <c r="D290" s="547">
        <f t="shared" si="33"/>
        <v>0.40809766436690259</v>
      </c>
      <c r="E290" s="574">
        <f t="shared" si="34"/>
        <v>5.6349233223425998E-2</v>
      </c>
    </row>
    <row r="291" spans="1:5" x14ac:dyDescent="0.2">
      <c r="A291" s="512">
        <v>5</v>
      </c>
      <c r="B291" s="511" t="s">
        <v>713</v>
      </c>
      <c r="C291" s="547">
        <f t="shared" si="33"/>
        <v>0.16270004629266691</v>
      </c>
      <c r="D291" s="547">
        <f t="shared" si="33"/>
        <v>0.16610068385098301</v>
      </c>
      <c r="E291" s="574">
        <f t="shared" si="34"/>
        <v>3.4006375583160997E-3</v>
      </c>
    </row>
    <row r="292" spans="1:5" x14ac:dyDescent="0.2">
      <c r="A292" s="512">
        <v>6</v>
      </c>
      <c r="B292" s="511" t="s">
        <v>418</v>
      </c>
      <c r="C292" s="547">
        <f t="shared" si="33"/>
        <v>0.37910468971335015</v>
      </c>
      <c r="D292" s="547">
        <f t="shared" si="33"/>
        <v>0.30060010666571058</v>
      </c>
      <c r="E292" s="574">
        <f t="shared" si="34"/>
        <v>-7.8504583047639576E-2</v>
      </c>
    </row>
    <row r="293" spans="1:5" x14ac:dyDescent="0.2">
      <c r="A293" s="512">
        <v>7</v>
      </c>
      <c r="B293" s="511" t="s">
        <v>728</v>
      </c>
      <c r="C293" s="547">
        <f t="shared" si="33"/>
        <v>0.15407119899750157</v>
      </c>
      <c r="D293" s="547">
        <f t="shared" si="33"/>
        <v>0.36840507275304152</v>
      </c>
      <c r="E293" s="574">
        <f t="shared" si="34"/>
        <v>0.21433387375553994</v>
      </c>
    </row>
    <row r="294" spans="1:5" ht="29.25" customHeight="1" x14ac:dyDescent="0.2">
      <c r="A294" s="512"/>
      <c r="B294" s="516" t="s">
        <v>817</v>
      </c>
      <c r="C294" s="575">
        <f t="shared" si="33"/>
        <v>0.29459600519078827</v>
      </c>
      <c r="D294" s="575">
        <f t="shared" si="33"/>
        <v>0.32267925311769702</v>
      </c>
      <c r="E294" s="576">
        <f t="shared" si="34"/>
        <v>2.808324792690875E-2</v>
      </c>
    </row>
    <row r="295" spans="1:5" x14ac:dyDescent="0.2">
      <c r="A295" s="512"/>
      <c r="B295" s="516" t="s">
        <v>818</v>
      </c>
      <c r="C295" s="575">
        <f t="shared" si="33"/>
        <v>0.4213691461438725</v>
      </c>
      <c r="D295" s="575">
        <f t="shared" si="33"/>
        <v>0.45010129619798123</v>
      </c>
      <c r="E295" s="576">
        <f t="shared" si="34"/>
        <v>2.8732150054108729E-2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344252022</v>
      </c>
      <c r="D301" s="514">
        <f>+D48+D47+D50+D51+D52+D59+D58+D61+D62+D63</f>
        <v>348713166</v>
      </c>
      <c r="E301" s="514">
        <f>D301-C301</f>
        <v>4461144</v>
      </c>
    </row>
    <row r="302" spans="1:5" ht="25.5" x14ac:dyDescent="0.2">
      <c r="A302" s="512">
        <v>2</v>
      </c>
      <c r="B302" s="511" t="s">
        <v>822</v>
      </c>
      <c r="C302" s="546">
        <f>C265</f>
        <v>2227302</v>
      </c>
      <c r="D302" s="546">
        <f>D265</f>
        <v>1763987</v>
      </c>
      <c r="E302" s="514">
        <f>D302-C302</f>
        <v>-463315</v>
      </c>
    </row>
    <row r="303" spans="1:5" x14ac:dyDescent="0.2">
      <c r="A303" s="512"/>
      <c r="B303" s="516" t="s">
        <v>823</v>
      </c>
      <c r="C303" s="517">
        <f>+C301+C302</f>
        <v>346479324</v>
      </c>
      <c r="D303" s="517">
        <f>+D301+D302</f>
        <v>350477153</v>
      </c>
      <c r="E303" s="517">
        <f>D303-C303</f>
        <v>3997829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25829053</v>
      </c>
      <c r="D305" s="578">
        <v>18469683</v>
      </c>
      <c r="E305" s="579">
        <f>D305-C305</f>
        <v>-7359370</v>
      </c>
    </row>
    <row r="306" spans="1:5" x14ac:dyDescent="0.2">
      <c r="A306" s="512">
        <v>4</v>
      </c>
      <c r="B306" s="516" t="s">
        <v>825</v>
      </c>
      <c r="C306" s="580">
        <f>+C303+C305</f>
        <v>372308377</v>
      </c>
      <c r="D306" s="580">
        <f>+D303+D305</f>
        <v>368946836</v>
      </c>
      <c r="E306" s="580">
        <f>D306-C306</f>
        <v>-3361541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372308376</v>
      </c>
      <c r="D308" s="513">
        <v>368946837</v>
      </c>
      <c r="E308" s="514">
        <f>D308-C308</f>
        <v>-3361539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1</v>
      </c>
      <c r="D310" s="582">
        <f>D306-D308</f>
        <v>-1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826891625</v>
      </c>
      <c r="D314" s="514">
        <f>+D14+D15+D16+D19+D25+D26+D27+D30</f>
        <v>800740049</v>
      </c>
      <c r="E314" s="514">
        <f>D314-C314</f>
        <v>-26151576</v>
      </c>
    </row>
    <row r="315" spans="1:5" x14ac:dyDescent="0.2">
      <c r="A315" s="512">
        <v>2</v>
      </c>
      <c r="B315" s="583" t="s">
        <v>830</v>
      </c>
      <c r="C315" s="513">
        <v>7766252</v>
      </c>
      <c r="D315" s="513">
        <v>8584797</v>
      </c>
      <c r="E315" s="514">
        <f>D315-C315</f>
        <v>818545</v>
      </c>
    </row>
    <row r="316" spans="1:5" x14ac:dyDescent="0.2">
      <c r="A316" s="512"/>
      <c r="B316" s="516" t="s">
        <v>831</v>
      </c>
      <c r="C316" s="581">
        <f>C314+C315</f>
        <v>834657877</v>
      </c>
      <c r="D316" s="581">
        <f>D314+D315</f>
        <v>809324846</v>
      </c>
      <c r="E316" s="517">
        <f>D316-C316</f>
        <v>-25333031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834657876</v>
      </c>
      <c r="D318" s="513">
        <v>809324847</v>
      </c>
      <c r="E318" s="514">
        <f>D318-C318</f>
        <v>-25333029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1</v>
      </c>
      <c r="D320" s="581">
        <f>D316-D318</f>
        <v>-1</v>
      </c>
      <c r="E320" s="517">
        <f>D320-C320</f>
        <v>-2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24792426</v>
      </c>
      <c r="D324" s="513">
        <f>+D193+D194</f>
        <v>17968907</v>
      </c>
      <c r="E324" s="514">
        <f>D324-C324</f>
        <v>-6823519</v>
      </c>
    </row>
    <row r="325" spans="1:5" x14ac:dyDescent="0.2">
      <c r="A325" s="512">
        <v>2</v>
      </c>
      <c r="B325" s="511" t="s">
        <v>835</v>
      </c>
      <c r="C325" s="513">
        <v>1186001</v>
      </c>
      <c r="D325" s="513">
        <v>1403970</v>
      </c>
      <c r="E325" s="514">
        <f>D325-C325</f>
        <v>217969</v>
      </c>
    </row>
    <row r="326" spans="1:5" x14ac:dyDescent="0.2">
      <c r="A326" s="512"/>
      <c r="B326" s="516" t="s">
        <v>836</v>
      </c>
      <c r="C326" s="581">
        <f>C324+C325</f>
        <v>25978427</v>
      </c>
      <c r="D326" s="581">
        <f>D324+D325</f>
        <v>19372877</v>
      </c>
      <c r="E326" s="517">
        <f>D326-C326</f>
        <v>-6605550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25978427</v>
      </c>
      <c r="D328" s="513">
        <v>19372878</v>
      </c>
      <c r="E328" s="514">
        <f>D328-C328</f>
        <v>-6605549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-1</v>
      </c>
      <c r="E330" s="517">
        <f>D330-C330</f>
        <v>-1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114447652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229942065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71817911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58585464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13232447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754937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5651953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302514913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416962565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176301260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125477668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81329175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70754649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10574526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669381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14929960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207476224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383777484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290748912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509991137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800740049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59899198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92780179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23112960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20418163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2694797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182086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583493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116075225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175974423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105790470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36115814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30631243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28874807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1756436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201216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5500273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66948273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172738743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165689668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183023498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348713166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6207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8738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4535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4042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493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334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13310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19517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1.1018399999999999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1.3634299999999999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0.96284774421168684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0.92566999999999999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1.26766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0.96677999999999997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0.91161000000000003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1.2258404748309539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1.1864045498795921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284611249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159552005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125059244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0.43940372855747523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1763987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8420571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9548336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17968907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23393788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381476536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348713166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1763987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350477153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18469683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368946836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368946837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800740049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8584797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809324846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809324847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17968907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1403970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19372877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19372878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-1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1274</v>
      </c>
      <c r="D12" s="49">
        <v>1331</v>
      </c>
      <c r="E12" s="49">
        <f>+D12-C12</f>
        <v>57</v>
      </c>
      <c r="F12" s="70">
        <f>IF(C12=0,0,+E12/C12)</f>
        <v>4.4740973312401885E-2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370</v>
      </c>
      <c r="D13" s="49">
        <v>374</v>
      </c>
      <c r="E13" s="49">
        <f>+D13-C13</f>
        <v>4</v>
      </c>
      <c r="F13" s="70">
        <f>IF(C13=0,0,+E13/C13)</f>
        <v>1.0810810810810811E-2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5631704</v>
      </c>
      <c r="D15" s="51">
        <v>8420571</v>
      </c>
      <c r="E15" s="51">
        <f>+D15-C15</f>
        <v>2788867</v>
      </c>
      <c r="F15" s="70">
        <f>IF(C15=0,0,+E15/C15)</f>
        <v>0.49520837742892737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15220.821621621622</v>
      </c>
      <c r="D16" s="27">
        <f>IF(D13=0,0,+D15/+D13)</f>
        <v>22514.895721925135</v>
      </c>
      <c r="E16" s="27">
        <f>+D16-C16</f>
        <v>7294.0741003035128</v>
      </c>
      <c r="F16" s="28">
        <f>IF(C16=0,0,+E16/C16)</f>
        <v>0.47921684398048969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0.38601200000000002</v>
      </c>
      <c r="D18" s="210">
        <v>0.43741600000000003</v>
      </c>
      <c r="E18" s="210">
        <f>+D18-C18</f>
        <v>5.1404000000000005E-2</v>
      </c>
      <c r="F18" s="70">
        <f>IF(C18=0,0,+E18/C18)</f>
        <v>0.13316684455405531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2173905.3244480002</v>
      </c>
      <c r="D19" s="27">
        <f>+D15*D18</f>
        <v>3683292.4845360001</v>
      </c>
      <c r="E19" s="27">
        <f>+D19-C19</f>
        <v>1509387.1600879999</v>
      </c>
      <c r="F19" s="28">
        <f>IF(C19=0,0,+E19/C19)</f>
        <v>0.69432055900192646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5875.4197958054056</v>
      </c>
      <c r="D20" s="27">
        <f>IF(D13=0,0,+D19/D13)</f>
        <v>9848.3756271016046</v>
      </c>
      <c r="E20" s="27">
        <f>+D20-C20</f>
        <v>3972.955831296199</v>
      </c>
      <c r="F20" s="28">
        <f>IF(C20=0,0,+E20/C20)</f>
        <v>0.67619948350457981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3083264</v>
      </c>
      <c r="D22" s="51">
        <v>2509336</v>
      </c>
      <c r="E22" s="51">
        <f>+D22-C22</f>
        <v>-573928</v>
      </c>
      <c r="F22" s="70">
        <f>IF(C22=0,0,+E22/C22)</f>
        <v>-0.18614299651278646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1616712</v>
      </c>
      <c r="D23" s="49">
        <v>4218340</v>
      </c>
      <c r="E23" s="49">
        <f>+D23-C23</f>
        <v>2601628</v>
      </c>
      <c r="F23" s="70">
        <f>IF(C23=0,0,+E23/C23)</f>
        <v>1.6092093087698984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931728</v>
      </c>
      <c r="D24" s="49">
        <v>1692895</v>
      </c>
      <c r="E24" s="49">
        <f>+D24-C24</f>
        <v>761167</v>
      </c>
      <c r="F24" s="70">
        <f>IF(C24=0,0,+E24/C24)</f>
        <v>0.8169412103103052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5631704</v>
      </c>
      <c r="D25" s="27">
        <f>+D22+D23+D24</f>
        <v>8420571</v>
      </c>
      <c r="E25" s="27">
        <f>+E22+E23+E24</f>
        <v>2788867</v>
      </c>
      <c r="F25" s="28">
        <f>IF(C25=0,0,+E25/C25)</f>
        <v>0.49520837742892737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5193</v>
      </c>
      <c r="D27" s="49">
        <v>4669</v>
      </c>
      <c r="E27" s="49">
        <f>+D27-C27</f>
        <v>-524</v>
      </c>
      <c r="F27" s="70">
        <f>IF(C27=0,0,+E27/C27)</f>
        <v>-0.10090506450991719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1014</v>
      </c>
      <c r="D28" s="49">
        <v>908</v>
      </c>
      <c r="E28" s="49">
        <f>+D28-C28</f>
        <v>-106</v>
      </c>
      <c r="F28" s="70">
        <f>IF(C28=0,0,+E28/C28)</f>
        <v>-0.10453648915187377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1697</v>
      </c>
      <c r="D29" s="49">
        <v>5769</v>
      </c>
      <c r="E29" s="49">
        <f>+D29-C29</f>
        <v>4072</v>
      </c>
      <c r="F29" s="70">
        <f>IF(C29=0,0,+E29/C29)</f>
        <v>2.3995285798467885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3743</v>
      </c>
      <c r="D30" s="49">
        <v>4290</v>
      </c>
      <c r="E30" s="49">
        <f>+D30-C30</f>
        <v>547</v>
      </c>
      <c r="F30" s="70">
        <f>IF(C30=0,0,+E30/C30)</f>
        <v>0.14613946032594174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5668702</v>
      </c>
      <c r="D33" s="51">
        <v>3044450</v>
      </c>
      <c r="E33" s="51">
        <f>+D33-C33</f>
        <v>-2624252</v>
      </c>
      <c r="F33" s="70">
        <f>IF(C33=0,0,+E33/C33)</f>
        <v>-0.4629370180334052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3284104</v>
      </c>
      <c r="D34" s="49">
        <v>1735841</v>
      </c>
      <c r="E34" s="49">
        <f>+D34-C34</f>
        <v>-1548263</v>
      </c>
      <c r="F34" s="70">
        <f>IF(C34=0,0,+E34/C34)</f>
        <v>-0.47144152560333047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10207916</v>
      </c>
      <c r="D35" s="49">
        <v>4768045</v>
      </c>
      <c r="E35" s="49">
        <f>+D35-C35</f>
        <v>-5439871</v>
      </c>
      <c r="F35" s="70">
        <f>IF(C35=0,0,+E35/C35)</f>
        <v>-0.53290710856163004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19160722</v>
      </c>
      <c r="D36" s="27">
        <f>+D33+D34+D35</f>
        <v>9548336</v>
      </c>
      <c r="E36" s="27">
        <f>+E33+E34+E35</f>
        <v>-9612386</v>
      </c>
      <c r="F36" s="28">
        <f>IF(C36=0,0,+E36/C36)</f>
        <v>-0.50167138795709265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5631704</v>
      </c>
      <c r="D39" s="51">
        <f>+D25</f>
        <v>8420571</v>
      </c>
      <c r="E39" s="51">
        <f>+D39-C39</f>
        <v>2788867</v>
      </c>
      <c r="F39" s="70">
        <f>IF(C39=0,0,+E39/C39)</f>
        <v>0.49520837742892737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19160722</v>
      </c>
      <c r="D40" s="49">
        <f>+D36</f>
        <v>9548336</v>
      </c>
      <c r="E40" s="49">
        <f>+D40-C40</f>
        <v>-9612386</v>
      </c>
      <c r="F40" s="70">
        <f>IF(C40=0,0,+E40/C40)</f>
        <v>-0.50167138795709265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24792426</v>
      </c>
      <c r="D41" s="27">
        <f>+D39+D40</f>
        <v>17968907</v>
      </c>
      <c r="E41" s="27">
        <f>+E39+E40</f>
        <v>-6823519</v>
      </c>
      <c r="F41" s="28">
        <f>IF(C41=0,0,+E41/C41)</f>
        <v>-0.27522595005426254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8751966</v>
      </c>
      <c r="D43" s="51">
        <f t="shared" si="0"/>
        <v>5553786</v>
      </c>
      <c r="E43" s="51">
        <f>+D43-C43</f>
        <v>-3198180</v>
      </c>
      <c r="F43" s="70">
        <f>IF(C43=0,0,+E43/C43)</f>
        <v>-0.36542418012135786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4900816</v>
      </c>
      <c r="D44" s="49">
        <f t="shared" si="0"/>
        <v>5954181</v>
      </c>
      <c r="E44" s="49">
        <f>+D44-C44</f>
        <v>1053365</v>
      </c>
      <c r="F44" s="70">
        <f>IF(C44=0,0,+E44/C44)</f>
        <v>0.21493665544676641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11139644</v>
      </c>
      <c r="D45" s="49">
        <f t="shared" si="0"/>
        <v>6460940</v>
      </c>
      <c r="E45" s="49">
        <f>+D45-C45</f>
        <v>-4678704</v>
      </c>
      <c r="F45" s="70">
        <f>IF(C45=0,0,+E45/C45)</f>
        <v>-0.4200048044623329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24792426</v>
      </c>
      <c r="D46" s="27">
        <f>+D43+D44+D45</f>
        <v>17968907</v>
      </c>
      <c r="E46" s="27">
        <f>+E43+E44+E45</f>
        <v>-6823519</v>
      </c>
      <c r="F46" s="28">
        <f>IF(C46=0,0,+E46/C46)</f>
        <v>-0.27522595005426254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304547819</v>
      </c>
      <c r="D15" s="51">
        <v>284611249</v>
      </c>
      <c r="E15" s="51">
        <f>+D15-C15</f>
        <v>-19936570</v>
      </c>
      <c r="F15" s="70">
        <f>+E15/C15</f>
        <v>-6.5462855933307473E-2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143242273</v>
      </c>
      <c r="D17" s="51">
        <v>125059244</v>
      </c>
      <c r="E17" s="51">
        <f>+D17-C17</f>
        <v>-18183029</v>
      </c>
      <c r="F17" s="70">
        <f>+E17/C17</f>
        <v>-0.12693898678918616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161305546</v>
      </c>
      <c r="D19" s="27">
        <f>+D15-D17</f>
        <v>159552005</v>
      </c>
      <c r="E19" s="27">
        <f>+D19-C19</f>
        <v>-1753541</v>
      </c>
      <c r="F19" s="28">
        <f>+E19/C19</f>
        <v>-1.0870928145272823E-2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0.47034411039403962</v>
      </c>
      <c r="D21" s="628">
        <f>+D17/D15</f>
        <v>0.43940372855747523</v>
      </c>
      <c r="E21" s="628">
        <f>+D21-C21</f>
        <v>-3.094038183656439E-2</v>
      </c>
      <c r="F21" s="28">
        <f>+E21/C21</f>
        <v>-6.5782437055804749E-2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449595311</v>
      </c>
      <c r="D10" s="641">
        <v>430799767</v>
      </c>
      <c r="E10" s="641">
        <v>416962565</v>
      </c>
    </row>
    <row r="11" spans="1:6" ht="26.1" customHeight="1" x14ac:dyDescent="0.25">
      <c r="A11" s="639">
        <v>2</v>
      </c>
      <c r="B11" s="640" t="s">
        <v>902</v>
      </c>
      <c r="C11" s="641">
        <v>379679923</v>
      </c>
      <c r="D11" s="641">
        <v>396091858</v>
      </c>
      <c r="E11" s="641">
        <v>383777484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829275234</v>
      </c>
      <c r="D12" s="641">
        <f>+D11+D10</f>
        <v>826891625</v>
      </c>
      <c r="E12" s="641">
        <f>+E11+E10</f>
        <v>800740049</v>
      </c>
    </row>
    <row r="13" spans="1:6" ht="26.1" customHeight="1" x14ac:dyDescent="0.25">
      <c r="A13" s="639">
        <v>4</v>
      </c>
      <c r="B13" s="640" t="s">
        <v>484</v>
      </c>
      <c r="C13" s="641">
        <v>345056579</v>
      </c>
      <c r="D13" s="641">
        <v>367733027</v>
      </c>
      <c r="E13" s="641">
        <v>364911931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353800187</v>
      </c>
      <c r="D16" s="641">
        <v>371908113</v>
      </c>
      <c r="E16" s="641">
        <v>381476536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88799</v>
      </c>
      <c r="D19" s="644">
        <v>86498</v>
      </c>
      <c r="E19" s="644">
        <v>81872</v>
      </c>
    </row>
    <row r="20" spans="1:5" ht="26.1" customHeight="1" x14ac:dyDescent="0.25">
      <c r="A20" s="639">
        <v>2</v>
      </c>
      <c r="B20" s="640" t="s">
        <v>373</v>
      </c>
      <c r="C20" s="645">
        <v>20981</v>
      </c>
      <c r="D20" s="645">
        <v>20067</v>
      </c>
      <c r="E20" s="645">
        <v>19517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4.2323530813593253</v>
      </c>
      <c r="D21" s="646">
        <f>IF(D20=0,0,+D19/D20)</f>
        <v>4.3104599591368915</v>
      </c>
      <c r="E21" s="646">
        <f>IF(E20=0,0,+E19/E20)</f>
        <v>4.1949070041502283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163789.10033598193</v>
      </c>
      <c r="D22" s="645">
        <f>IF(D10=0,0,D19*(D12/D10))</f>
        <v>166027.18306310041</v>
      </c>
      <c r="E22" s="645">
        <f>IF(E10=0,0,E19*(E12/E10))</f>
        <v>157227.99789407474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38699.299701001553</v>
      </c>
      <c r="D23" s="645">
        <f>IF(D10=0,0,D20*(D12/D10))</f>
        <v>38517.277654133461</v>
      </c>
      <c r="E23" s="645">
        <f>IF(E10=0,0,E20*(E12/E10))</f>
        <v>37480.687352191919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1.1354061484199991</v>
      </c>
      <c r="D26" s="647">
        <v>1.1726925848407836</v>
      </c>
      <c r="E26" s="647">
        <v>1.1864045498795921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100822.93057354751</v>
      </c>
      <c r="D27" s="645">
        <f>D19*D26</f>
        <v>101435.56320355811</v>
      </c>
      <c r="E27" s="645">
        <f>E19*E26</f>
        <v>97133.313307741962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23821.956400000003</v>
      </c>
      <c r="D28" s="645">
        <f>D20*D26</f>
        <v>23532.422100000007</v>
      </c>
      <c r="E28" s="645">
        <f>E20*E26</f>
        <v>23155.0576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185967.15156565403</v>
      </c>
      <c r="D29" s="645">
        <f>D22*D26</f>
        <v>194698.84646010119</v>
      </c>
      <c r="E29" s="645">
        <f>E22*E26</f>
        <v>186536.0120699892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43939.422820065396</v>
      </c>
      <c r="D30" s="645">
        <f>D23*D26</f>
        <v>45168.925893255924</v>
      </c>
      <c r="E30" s="645">
        <f>E23*E26</f>
        <v>44467.258007254975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9338.7902341242589</v>
      </c>
      <c r="D33" s="641">
        <f>IF(D19=0,0,D12/D19)</f>
        <v>9559.6617840874933</v>
      </c>
      <c r="E33" s="641">
        <f>IF(E19=0,0,E12/E19)</f>
        <v>9780.3894982411566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39525.057623564178</v>
      </c>
      <c r="D34" s="641">
        <f>IF(D20=0,0,D12/D20)</f>
        <v>41206.539343200282</v>
      </c>
      <c r="E34" s="641">
        <f>IF(E20=0,0,E12/E20)</f>
        <v>41027.824409489163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5063.0672755323822</v>
      </c>
      <c r="D35" s="641">
        <f>IF(D22=0,0,D12/D22)</f>
        <v>4980.4592822955437</v>
      </c>
      <c r="E35" s="641">
        <f>IF(E22=0,0,E12/E22)</f>
        <v>5092.8591581981627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21428.688384729041</v>
      </c>
      <c r="D36" s="641">
        <f>IF(D23=0,0,D12/D23)</f>
        <v>21468.070314446602</v>
      </c>
      <c r="E36" s="641">
        <f>IF(E23=0,0,E12/E23)</f>
        <v>21364.070553876107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4459.256524705288</v>
      </c>
      <c r="D37" s="641">
        <f>IF(D29=0,0,D12/D29)</f>
        <v>4247.0288860671362</v>
      </c>
      <c r="E37" s="641">
        <f>IF(E29=0,0,E12/E29)</f>
        <v>4292.6834347651784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18873.148092908104</v>
      </c>
      <c r="D38" s="641">
        <f>IF(D30=0,0,D12/D30)</f>
        <v>18306.647958690144</v>
      </c>
      <c r="E38" s="641">
        <f>IF(E30=0,0,E12/E30)</f>
        <v>18007.407807096104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2744.9647752978767</v>
      </c>
      <c r="D39" s="641">
        <f>IF(D22=0,0,D10/D22)</f>
        <v>2594.7544194390744</v>
      </c>
      <c r="E39" s="641">
        <f>IF(E22=0,0,E10/E22)</f>
        <v>2651.9612956014976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11617.660124954775</v>
      </c>
      <c r="D40" s="641">
        <f>IF(D23=0,0,D10/D23)</f>
        <v>11184.585028785619</v>
      </c>
      <c r="E40" s="641">
        <f>IF(E23=0,0,E10/E23)</f>
        <v>11124.731013654036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3885.8160452257343</v>
      </c>
      <c r="D43" s="641">
        <f>IF(D19=0,0,D13/D19)</f>
        <v>4251.3471640962798</v>
      </c>
      <c r="E43" s="641">
        <f>IF(E19=0,0,E13/E19)</f>
        <v>4457.1029289622829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16446.145512606643</v>
      </c>
      <c r="D44" s="641">
        <f>IF(D20=0,0,D13/D20)</f>
        <v>18325.261723227188</v>
      </c>
      <c r="E44" s="641">
        <f>IF(E20=0,0,E13/E20)</f>
        <v>18697.132294922376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2106.7127073302349</v>
      </c>
      <c r="D45" s="641">
        <f>IF(D22=0,0,D13/D22)</f>
        <v>2214.8965019796733</v>
      </c>
      <c r="E45" s="641">
        <f>IF(E22=0,0,E13/E22)</f>
        <v>2320.9093538533953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8916.3520184079662</v>
      </c>
      <c r="D46" s="641">
        <f>IF(D23=0,0,D13/D23)</f>
        <v>9547.222685415747</v>
      </c>
      <c r="E46" s="641">
        <f>IF(E23=0,0,E13/E23)</f>
        <v>9735.9989044773884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1855.4705822774345</v>
      </c>
      <c r="D47" s="641">
        <f>IF(D29=0,0,D13/D29)</f>
        <v>1888.7273021176218</v>
      </c>
      <c r="E47" s="641">
        <f>IF(E29=0,0,E13/E29)</f>
        <v>1956.2545963676082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7853.0066362734815</v>
      </c>
      <c r="D48" s="641">
        <f>IF(D30=0,0,D13/D30)</f>
        <v>8141.2834095066546</v>
      </c>
      <c r="E48" s="641">
        <f>IF(E30=0,0,E13/E30)</f>
        <v>8206.3061082035565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3984.281208121713</v>
      </c>
      <c r="D51" s="641">
        <f>IF(D19=0,0,D16/D19)</f>
        <v>4299.6151702929546</v>
      </c>
      <c r="E51" s="641">
        <f>IF(E19=0,0,E16/E19)</f>
        <v>4659.4261285909715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16862.884848195987</v>
      </c>
      <c r="D52" s="641">
        <f>IF(D20=0,0,D16/D20)</f>
        <v>18533.31903124533</v>
      </c>
      <c r="E52" s="641">
        <f>IF(E20=0,0,E16/E20)</f>
        <v>19545.859302146848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2160.0960398112375</v>
      </c>
      <c r="D53" s="641">
        <f>IF(D22=0,0,D16/D22)</f>
        <v>2240.0435045546265</v>
      </c>
      <c r="E53" s="641">
        <f>IF(E22=0,0,E16/E22)</f>
        <v>2426.2633952573929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9142.2891301271666</v>
      </c>
      <c r="D54" s="641">
        <f>IF(D23=0,0,D16/D23)</f>
        <v>9655.6178331073952</v>
      </c>
      <c r="E54" s="641">
        <f>IF(E23=0,0,E16/E23)</f>
        <v>10177.94931067855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1902.4875308427468</v>
      </c>
      <c r="D55" s="641">
        <f>IF(D29=0,0,D16/D29)</f>
        <v>1910.1711168905849</v>
      </c>
      <c r="E55" s="641">
        <f>IF(E29=0,0,E16/E29)</f>
        <v>2045.0557067600876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8051.9989634099938</v>
      </c>
      <c r="D56" s="641">
        <f>IF(D30=0,0,D16/D30)</f>
        <v>8233.7161144566599</v>
      </c>
      <c r="E56" s="641">
        <f>IF(E30=0,0,E16/E30)</f>
        <v>8578.8185081652864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50065672</v>
      </c>
      <c r="D59" s="649">
        <v>50992421</v>
      </c>
      <c r="E59" s="649">
        <v>50879413</v>
      </c>
    </row>
    <row r="60" spans="1:6" ht="26.1" customHeight="1" x14ac:dyDescent="0.25">
      <c r="A60" s="639">
        <v>2</v>
      </c>
      <c r="B60" s="640" t="s">
        <v>938</v>
      </c>
      <c r="C60" s="649">
        <v>15157065</v>
      </c>
      <c r="D60" s="649">
        <v>15207538</v>
      </c>
      <c r="E60" s="649">
        <v>18188771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65222737</v>
      </c>
      <c r="D61" s="652">
        <f>D59+D60</f>
        <v>66199959</v>
      </c>
      <c r="E61" s="652">
        <f>E59+E60</f>
        <v>69068184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20999434</v>
      </c>
      <c r="D64" s="641">
        <v>21902358</v>
      </c>
      <c r="E64" s="649">
        <v>22602893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6357446</v>
      </c>
      <c r="D65" s="649">
        <v>6531970</v>
      </c>
      <c r="E65" s="649">
        <v>8080259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27356880</v>
      </c>
      <c r="D66" s="654">
        <f>D64+D65</f>
        <v>28434328</v>
      </c>
      <c r="E66" s="654">
        <f>E64+E65</f>
        <v>30683152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72008323</v>
      </c>
      <c r="D69" s="649">
        <v>71621671</v>
      </c>
      <c r="E69" s="649">
        <v>71923201</v>
      </c>
    </row>
    <row r="70" spans="1:6" ht="26.1" customHeight="1" x14ac:dyDescent="0.25">
      <c r="A70" s="639">
        <v>2</v>
      </c>
      <c r="B70" s="640" t="s">
        <v>946</v>
      </c>
      <c r="C70" s="649">
        <v>21800063</v>
      </c>
      <c r="D70" s="649">
        <v>21359827</v>
      </c>
      <c r="E70" s="649">
        <v>25711669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93808386</v>
      </c>
      <c r="D71" s="652">
        <f>D69+D70</f>
        <v>92981498</v>
      </c>
      <c r="E71" s="652">
        <f>E69+E70</f>
        <v>97634870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143073429</v>
      </c>
      <c r="D75" s="641">
        <f t="shared" si="0"/>
        <v>144516450</v>
      </c>
      <c r="E75" s="641">
        <f t="shared" si="0"/>
        <v>145405507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43314574</v>
      </c>
      <c r="D76" s="641">
        <f t="shared" si="0"/>
        <v>43099335</v>
      </c>
      <c r="E76" s="641">
        <f t="shared" si="0"/>
        <v>51980699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186388003</v>
      </c>
      <c r="D77" s="654">
        <f>D75+D76</f>
        <v>187615785</v>
      </c>
      <c r="E77" s="654">
        <f>E75+E76</f>
        <v>197386206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647.29999999999995</v>
      </c>
      <c r="D80" s="646">
        <v>647.5</v>
      </c>
      <c r="E80" s="646">
        <v>634.29999999999995</v>
      </c>
    </row>
    <row r="81" spans="1:5" ht="26.1" customHeight="1" x14ac:dyDescent="0.25">
      <c r="A81" s="639">
        <v>2</v>
      </c>
      <c r="B81" s="640" t="s">
        <v>579</v>
      </c>
      <c r="C81" s="646">
        <v>109.1</v>
      </c>
      <c r="D81" s="646">
        <v>111.9</v>
      </c>
      <c r="E81" s="646">
        <v>111</v>
      </c>
    </row>
    <row r="82" spans="1:5" ht="26.1" customHeight="1" x14ac:dyDescent="0.25">
      <c r="A82" s="639">
        <v>3</v>
      </c>
      <c r="B82" s="640" t="s">
        <v>952</v>
      </c>
      <c r="C82" s="646">
        <v>1500.3</v>
      </c>
      <c r="D82" s="646">
        <v>1464.8</v>
      </c>
      <c r="E82" s="646">
        <v>1420.8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2256.6999999999998</v>
      </c>
      <c r="D83" s="656">
        <f>D80+D81+D82</f>
        <v>2224.1999999999998</v>
      </c>
      <c r="E83" s="656">
        <f>E80+E81+E82</f>
        <v>2166.1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77345.391626757308</v>
      </c>
      <c r="D86" s="649">
        <f>IF(D80=0,0,D59/D80)</f>
        <v>78752.773745173748</v>
      </c>
      <c r="E86" s="649">
        <f>IF(E80=0,0,E59/E80)</f>
        <v>80213.484155762257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23415.827282558323</v>
      </c>
      <c r="D87" s="649">
        <f>IF(D80=0,0,D60/D80)</f>
        <v>23486.545173745173</v>
      </c>
      <c r="E87" s="649">
        <f>IF(E80=0,0,E60/E80)</f>
        <v>28675.344474223555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100761.21890931563</v>
      </c>
      <c r="D88" s="652">
        <f>+D86+D87</f>
        <v>102239.31891891893</v>
      </c>
      <c r="E88" s="652">
        <f>+E86+E87</f>
        <v>108888.82862998582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192478.77176901925</v>
      </c>
      <c r="D91" s="641">
        <f>IF(D81=0,0,D64/D81)</f>
        <v>195731.52815013405</v>
      </c>
      <c r="E91" s="641">
        <f>IF(E81=0,0,E64/E81)</f>
        <v>203629.66666666666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58271.732355637032</v>
      </c>
      <c r="D92" s="641">
        <f>IF(D81=0,0,D65/D81)</f>
        <v>58373.279714030381</v>
      </c>
      <c r="E92" s="641">
        <f>IF(E81=0,0,E65/E81)</f>
        <v>72795.126126126124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250750.50412465629</v>
      </c>
      <c r="D93" s="654">
        <f>+D91+D92</f>
        <v>254104.80786416444</v>
      </c>
      <c r="E93" s="654">
        <f>+E91+E92</f>
        <v>276424.79279279278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47995.949476771311</v>
      </c>
      <c r="D96" s="649">
        <f>IF(D82=0,0,D69/D82)</f>
        <v>48895.187738940469</v>
      </c>
      <c r="E96" s="649">
        <f>IF(E82=0,0,E69/E82)</f>
        <v>50621.622325450451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14530.469239485437</v>
      </c>
      <c r="D97" s="649">
        <f>IF(D82=0,0,D70/D82)</f>
        <v>14582.07741671218</v>
      </c>
      <c r="E97" s="649">
        <f>IF(E82=0,0,E70/E82)</f>
        <v>18096.613879504504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62526.418716256747</v>
      </c>
      <c r="D98" s="654">
        <f>+D96+D97</f>
        <v>63477.265155652647</v>
      </c>
      <c r="E98" s="654">
        <f>+E96+E97</f>
        <v>68718.236204954956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63399.401338237258</v>
      </c>
      <c r="D101" s="641">
        <f>IF(D83=0,0,D75/D83)</f>
        <v>64974.575128135963</v>
      </c>
      <c r="E101" s="641">
        <f>IF(E83=0,0,E75/E83)</f>
        <v>67127.790499053604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19193.767004918689</v>
      </c>
      <c r="D102" s="658">
        <f>IF(D83=0,0,D76/D83)</f>
        <v>19377.45481521446</v>
      </c>
      <c r="E102" s="658">
        <f>IF(E83=0,0,E76/E83)</f>
        <v>23997.368080882694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82593.16834315595</v>
      </c>
      <c r="D103" s="654">
        <f>+D101+D102</f>
        <v>84352.029943350426</v>
      </c>
      <c r="E103" s="654">
        <f>+E101+E102</f>
        <v>91125.158579936295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2098.9876349958895</v>
      </c>
      <c r="D108" s="641">
        <f>IF(D19=0,0,D77/D19)</f>
        <v>2169.018763439617</v>
      </c>
      <c r="E108" s="641">
        <f>IF(E19=0,0,E77/E19)</f>
        <v>2410.9122288450262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8883.6567847099759</v>
      </c>
      <c r="D109" s="641">
        <f>IF(D20=0,0,D77/D20)</f>
        <v>9349.4685304230825</v>
      </c>
      <c r="E109" s="641">
        <f>IF(E20=0,0,E77/E20)</f>
        <v>10113.552595173438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1137.9756199750823</v>
      </c>
      <c r="D110" s="641">
        <f>IF(D22=0,0,D77/D22)</f>
        <v>1130.0305259572742</v>
      </c>
      <c r="E110" s="641">
        <f>IF(E22=0,0,E77/E22)</f>
        <v>1255.413848956978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4816.3146217133281</v>
      </c>
      <c r="D111" s="641">
        <f>IF(D23=0,0,D77/D23)</f>
        <v>4870.9513347412321</v>
      </c>
      <c r="E111" s="641">
        <f>IF(E23=0,0,E77/E23)</f>
        <v>5266.3443480968235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1002.26304178347</v>
      </c>
      <c r="D112" s="641">
        <f>IF(D29=0,0,D77/D29)</f>
        <v>963.62042411200059</v>
      </c>
      <c r="E112" s="641">
        <f>IF(E29=0,0,E77/E29)</f>
        <v>1058.166751875985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4241.9310732248396</v>
      </c>
      <c r="D113" s="641">
        <f>IF(D30=0,0,D77/D30)</f>
        <v>4153.647253941288</v>
      </c>
      <c r="E113" s="641">
        <f>IF(E30=0,0,E77/E30)</f>
        <v>4438.9111190034655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FILING&amp;R&amp;12THE HOSPITAL OF CENTRAL CONNECTICUT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834657877</v>
      </c>
      <c r="D12" s="51">
        <v>809324847</v>
      </c>
      <c r="E12" s="51">
        <f t="shared" ref="E12:E19" si="0">D12-C12</f>
        <v>-25333030</v>
      </c>
      <c r="F12" s="70">
        <f t="shared" ref="F12:F19" si="1">IF(C12=0,0,E12/C12)</f>
        <v>-3.0351393904115759E-2</v>
      </c>
    </row>
    <row r="13" spans="1:8" ht="23.1" customHeight="1" x14ac:dyDescent="0.2">
      <c r="A13" s="25">
        <v>2</v>
      </c>
      <c r="B13" s="48" t="s">
        <v>72</v>
      </c>
      <c r="C13" s="51">
        <v>459849366</v>
      </c>
      <c r="D13" s="51">
        <v>435992445</v>
      </c>
      <c r="E13" s="51">
        <f t="shared" si="0"/>
        <v>-23856921</v>
      </c>
      <c r="F13" s="70">
        <f t="shared" si="1"/>
        <v>-5.1879860588956425E-2</v>
      </c>
    </row>
    <row r="14" spans="1:8" ht="23.1" customHeight="1" x14ac:dyDescent="0.2">
      <c r="A14" s="25">
        <v>3</v>
      </c>
      <c r="B14" s="48" t="s">
        <v>73</v>
      </c>
      <c r="C14" s="51">
        <v>7075484</v>
      </c>
      <c r="D14" s="51">
        <v>8420471</v>
      </c>
      <c r="E14" s="51">
        <f t="shared" si="0"/>
        <v>1344987</v>
      </c>
      <c r="F14" s="70">
        <f t="shared" si="1"/>
        <v>0.19009116549482694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367733027</v>
      </c>
      <c r="D16" s="27">
        <f>D12-D13-D14-D15</f>
        <v>364911931</v>
      </c>
      <c r="E16" s="27">
        <f t="shared" si="0"/>
        <v>-2821096</v>
      </c>
      <c r="F16" s="28">
        <f t="shared" si="1"/>
        <v>-7.6715872463639229E-3</v>
      </c>
    </row>
    <row r="17" spans="1:7" ht="23.1" customHeight="1" x14ac:dyDescent="0.2">
      <c r="A17" s="25">
        <v>5</v>
      </c>
      <c r="B17" s="48" t="s">
        <v>76</v>
      </c>
      <c r="C17" s="51">
        <v>14803908</v>
      </c>
      <c r="D17" s="51">
        <v>13664442</v>
      </c>
      <c r="E17" s="51">
        <f t="shared" si="0"/>
        <v>-1139466</v>
      </c>
      <c r="F17" s="70">
        <f t="shared" si="1"/>
        <v>-7.6970621541284909E-2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777708</v>
      </c>
      <c r="D18" s="51">
        <v>1144549</v>
      </c>
      <c r="E18" s="51">
        <f t="shared" si="0"/>
        <v>366841</v>
      </c>
      <c r="F18" s="70">
        <f t="shared" si="1"/>
        <v>0.47169503206859131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383314643</v>
      </c>
      <c r="D19" s="27">
        <f>SUM(D16:D18)</f>
        <v>379720922</v>
      </c>
      <c r="E19" s="27">
        <f t="shared" si="0"/>
        <v>-3593721</v>
      </c>
      <c r="F19" s="28">
        <f t="shared" si="1"/>
        <v>-9.3753814669688997E-3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144516450</v>
      </c>
      <c r="D22" s="51">
        <v>145405507</v>
      </c>
      <c r="E22" s="51">
        <f t="shared" ref="E22:E31" si="2">D22-C22</f>
        <v>889057</v>
      </c>
      <c r="F22" s="70">
        <f t="shared" ref="F22:F31" si="3">IF(C22=0,0,E22/C22)</f>
        <v>6.151943256286741E-3</v>
      </c>
    </row>
    <row r="23" spans="1:7" ht="23.1" customHeight="1" x14ac:dyDescent="0.2">
      <c r="A23" s="25">
        <v>2</v>
      </c>
      <c r="B23" s="48" t="s">
        <v>81</v>
      </c>
      <c r="C23" s="51">
        <v>43099335</v>
      </c>
      <c r="D23" s="51">
        <v>51980699</v>
      </c>
      <c r="E23" s="51">
        <f t="shared" si="2"/>
        <v>8881364</v>
      </c>
      <c r="F23" s="70">
        <f t="shared" si="3"/>
        <v>0.20606730939120058</v>
      </c>
    </row>
    <row r="24" spans="1:7" ht="23.1" customHeight="1" x14ac:dyDescent="0.2">
      <c r="A24" s="25">
        <v>3</v>
      </c>
      <c r="B24" s="48" t="s">
        <v>82</v>
      </c>
      <c r="C24" s="51">
        <v>8591910</v>
      </c>
      <c r="D24" s="51">
        <v>9990396</v>
      </c>
      <c r="E24" s="51">
        <f t="shared" si="2"/>
        <v>1398486</v>
      </c>
      <c r="F24" s="70">
        <f t="shared" si="3"/>
        <v>0.16276776642213431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53692145</v>
      </c>
      <c r="D25" s="51">
        <v>54167261</v>
      </c>
      <c r="E25" s="51">
        <f t="shared" si="2"/>
        <v>475116</v>
      </c>
      <c r="F25" s="70">
        <f t="shared" si="3"/>
        <v>8.8488921424167352E-3</v>
      </c>
    </row>
    <row r="26" spans="1:7" ht="23.1" customHeight="1" x14ac:dyDescent="0.2">
      <c r="A26" s="25">
        <v>5</v>
      </c>
      <c r="B26" s="48" t="s">
        <v>84</v>
      </c>
      <c r="C26" s="51">
        <v>17530247</v>
      </c>
      <c r="D26" s="51">
        <v>17496832</v>
      </c>
      <c r="E26" s="51">
        <f t="shared" si="2"/>
        <v>-33415</v>
      </c>
      <c r="F26" s="70">
        <f t="shared" si="3"/>
        <v>-1.9061340094067129E-3</v>
      </c>
    </row>
    <row r="27" spans="1:7" ht="23.1" customHeight="1" x14ac:dyDescent="0.2">
      <c r="A27" s="25">
        <v>6</v>
      </c>
      <c r="B27" s="48" t="s">
        <v>85</v>
      </c>
      <c r="C27" s="51">
        <v>17638340</v>
      </c>
      <c r="D27" s="51">
        <v>9548336</v>
      </c>
      <c r="E27" s="51">
        <f t="shared" si="2"/>
        <v>-8090004</v>
      </c>
      <c r="F27" s="70">
        <f t="shared" si="3"/>
        <v>-0.45866016870068271</v>
      </c>
    </row>
    <row r="28" spans="1:7" ht="23.1" customHeight="1" x14ac:dyDescent="0.2">
      <c r="A28" s="25">
        <v>7</v>
      </c>
      <c r="B28" s="48" t="s">
        <v>86</v>
      </c>
      <c r="C28" s="51">
        <v>1892811</v>
      </c>
      <c r="D28" s="51">
        <v>1545904</v>
      </c>
      <c r="E28" s="51">
        <f t="shared" si="2"/>
        <v>-346907</v>
      </c>
      <c r="F28" s="70">
        <f t="shared" si="3"/>
        <v>-0.18327609042846857</v>
      </c>
    </row>
    <row r="29" spans="1:7" ht="23.1" customHeight="1" x14ac:dyDescent="0.2">
      <c r="A29" s="25">
        <v>8</v>
      </c>
      <c r="B29" s="48" t="s">
        <v>87</v>
      </c>
      <c r="C29" s="51">
        <v>7328946</v>
      </c>
      <c r="D29" s="51">
        <v>7398814</v>
      </c>
      <c r="E29" s="51">
        <f t="shared" si="2"/>
        <v>69868</v>
      </c>
      <c r="F29" s="70">
        <f t="shared" si="3"/>
        <v>9.5331579738750973E-3</v>
      </c>
    </row>
    <row r="30" spans="1:7" ht="23.1" customHeight="1" x14ac:dyDescent="0.2">
      <c r="A30" s="25">
        <v>9</v>
      </c>
      <c r="B30" s="48" t="s">
        <v>88</v>
      </c>
      <c r="C30" s="51">
        <v>77617929</v>
      </c>
      <c r="D30" s="51">
        <v>83942787</v>
      </c>
      <c r="E30" s="51">
        <f t="shared" si="2"/>
        <v>6324858</v>
      </c>
      <c r="F30" s="70">
        <f t="shared" si="3"/>
        <v>8.1487074977225946E-2</v>
      </c>
    </row>
    <row r="31" spans="1:7" ht="23.1" customHeight="1" x14ac:dyDescent="0.25">
      <c r="A31" s="29"/>
      <c r="B31" s="71" t="s">
        <v>89</v>
      </c>
      <c r="C31" s="27">
        <f>SUM(C22:C30)</f>
        <v>371908113</v>
      </c>
      <c r="D31" s="27">
        <f>SUM(D22:D30)</f>
        <v>381476536</v>
      </c>
      <c r="E31" s="27">
        <f t="shared" si="2"/>
        <v>9568423</v>
      </c>
      <c r="F31" s="28">
        <f t="shared" si="3"/>
        <v>2.5727922208569835E-2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11406530</v>
      </c>
      <c r="D33" s="27">
        <f>+D19-D31</f>
        <v>-1755614</v>
      </c>
      <c r="E33" s="27">
        <f>D33-C33</f>
        <v>-13162144</v>
      </c>
      <c r="F33" s="28">
        <f>IF(C33=0,0,E33/C33)</f>
        <v>-1.1539130655861161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4243618</v>
      </c>
      <c r="D36" s="51">
        <v>7343204</v>
      </c>
      <c r="E36" s="51">
        <f>D36-C36</f>
        <v>3099586</v>
      </c>
      <c r="F36" s="70">
        <f>IF(C36=0,0,E36/C36)</f>
        <v>0.73041117273043898</v>
      </c>
    </row>
    <row r="37" spans="1:6" ht="23.1" customHeight="1" x14ac:dyDescent="0.2">
      <c r="A37" s="44">
        <v>2</v>
      </c>
      <c r="B37" s="48" t="s">
        <v>93</v>
      </c>
      <c r="C37" s="51">
        <v>1054227</v>
      </c>
      <c r="D37" s="51">
        <v>1195945</v>
      </c>
      <c r="E37" s="51">
        <f>D37-C37</f>
        <v>141718</v>
      </c>
      <c r="F37" s="70">
        <f>IF(C37=0,0,E37/C37)</f>
        <v>0.13442835366576647</v>
      </c>
    </row>
    <row r="38" spans="1:6" ht="23.1" customHeight="1" x14ac:dyDescent="0.2">
      <c r="A38" s="44">
        <v>3</v>
      </c>
      <c r="B38" s="48" t="s">
        <v>94</v>
      </c>
      <c r="C38" s="51">
        <v>-1971035</v>
      </c>
      <c r="D38" s="51">
        <v>-1343101</v>
      </c>
      <c r="E38" s="51">
        <f>D38-C38</f>
        <v>627934</v>
      </c>
      <c r="F38" s="70">
        <f>IF(C38=0,0,E38/C38)</f>
        <v>-0.31858084711839213</v>
      </c>
    </row>
    <row r="39" spans="1:6" ht="23.1" customHeight="1" x14ac:dyDescent="0.25">
      <c r="A39" s="20"/>
      <c r="B39" s="71" t="s">
        <v>95</v>
      </c>
      <c r="C39" s="27">
        <f>SUM(C36:C38)</f>
        <v>3326810</v>
      </c>
      <c r="D39" s="27">
        <f>SUM(D36:D38)</f>
        <v>7196048</v>
      </c>
      <c r="E39" s="27">
        <f>D39-C39</f>
        <v>3869238</v>
      </c>
      <c r="F39" s="28">
        <f>IF(C39=0,0,E39/C39)</f>
        <v>1.1630474839260432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14733340</v>
      </c>
      <c r="D41" s="27">
        <f>D33+D39</f>
        <v>5440434</v>
      </c>
      <c r="E41" s="27">
        <f>D41-C41</f>
        <v>-9292906</v>
      </c>
      <c r="F41" s="28">
        <f>IF(C41=0,0,E41/C41)</f>
        <v>-0.63073994084165574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14733340</v>
      </c>
      <c r="D48" s="27">
        <f>D41+D46</f>
        <v>5440434</v>
      </c>
      <c r="E48" s="27">
        <f>D48-C48</f>
        <v>-9292906</v>
      </c>
      <c r="F48" s="28">
        <f>IF(C48=0,0,E48/C48)</f>
        <v>-0.63073994084165574</v>
      </c>
    </row>
    <row r="49" spans="1:6" ht="23.1" customHeight="1" x14ac:dyDescent="0.2">
      <c r="A49" s="44"/>
      <c r="B49" s="48" t="s">
        <v>102</v>
      </c>
      <c r="C49" s="51">
        <v>3572676</v>
      </c>
      <c r="D49" s="51">
        <v>3670857</v>
      </c>
      <c r="E49" s="51">
        <f>D49-C49</f>
        <v>98181</v>
      </c>
      <c r="F49" s="70">
        <f>IF(C49=0,0,E49/C49)</f>
        <v>2.7481081407885855E-2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710937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201862921</v>
      </c>
      <c r="D14" s="97">
        <v>186858245</v>
      </c>
      <c r="E14" s="97">
        <f t="shared" ref="E14:E25" si="0">D14-C14</f>
        <v>-15004676</v>
      </c>
      <c r="F14" s="98">
        <f t="shared" ref="F14:F25" si="1">IF(C14=0,0,E14/C14)</f>
        <v>-7.4331015947203108E-2</v>
      </c>
    </row>
    <row r="15" spans="1:6" ht="18" customHeight="1" x14ac:dyDescent="0.25">
      <c r="A15" s="99">
        <v>2</v>
      </c>
      <c r="B15" s="100" t="s">
        <v>113</v>
      </c>
      <c r="C15" s="97">
        <v>39782421</v>
      </c>
      <c r="D15" s="97">
        <v>43083820</v>
      </c>
      <c r="E15" s="97">
        <f t="shared" si="0"/>
        <v>3301399</v>
      </c>
      <c r="F15" s="98">
        <f t="shared" si="1"/>
        <v>8.2986377324798813E-2</v>
      </c>
    </row>
    <row r="16" spans="1:6" ht="18" customHeight="1" x14ac:dyDescent="0.25">
      <c r="A16" s="99">
        <v>3</v>
      </c>
      <c r="B16" s="100" t="s">
        <v>114</v>
      </c>
      <c r="C16" s="97">
        <v>32620274</v>
      </c>
      <c r="D16" s="97">
        <v>33963456</v>
      </c>
      <c r="E16" s="97">
        <f t="shared" si="0"/>
        <v>1343182</v>
      </c>
      <c r="F16" s="98">
        <f t="shared" si="1"/>
        <v>4.1176294227326229E-2</v>
      </c>
    </row>
    <row r="17" spans="1:6" ht="18" customHeight="1" x14ac:dyDescent="0.25">
      <c r="A17" s="99">
        <v>4</v>
      </c>
      <c r="B17" s="100" t="s">
        <v>115</v>
      </c>
      <c r="C17" s="97">
        <v>22939250</v>
      </c>
      <c r="D17" s="97">
        <v>24622008</v>
      </c>
      <c r="E17" s="97">
        <f t="shared" si="0"/>
        <v>1682758</v>
      </c>
      <c r="F17" s="98">
        <f t="shared" si="1"/>
        <v>7.3357149863225696E-2</v>
      </c>
    </row>
    <row r="18" spans="1:6" ht="18" customHeight="1" x14ac:dyDescent="0.25">
      <c r="A18" s="99">
        <v>5</v>
      </c>
      <c r="B18" s="100" t="s">
        <v>116</v>
      </c>
      <c r="C18" s="97">
        <v>517947</v>
      </c>
      <c r="D18" s="97">
        <v>754937</v>
      </c>
      <c r="E18" s="97">
        <f t="shared" si="0"/>
        <v>236990</v>
      </c>
      <c r="F18" s="98">
        <f t="shared" si="1"/>
        <v>0.45755646813283984</v>
      </c>
    </row>
    <row r="19" spans="1:6" ht="18" customHeight="1" x14ac:dyDescent="0.25">
      <c r="A19" s="99">
        <v>6</v>
      </c>
      <c r="B19" s="100" t="s">
        <v>117</v>
      </c>
      <c r="C19" s="97">
        <v>1831619</v>
      </c>
      <c r="D19" s="97">
        <v>3683404</v>
      </c>
      <c r="E19" s="97">
        <f t="shared" si="0"/>
        <v>1851785</v>
      </c>
      <c r="F19" s="98">
        <f t="shared" si="1"/>
        <v>1.0110099316506327</v>
      </c>
    </row>
    <row r="20" spans="1:6" ht="18" customHeight="1" x14ac:dyDescent="0.25">
      <c r="A20" s="99">
        <v>7</v>
      </c>
      <c r="B20" s="100" t="s">
        <v>118</v>
      </c>
      <c r="C20" s="97">
        <v>111695470</v>
      </c>
      <c r="D20" s="97">
        <v>103543373</v>
      </c>
      <c r="E20" s="97">
        <f t="shared" si="0"/>
        <v>-8152097</v>
      </c>
      <c r="F20" s="98">
        <f t="shared" si="1"/>
        <v>-7.2985027951446915E-2</v>
      </c>
    </row>
    <row r="21" spans="1:6" ht="18" customHeight="1" x14ac:dyDescent="0.25">
      <c r="A21" s="99">
        <v>8</v>
      </c>
      <c r="B21" s="100" t="s">
        <v>119</v>
      </c>
      <c r="C21" s="97">
        <v>2144186</v>
      </c>
      <c r="D21" s="97">
        <v>1568922</v>
      </c>
      <c r="E21" s="97">
        <f t="shared" si="0"/>
        <v>-575264</v>
      </c>
      <c r="F21" s="98">
        <f t="shared" si="1"/>
        <v>-0.2682901576635609</v>
      </c>
    </row>
    <row r="22" spans="1:6" ht="18" customHeight="1" x14ac:dyDescent="0.25">
      <c r="A22" s="99">
        <v>9</v>
      </c>
      <c r="B22" s="100" t="s">
        <v>120</v>
      </c>
      <c r="C22" s="97">
        <v>4796385</v>
      </c>
      <c r="D22" s="97">
        <v>5651953</v>
      </c>
      <c r="E22" s="97">
        <f t="shared" si="0"/>
        <v>855568</v>
      </c>
      <c r="F22" s="98">
        <f t="shared" si="1"/>
        <v>0.17837767401907895</v>
      </c>
    </row>
    <row r="23" spans="1:6" ht="18" customHeight="1" x14ac:dyDescent="0.25">
      <c r="A23" s="99">
        <v>10</v>
      </c>
      <c r="B23" s="100" t="s">
        <v>121</v>
      </c>
      <c r="C23" s="97">
        <v>12609294</v>
      </c>
      <c r="D23" s="97">
        <v>13232447</v>
      </c>
      <c r="E23" s="97">
        <f t="shared" si="0"/>
        <v>623153</v>
      </c>
      <c r="F23" s="98">
        <f t="shared" si="1"/>
        <v>4.9420134069361854E-2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430799767</v>
      </c>
      <c r="D25" s="103">
        <f>SUM(D14:D24)</f>
        <v>416962565</v>
      </c>
      <c r="E25" s="103">
        <f t="shared" si="0"/>
        <v>-13837202</v>
      </c>
      <c r="F25" s="104">
        <f t="shared" si="1"/>
        <v>-3.2119799173428984E-2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103515710</v>
      </c>
      <c r="D27" s="97">
        <v>100704943</v>
      </c>
      <c r="E27" s="97">
        <f t="shared" ref="E27:E38" si="2">D27-C27</f>
        <v>-2810767</v>
      </c>
      <c r="F27" s="98">
        <f t="shared" ref="F27:F38" si="3">IF(C27=0,0,E27/C27)</f>
        <v>-2.715304759055413E-2</v>
      </c>
    </row>
    <row r="28" spans="1:6" ht="18" customHeight="1" x14ac:dyDescent="0.25">
      <c r="A28" s="99">
        <v>2</v>
      </c>
      <c r="B28" s="100" t="s">
        <v>113</v>
      </c>
      <c r="C28" s="97">
        <v>23758626</v>
      </c>
      <c r="D28" s="97">
        <v>24772725</v>
      </c>
      <c r="E28" s="97">
        <f t="shared" si="2"/>
        <v>1014099</v>
      </c>
      <c r="F28" s="98">
        <f t="shared" si="3"/>
        <v>4.2683402651314935E-2</v>
      </c>
    </row>
    <row r="29" spans="1:6" ht="18" customHeight="1" x14ac:dyDescent="0.25">
      <c r="A29" s="99">
        <v>3</v>
      </c>
      <c r="B29" s="100" t="s">
        <v>114</v>
      </c>
      <c r="C29" s="97">
        <v>21922404</v>
      </c>
      <c r="D29" s="97">
        <v>25269391</v>
      </c>
      <c r="E29" s="97">
        <f t="shared" si="2"/>
        <v>3346987</v>
      </c>
      <c r="F29" s="98">
        <f t="shared" si="3"/>
        <v>0.15267426875264228</v>
      </c>
    </row>
    <row r="30" spans="1:6" ht="18" customHeight="1" x14ac:dyDescent="0.25">
      <c r="A30" s="99">
        <v>4</v>
      </c>
      <c r="B30" s="100" t="s">
        <v>115</v>
      </c>
      <c r="C30" s="97">
        <v>41780362</v>
      </c>
      <c r="D30" s="97">
        <v>45485258</v>
      </c>
      <c r="E30" s="97">
        <f t="shared" si="2"/>
        <v>3704896</v>
      </c>
      <c r="F30" s="98">
        <f t="shared" si="3"/>
        <v>8.8675536128672128E-2</v>
      </c>
    </row>
    <row r="31" spans="1:6" ht="18" customHeight="1" x14ac:dyDescent="0.25">
      <c r="A31" s="99">
        <v>5</v>
      </c>
      <c r="B31" s="100" t="s">
        <v>116</v>
      </c>
      <c r="C31" s="97">
        <v>661469</v>
      </c>
      <c r="D31" s="97">
        <v>669381</v>
      </c>
      <c r="E31" s="97">
        <f t="shared" si="2"/>
        <v>7912</v>
      </c>
      <c r="F31" s="98">
        <f t="shared" si="3"/>
        <v>1.1961255931872847E-2</v>
      </c>
    </row>
    <row r="32" spans="1:6" ht="18" customHeight="1" x14ac:dyDescent="0.25">
      <c r="A32" s="99">
        <v>6</v>
      </c>
      <c r="B32" s="100" t="s">
        <v>117</v>
      </c>
      <c r="C32" s="97">
        <v>2991509</v>
      </c>
      <c r="D32" s="97">
        <v>3520322</v>
      </c>
      <c r="E32" s="97">
        <f t="shared" si="2"/>
        <v>528813</v>
      </c>
      <c r="F32" s="98">
        <f t="shared" si="3"/>
        <v>0.17677132176436708</v>
      </c>
    </row>
    <row r="33" spans="1:6" ht="18" customHeight="1" x14ac:dyDescent="0.25">
      <c r="A33" s="99">
        <v>7</v>
      </c>
      <c r="B33" s="100" t="s">
        <v>118</v>
      </c>
      <c r="C33" s="97">
        <v>167517698</v>
      </c>
      <c r="D33" s="97">
        <v>153282237</v>
      </c>
      <c r="E33" s="97">
        <f t="shared" si="2"/>
        <v>-14235461</v>
      </c>
      <c r="F33" s="98">
        <f t="shared" si="3"/>
        <v>-8.4978848025956039E-2</v>
      </c>
    </row>
    <row r="34" spans="1:6" ht="18" customHeight="1" x14ac:dyDescent="0.25">
      <c r="A34" s="99">
        <v>8</v>
      </c>
      <c r="B34" s="100" t="s">
        <v>119</v>
      </c>
      <c r="C34" s="97">
        <v>4924460</v>
      </c>
      <c r="D34" s="97">
        <v>4568741</v>
      </c>
      <c r="E34" s="97">
        <f t="shared" si="2"/>
        <v>-355719</v>
      </c>
      <c r="F34" s="98">
        <f t="shared" si="3"/>
        <v>-7.2235128318637987E-2</v>
      </c>
    </row>
    <row r="35" spans="1:6" ht="18" customHeight="1" x14ac:dyDescent="0.25">
      <c r="A35" s="99">
        <v>9</v>
      </c>
      <c r="B35" s="100" t="s">
        <v>120</v>
      </c>
      <c r="C35" s="97">
        <v>15715137</v>
      </c>
      <c r="D35" s="97">
        <v>14929960</v>
      </c>
      <c r="E35" s="97">
        <f t="shared" si="2"/>
        <v>-785177</v>
      </c>
      <c r="F35" s="98">
        <f t="shared" si="3"/>
        <v>-4.9963102453386185E-2</v>
      </c>
    </row>
    <row r="36" spans="1:6" ht="18" customHeight="1" x14ac:dyDescent="0.25">
      <c r="A36" s="99">
        <v>10</v>
      </c>
      <c r="B36" s="100" t="s">
        <v>121</v>
      </c>
      <c r="C36" s="97">
        <v>13304483</v>
      </c>
      <c r="D36" s="97">
        <v>10574526</v>
      </c>
      <c r="E36" s="97">
        <f t="shared" si="2"/>
        <v>-2729957</v>
      </c>
      <c r="F36" s="98">
        <f t="shared" si="3"/>
        <v>-0.20519076164026817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396091858</v>
      </c>
      <c r="D38" s="103">
        <f>SUM(D27:D37)</f>
        <v>383777484</v>
      </c>
      <c r="E38" s="103">
        <f t="shared" si="2"/>
        <v>-12314374</v>
      </c>
      <c r="F38" s="104">
        <f t="shared" si="3"/>
        <v>-3.1089692330913805E-2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305378631</v>
      </c>
      <c r="D41" s="103">
        <f t="shared" si="4"/>
        <v>287563188</v>
      </c>
      <c r="E41" s="107">
        <f t="shared" ref="E41:E52" si="5">D41-C41</f>
        <v>-17815443</v>
      </c>
      <c r="F41" s="108">
        <f t="shared" ref="F41:F52" si="6">IF(C41=0,0,E41/C41)</f>
        <v>-5.8338865891372736E-2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63541047</v>
      </c>
      <c r="D42" s="103">
        <f t="shared" si="4"/>
        <v>67856545</v>
      </c>
      <c r="E42" s="107">
        <f t="shared" si="5"/>
        <v>4315498</v>
      </c>
      <c r="F42" s="108">
        <f t="shared" si="6"/>
        <v>6.7916696430891363E-2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54542678</v>
      </c>
      <c r="D43" s="103">
        <f t="shared" si="4"/>
        <v>59232847</v>
      </c>
      <c r="E43" s="107">
        <f t="shared" si="5"/>
        <v>4690169</v>
      </c>
      <c r="F43" s="108">
        <f t="shared" si="6"/>
        <v>8.5990808885474973E-2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64719612</v>
      </c>
      <c r="D44" s="103">
        <f t="shared" si="4"/>
        <v>70107266</v>
      </c>
      <c r="E44" s="107">
        <f t="shared" si="5"/>
        <v>5387654</v>
      </c>
      <c r="F44" s="108">
        <f t="shared" si="6"/>
        <v>8.3246080029033553E-2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1179416</v>
      </c>
      <c r="D45" s="103">
        <f t="shared" si="4"/>
        <v>1424318</v>
      </c>
      <c r="E45" s="107">
        <f t="shared" si="5"/>
        <v>244902</v>
      </c>
      <c r="F45" s="108">
        <f t="shared" si="6"/>
        <v>0.2076468353829353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4823128</v>
      </c>
      <c r="D46" s="103">
        <f t="shared" si="4"/>
        <v>7203726</v>
      </c>
      <c r="E46" s="107">
        <f t="shared" si="5"/>
        <v>2380598</v>
      </c>
      <c r="F46" s="108">
        <f t="shared" si="6"/>
        <v>0.49357968521673073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279213168</v>
      </c>
      <c r="D47" s="103">
        <f t="shared" si="4"/>
        <v>256825610</v>
      </c>
      <c r="E47" s="107">
        <f t="shared" si="5"/>
        <v>-22387558</v>
      </c>
      <c r="F47" s="108">
        <f t="shared" si="6"/>
        <v>-8.0180881726896205E-2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7068646</v>
      </c>
      <c r="D48" s="103">
        <f t="shared" si="4"/>
        <v>6137663</v>
      </c>
      <c r="E48" s="107">
        <f t="shared" si="5"/>
        <v>-930983</v>
      </c>
      <c r="F48" s="108">
        <f t="shared" si="6"/>
        <v>-0.13170598725696547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20511522</v>
      </c>
      <c r="D49" s="103">
        <f t="shared" si="4"/>
        <v>20581913</v>
      </c>
      <c r="E49" s="107">
        <f t="shared" si="5"/>
        <v>70391</v>
      </c>
      <c r="F49" s="108">
        <f t="shared" si="6"/>
        <v>3.4317784901578734E-3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25913777</v>
      </c>
      <c r="D50" s="103">
        <f t="shared" si="4"/>
        <v>23806973</v>
      </c>
      <c r="E50" s="107">
        <f t="shared" si="5"/>
        <v>-2106804</v>
      </c>
      <c r="F50" s="108">
        <f t="shared" si="6"/>
        <v>-8.1300537548038634E-2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826891625</v>
      </c>
      <c r="D52" s="112">
        <f>SUM(D41:D51)</f>
        <v>800740049</v>
      </c>
      <c r="E52" s="111">
        <f t="shared" si="5"/>
        <v>-26151576</v>
      </c>
      <c r="F52" s="113">
        <f t="shared" si="6"/>
        <v>-3.1626364579517903E-2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81164673</v>
      </c>
      <c r="D57" s="97">
        <v>76322787</v>
      </c>
      <c r="E57" s="97">
        <f t="shared" ref="E57:E68" si="7">D57-C57</f>
        <v>-4841886</v>
      </c>
      <c r="F57" s="98">
        <f t="shared" ref="F57:F68" si="8">IF(C57=0,0,E57/C57)</f>
        <v>-5.9655091569210165E-2</v>
      </c>
    </row>
    <row r="58" spans="1:6" ht="18" customHeight="1" x14ac:dyDescent="0.25">
      <c r="A58" s="99">
        <v>2</v>
      </c>
      <c r="B58" s="100" t="s">
        <v>113</v>
      </c>
      <c r="C58" s="97">
        <v>15069682</v>
      </c>
      <c r="D58" s="97">
        <v>16457392</v>
      </c>
      <c r="E58" s="97">
        <f t="shared" si="7"/>
        <v>1387710</v>
      </c>
      <c r="F58" s="98">
        <f t="shared" si="8"/>
        <v>9.2086216550554947E-2</v>
      </c>
    </row>
    <row r="59" spans="1:6" ht="18" customHeight="1" x14ac:dyDescent="0.25">
      <c r="A59" s="99">
        <v>3</v>
      </c>
      <c r="B59" s="100" t="s">
        <v>114</v>
      </c>
      <c r="C59" s="97">
        <v>9214544</v>
      </c>
      <c r="D59" s="97">
        <v>11671280</v>
      </c>
      <c r="E59" s="97">
        <f t="shared" si="7"/>
        <v>2456736</v>
      </c>
      <c r="F59" s="98">
        <f t="shared" si="8"/>
        <v>0.26661503813970611</v>
      </c>
    </row>
    <row r="60" spans="1:6" ht="18" customHeight="1" x14ac:dyDescent="0.25">
      <c r="A60" s="99">
        <v>4</v>
      </c>
      <c r="B60" s="100" t="s">
        <v>115</v>
      </c>
      <c r="C60" s="97">
        <v>7613551</v>
      </c>
      <c r="D60" s="97">
        <v>8746883</v>
      </c>
      <c r="E60" s="97">
        <f t="shared" si="7"/>
        <v>1133332</v>
      </c>
      <c r="F60" s="98">
        <f t="shared" si="8"/>
        <v>0.14885721524686707</v>
      </c>
    </row>
    <row r="61" spans="1:6" ht="18" customHeight="1" x14ac:dyDescent="0.25">
      <c r="A61" s="99">
        <v>5</v>
      </c>
      <c r="B61" s="100" t="s">
        <v>116</v>
      </c>
      <c r="C61" s="97">
        <v>108143</v>
      </c>
      <c r="D61" s="97">
        <v>182086</v>
      </c>
      <c r="E61" s="97">
        <f t="shared" si="7"/>
        <v>73943</v>
      </c>
      <c r="F61" s="98">
        <f t="shared" si="8"/>
        <v>0.68375206901972385</v>
      </c>
    </row>
    <row r="62" spans="1:6" ht="18" customHeight="1" x14ac:dyDescent="0.25">
      <c r="A62" s="99">
        <v>6</v>
      </c>
      <c r="B62" s="100" t="s">
        <v>117</v>
      </c>
      <c r="C62" s="97">
        <v>224014</v>
      </c>
      <c r="D62" s="97">
        <v>1322177</v>
      </c>
      <c r="E62" s="97">
        <f t="shared" si="7"/>
        <v>1098163</v>
      </c>
      <c r="F62" s="98">
        <f t="shared" si="8"/>
        <v>4.9022070049193358</v>
      </c>
    </row>
    <row r="63" spans="1:6" ht="18" customHeight="1" x14ac:dyDescent="0.25">
      <c r="A63" s="99">
        <v>7</v>
      </c>
      <c r="B63" s="100" t="s">
        <v>118</v>
      </c>
      <c r="C63" s="97">
        <v>59434702</v>
      </c>
      <c r="D63" s="97">
        <v>56424606</v>
      </c>
      <c r="E63" s="97">
        <f t="shared" si="7"/>
        <v>-3010096</v>
      </c>
      <c r="F63" s="98">
        <f t="shared" si="8"/>
        <v>-5.0645429331840512E-2</v>
      </c>
    </row>
    <row r="64" spans="1:6" ht="18" customHeight="1" x14ac:dyDescent="0.25">
      <c r="A64" s="99">
        <v>8</v>
      </c>
      <c r="B64" s="100" t="s">
        <v>119</v>
      </c>
      <c r="C64" s="97">
        <v>2144186</v>
      </c>
      <c r="D64" s="97">
        <v>1568922</v>
      </c>
      <c r="E64" s="97">
        <f t="shared" si="7"/>
        <v>-575264</v>
      </c>
      <c r="F64" s="98">
        <f t="shared" si="8"/>
        <v>-0.2682901576635609</v>
      </c>
    </row>
    <row r="65" spans="1:6" ht="18" customHeight="1" x14ac:dyDescent="0.25">
      <c r="A65" s="99">
        <v>9</v>
      </c>
      <c r="B65" s="100" t="s">
        <v>120</v>
      </c>
      <c r="C65" s="97">
        <v>45806</v>
      </c>
      <c r="D65" s="97">
        <v>583493</v>
      </c>
      <c r="E65" s="97">
        <f t="shared" si="7"/>
        <v>537687</v>
      </c>
      <c r="F65" s="98">
        <f t="shared" si="8"/>
        <v>11.73835305418504</v>
      </c>
    </row>
    <row r="66" spans="1:6" ht="18" customHeight="1" x14ac:dyDescent="0.25">
      <c r="A66" s="99">
        <v>10</v>
      </c>
      <c r="B66" s="100" t="s">
        <v>121</v>
      </c>
      <c r="C66" s="97">
        <v>2331833</v>
      </c>
      <c r="D66" s="97">
        <v>2694797</v>
      </c>
      <c r="E66" s="97">
        <f t="shared" si="7"/>
        <v>362964</v>
      </c>
      <c r="F66" s="98">
        <f t="shared" si="8"/>
        <v>0.15565608686385346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177351134</v>
      </c>
      <c r="D68" s="103">
        <f>SUM(D57:D67)</f>
        <v>175974423</v>
      </c>
      <c r="E68" s="103">
        <f t="shared" si="7"/>
        <v>-1376711</v>
      </c>
      <c r="F68" s="104">
        <f t="shared" si="8"/>
        <v>-7.7626286844041268E-3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28653146</v>
      </c>
      <c r="D70" s="97">
        <v>28882178</v>
      </c>
      <c r="E70" s="97">
        <f t="shared" ref="E70:E81" si="9">D70-C70</f>
        <v>229032</v>
      </c>
      <c r="F70" s="98">
        <f t="shared" ref="F70:F81" si="10">IF(C70=0,0,E70/C70)</f>
        <v>7.9932584017126784E-3</v>
      </c>
    </row>
    <row r="71" spans="1:6" ht="18" customHeight="1" x14ac:dyDescent="0.25">
      <c r="A71" s="99">
        <v>2</v>
      </c>
      <c r="B71" s="100" t="s">
        <v>113</v>
      </c>
      <c r="C71" s="97">
        <v>6899505</v>
      </c>
      <c r="D71" s="97">
        <v>7233636</v>
      </c>
      <c r="E71" s="97">
        <f t="shared" si="9"/>
        <v>334131</v>
      </c>
      <c r="F71" s="98">
        <f t="shared" si="10"/>
        <v>4.8428256809727656E-2</v>
      </c>
    </row>
    <row r="72" spans="1:6" ht="18" customHeight="1" x14ac:dyDescent="0.25">
      <c r="A72" s="99">
        <v>3</v>
      </c>
      <c r="B72" s="100" t="s">
        <v>114</v>
      </c>
      <c r="C72" s="97">
        <v>6760798</v>
      </c>
      <c r="D72" s="97">
        <v>8392795</v>
      </c>
      <c r="E72" s="97">
        <f t="shared" si="9"/>
        <v>1631997</v>
      </c>
      <c r="F72" s="98">
        <f t="shared" si="10"/>
        <v>0.24139117897029316</v>
      </c>
    </row>
    <row r="73" spans="1:6" ht="18" customHeight="1" x14ac:dyDescent="0.25">
      <c r="A73" s="99">
        <v>4</v>
      </c>
      <c r="B73" s="100" t="s">
        <v>115</v>
      </c>
      <c r="C73" s="97">
        <v>15646550</v>
      </c>
      <c r="D73" s="97">
        <v>20482012</v>
      </c>
      <c r="E73" s="97">
        <f t="shared" si="9"/>
        <v>4835462</v>
      </c>
      <c r="F73" s="98">
        <f t="shared" si="10"/>
        <v>0.30904333543177248</v>
      </c>
    </row>
    <row r="74" spans="1:6" ht="18" customHeight="1" x14ac:dyDescent="0.25">
      <c r="A74" s="99">
        <v>5</v>
      </c>
      <c r="B74" s="100" t="s">
        <v>116</v>
      </c>
      <c r="C74" s="97">
        <v>250766</v>
      </c>
      <c r="D74" s="97">
        <v>201216</v>
      </c>
      <c r="E74" s="97">
        <f t="shared" si="9"/>
        <v>-49550</v>
      </c>
      <c r="F74" s="98">
        <f t="shared" si="10"/>
        <v>-0.19759457023679447</v>
      </c>
    </row>
    <row r="75" spans="1:6" ht="18" customHeight="1" x14ac:dyDescent="0.25">
      <c r="A75" s="99">
        <v>6</v>
      </c>
      <c r="B75" s="100" t="s">
        <v>117</v>
      </c>
      <c r="C75" s="97">
        <v>1102465</v>
      </c>
      <c r="D75" s="97">
        <v>1511953</v>
      </c>
      <c r="E75" s="97">
        <f t="shared" si="9"/>
        <v>409488</v>
      </c>
      <c r="F75" s="98">
        <f t="shared" si="10"/>
        <v>0.37142947848684538</v>
      </c>
    </row>
    <row r="76" spans="1:6" ht="18" customHeight="1" x14ac:dyDescent="0.25">
      <c r="A76" s="99">
        <v>7</v>
      </c>
      <c r="B76" s="100" t="s">
        <v>118</v>
      </c>
      <c r="C76" s="97">
        <v>98077308</v>
      </c>
      <c r="D76" s="97">
        <v>94209503</v>
      </c>
      <c r="E76" s="97">
        <f t="shared" si="9"/>
        <v>-3867805</v>
      </c>
      <c r="F76" s="98">
        <f t="shared" si="10"/>
        <v>-3.9436288361421989E-2</v>
      </c>
    </row>
    <row r="77" spans="1:6" ht="18" customHeight="1" x14ac:dyDescent="0.25">
      <c r="A77" s="99">
        <v>8</v>
      </c>
      <c r="B77" s="100" t="s">
        <v>119</v>
      </c>
      <c r="C77" s="97">
        <v>4924460</v>
      </c>
      <c r="D77" s="97">
        <v>4568741</v>
      </c>
      <c r="E77" s="97">
        <f t="shared" si="9"/>
        <v>-355719</v>
      </c>
      <c r="F77" s="98">
        <f t="shared" si="10"/>
        <v>-7.2235128318637987E-2</v>
      </c>
    </row>
    <row r="78" spans="1:6" ht="18" customHeight="1" x14ac:dyDescent="0.25">
      <c r="A78" s="99">
        <v>9</v>
      </c>
      <c r="B78" s="100" t="s">
        <v>120</v>
      </c>
      <c r="C78" s="97">
        <v>2421250</v>
      </c>
      <c r="D78" s="97">
        <v>5500273</v>
      </c>
      <c r="E78" s="97">
        <f t="shared" si="9"/>
        <v>3079023</v>
      </c>
      <c r="F78" s="98">
        <f t="shared" si="10"/>
        <v>1.2716667010841507</v>
      </c>
    </row>
    <row r="79" spans="1:6" ht="18" customHeight="1" x14ac:dyDescent="0.25">
      <c r="A79" s="99">
        <v>10</v>
      </c>
      <c r="B79" s="100" t="s">
        <v>121</v>
      </c>
      <c r="C79" s="97">
        <v>2164640</v>
      </c>
      <c r="D79" s="97">
        <v>1756436</v>
      </c>
      <c r="E79" s="97">
        <f t="shared" si="9"/>
        <v>-408204</v>
      </c>
      <c r="F79" s="98">
        <f t="shared" si="10"/>
        <v>-0.18857823933771897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166900888</v>
      </c>
      <c r="D81" s="103">
        <f>SUM(D70:D80)</f>
        <v>172738743</v>
      </c>
      <c r="E81" s="103">
        <f t="shared" si="9"/>
        <v>5837855</v>
      </c>
      <c r="F81" s="104">
        <f t="shared" si="10"/>
        <v>3.497797447308968E-2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109817819</v>
      </c>
      <c r="D84" s="103">
        <f t="shared" si="11"/>
        <v>105204965</v>
      </c>
      <c r="E84" s="103">
        <f t="shared" ref="E84:E95" si="12">D84-C84</f>
        <v>-4612854</v>
      </c>
      <c r="F84" s="104">
        <f t="shared" ref="F84:F95" si="13">IF(C84=0,0,E84/C84)</f>
        <v>-4.2004604006932608E-2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21969187</v>
      </c>
      <c r="D85" s="103">
        <f t="shared" si="11"/>
        <v>23691028</v>
      </c>
      <c r="E85" s="103">
        <f t="shared" si="12"/>
        <v>1721841</v>
      </c>
      <c r="F85" s="104">
        <f t="shared" si="13"/>
        <v>7.8375271693030796E-2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15975342</v>
      </c>
      <c r="D86" s="103">
        <f t="shared" si="11"/>
        <v>20064075</v>
      </c>
      <c r="E86" s="103">
        <f t="shared" si="12"/>
        <v>4088733</v>
      </c>
      <c r="F86" s="104">
        <f t="shared" si="13"/>
        <v>0.25594024841533908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23260101</v>
      </c>
      <c r="D87" s="103">
        <f t="shared" si="11"/>
        <v>29228895</v>
      </c>
      <c r="E87" s="103">
        <f t="shared" si="12"/>
        <v>5968794</v>
      </c>
      <c r="F87" s="104">
        <f t="shared" si="13"/>
        <v>0.25661083758836645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358909</v>
      </c>
      <c r="D88" s="103">
        <f t="shared" si="11"/>
        <v>383302</v>
      </c>
      <c r="E88" s="103">
        <f t="shared" si="12"/>
        <v>24393</v>
      </c>
      <c r="F88" s="104">
        <f t="shared" si="13"/>
        <v>6.7964302929154743E-2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1326479</v>
      </c>
      <c r="D89" s="103">
        <f t="shared" si="11"/>
        <v>2834130</v>
      </c>
      <c r="E89" s="103">
        <f t="shared" si="12"/>
        <v>1507651</v>
      </c>
      <c r="F89" s="104">
        <f t="shared" si="13"/>
        <v>1.1365811294411747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157512010</v>
      </c>
      <c r="D90" s="103">
        <f t="shared" si="11"/>
        <v>150634109</v>
      </c>
      <c r="E90" s="103">
        <f t="shared" si="12"/>
        <v>-6877901</v>
      </c>
      <c r="F90" s="104">
        <f t="shared" si="13"/>
        <v>-4.3665883001556514E-2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7068646</v>
      </c>
      <c r="D91" s="103">
        <f t="shared" si="11"/>
        <v>6137663</v>
      </c>
      <c r="E91" s="103">
        <f t="shared" si="12"/>
        <v>-930983</v>
      </c>
      <c r="F91" s="104">
        <f t="shared" si="13"/>
        <v>-0.13170598725696547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2467056</v>
      </c>
      <c r="D92" s="103">
        <f t="shared" si="11"/>
        <v>6083766</v>
      </c>
      <c r="E92" s="103">
        <f t="shared" si="12"/>
        <v>3616710</v>
      </c>
      <c r="F92" s="104">
        <f t="shared" si="13"/>
        <v>1.4660023931357862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4496473</v>
      </c>
      <c r="D93" s="103">
        <f t="shared" si="11"/>
        <v>4451233</v>
      </c>
      <c r="E93" s="103">
        <f t="shared" si="12"/>
        <v>-45240</v>
      </c>
      <c r="F93" s="104">
        <f t="shared" si="13"/>
        <v>-1.0061219093275996E-2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344252022</v>
      </c>
      <c r="D95" s="112">
        <f>SUM(D84:D94)</f>
        <v>348713166</v>
      </c>
      <c r="E95" s="112">
        <f t="shared" si="12"/>
        <v>4461144</v>
      </c>
      <c r="F95" s="113">
        <f t="shared" si="13"/>
        <v>1.2958947848968626E-2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7713</v>
      </c>
      <c r="D100" s="117">
        <v>7120</v>
      </c>
      <c r="E100" s="117">
        <f t="shared" ref="E100:E111" si="14">D100-C100</f>
        <v>-593</v>
      </c>
      <c r="F100" s="98">
        <f t="shared" ref="F100:F111" si="15">IF(C100=0,0,E100/C100)</f>
        <v>-7.6883184234409443E-2</v>
      </c>
    </row>
    <row r="101" spans="1:6" ht="18" customHeight="1" x14ac:dyDescent="0.25">
      <c r="A101" s="99">
        <v>2</v>
      </c>
      <c r="B101" s="100" t="s">
        <v>113</v>
      </c>
      <c r="C101" s="117">
        <v>1508</v>
      </c>
      <c r="D101" s="117">
        <v>1618</v>
      </c>
      <c r="E101" s="117">
        <f t="shared" si="14"/>
        <v>110</v>
      </c>
      <c r="F101" s="98">
        <f t="shared" si="15"/>
        <v>7.2944297082228118E-2</v>
      </c>
    </row>
    <row r="102" spans="1:6" ht="18" customHeight="1" x14ac:dyDescent="0.25">
      <c r="A102" s="99">
        <v>3</v>
      </c>
      <c r="B102" s="100" t="s">
        <v>114</v>
      </c>
      <c r="C102" s="117">
        <v>1348</v>
      </c>
      <c r="D102" s="117">
        <v>1632</v>
      </c>
      <c r="E102" s="117">
        <f t="shared" si="14"/>
        <v>284</v>
      </c>
      <c r="F102" s="98">
        <f t="shared" si="15"/>
        <v>0.21068249258160238</v>
      </c>
    </row>
    <row r="103" spans="1:6" ht="18" customHeight="1" x14ac:dyDescent="0.25">
      <c r="A103" s="99">
        <v>4</v>
      </c>
      <c r="B103" s="100" t="s">
        <v>115</v>
      </c>
      <c r="C103" s="117">
        <v>1935</v>
      </c>
      <c r="D103" s="117">
        <v>2410</v>
      </c>
      <c r="E103" s="117">
        <f t="shared" si="14"/>
        <v>475</v>
      </c>
      <c r="F103" s="98">
        <f t="shared" si="15"/>
        <v>0.2454780361757106</v>
      </c>
    </row>
    <row r="104" spans="1:6" ht="18" customHeight="1" x14ac:dyDescent="0.25">
      <c r="A104" s="99">
        <v>5</v>
      </c>
      <c r="B104" s="100" t="s">
        <v>116</v>
      </c>
      <c r="C104" s="117">
        <v>33</v>
      </c>
      <c r="D104" s="117">
        <v>37</v>
      </c>
      <c r="E104" s="117">
        <f t="shared" si="14"/>
        <v>4</v>
      </c>
      <c r="F104" s="98">
        <f t="shared" si="15"/>
        <v>0.12121212121212122</v>
      </c>
    </row>
    <row r="105" spans="1:6" ht="18" customHeight="1" x14ac:dyDescent="0.25">
      <c r="A105" s="99">
        <v>6</v>
      </c>
      <c r="B105" s="100" t="s">
        <v>117</v>
      </c>
      <c r="C105" s="117">
        <v>115</v>
      </c>
      <c r="D105" s="117">
        <v>150</v>
      </c>
      <c r="E105" s="117">
        <f t="shared" si="14"/>
        <v>35</v>
      </c>
      <c r="F105" s="98">
        <f t="shared" si="15"/>
        <v>0.30434782608695654</v>
      </c>
    </row>
    <row r="106" spans="1:6" ht="18" customHeight="1" x14ac:dyDescent="0.25">
      <c r="A106" s="99">
        <v>7</v>
      </c>
      <c r="B106" s="100" t="s">
        <v>118</v>
      </c>
      <c r="C106" s="117">
        <v>6313</v>
      </c>
      <c r="D106" s="117">
        <v>5664</v>
      </c>
      <c r="E106" s="117">
        <f t="shared" si="14"/>
        <v>-649</v>
      </c>
      <c r="F106" s="98">
        <f t="shared" si="15"/>
        <v>-0.10280373831775701</v>
      </c>
    </row>
    <row r="107" spans="1:6" ht="18" customHeight="1" x14ac:dyDescent="0.25">
      <c r="A107" s="99">
        <v>8</v>
      </c>
      <c r="B107" s="100" t="s">
        <v>119</v>
      </c>
      <c r="C107" s="117">
        <v>75</v>
      </c>
      <c r="D107" s="117">
        <v>59</v>
      </c>
      <c r="E107" s="117">
        <f t="shared" si="14"/>
        <v>-16</v>
      </c>
      <c r="F107" s="98">
        <f t="shared" si="15"/>
        <v>-0.21333333333333335</v>
      </c>
    </row>
    <row r="108" spans="1:6" ht="18" customHeight="1" x14ac:dyDescent="0.25">
      <c r="A108" s="99">
        <v>9</v>
      </c>
      <c r="B108" s="100" t="s">
        <v>120</v>
      </c>
      <c r="C108" s="117">
        <v>460</v>
      </c>
      <c r="D108" s="117">
        <v>334</v>
      </c>
      <c r="E108" s="117">
        <f t="shared" si="14"/>
        <v>-126</v>
      </c>
      <c r="F108" s="98">
        <f t="shared" si="15"/>
        <v>-0.27391304347826084</v>
      </c>
    </row>
    <row r="109" spans="1:6" ht="18" customHeight="1" x14ac:dyDescent="0.25">
      <c r="A109" s="99">
        <v>10</v>
      </c>
      <c r="B109" s="100" t="s">
        <v>121</v>
      </c>
      <c r="C109" s="117">
        <v>567</v>
      </c>
      <c r="D109" s="117">
        <v>493</v>
      </c>
      <c r="E109" s="117">
        <f t="shared" si="14"/>
        <v>-74</v>
      </c>
      <c r="F109" s="98">
        <f t="shared" si="15"/>
        <v>-0.13051146384479717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20067</v>
      </c>
      <c r="D111" s="118">
        <f>SUM(D100:D110)</f>
        <v>19517</v>
      </c>
      <c r="E111" s="118">
        <f t="shared" si="14"/>
        <v>-550</v>
      </c>
      <c r="F111" s="104">
        <f t="shared" si="15"/>
        <v>-2.7408182588329097E-2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39338</v>
      </c>
      <c r="D113" s="117">
        <v>35022</v>
      </c>
      <c r="E113" s="117">
        <f t="shared" ref="E113:E124" si="16">D113-C113</f>
        <v>-4316</v>
      </c>
      <c r="F113" s="98">
        <f t="shared" ref="F113:F124" si="17">IF(C113=0,0,E113/C113)</f>
        <v>-0.10971579643093192</v>
      </c>
    </row>
    <row r="114" spans="1:6" ht="18" customHeight="1" x14ac:dyDescent="0.25">
      <c r="A114" s="99">
        <v>2</v>
      </c>
      <c r="B114" s="100" t="s">
        <v>113</v>
      </c>
      <c r="C114" s="117">
        <v>7435</v>
      </c>
      <c r="D114" s="117">
        <v>7337</v>
      </c>
      <c r="E114" s="117">
        <f t="shared" si="16"/>
        <v>-98</v>
      </c>
      <c r="F114" s="98">
        <f t="shared" si="17"/>
        <v>-1.3180901143241426E-2</v>
      </c>
    </row>
    <row r="115" spans="1:6" ht="18" customHeight="1" x14ac:dyDescent="0.25">
      <c r="A115" s="99">
        <v>3</v>
      </c>
      <c r="B115" s="100" t="s">
        <v>114</v>
      </c>
      <c r="C115" s="117">
        <v>6691</v>
      </c>
      <c r="D115" s="117">
        <v>7840</v>
      </c>
      <c r="E115" s="117">
        <f t="shared" si="16"/>
        <v>1149</v>
      </c>
      <c r="F115" s="98">
        <f t="shared" si="17"/>
        <v>0.17172321028246898</v>
      </c>
    </row>
    <row r="116" spans="1:6" ht="18" customHeight="1" x14ac:dyDescent="0.25">
      <c r="A116" s="99">
        <v>4</v>
      </c>
      <c r="B116" s="100" t="s">
        <v>115</v>
      </c>
      <c r="C116" s="117">
        <v>5915</v>
      </c>
      <c r="D116" s="117">
        <v>6639</v>
      </c>
      <c r="E116" s="117">
        <f t="shared" si="16"/>
        <v>724</v>
      </c>
      <c r="F116" s="98">
        <f t="shared" si="17"/>
        <v>0.1224006762468301</v>
      </c>
    </row>
    <row r="117" spans="1:6" ht="18" customHeight="1" x14ac:dyDescent="0.25">
      <c r="A117" s="99">
        <v>5</v>
      </c>
      <c r="B117" s="100" t="s">
        <v>116</v>
      </c>
      <c r="C117" s="117">
        <v>130</v>
      </c>
      <c r="D117" s="117">
        <v>185</v>
      </c>
      <c r="E117" s="117">
        <f t="shared" si="16"/>
        <v>55</v>
      </c>
      <c r="F117" s="98">
        <f t="shared" si="17"/>
        <v>0.42307692307692307</v>
      </c>
    </row>
    <row r="118" spans="1:6" ht="18" customHeight="1" x14ac:dyDescent="0.25">
      <c r="A118" s="99">
        <v>6</v>
      </c>
      <c r="B118" s="100" t="s">
        <v>117</v>
      </c>
      <c r="C118" s="117">
        <v>351</v>
      </c>
      <c r="D118" s="117">
        <v>700</v>
      </c>
      <c r="E118" s="117">
        <f t="shared" si="16"/>
        <v>349</v>
      </c>
      <c r="F118" s="98">
        <f t="shared" si="17"/>
        <v>0.99430199430199429</v>
      </c>
    </row>
    <row r="119" spans="1:6" ht="18" customHeight="1" x14ac:dyDescent="0.25">
      <c r="A119" s="99">
        <v>7</v>
      </c>
      <c r="B119" s="100" t="s">
        <v>118</v>
      </c>
      <c r="C119" s="117">
        <v>22195</v>
      </c>
      <c r="D119" s="117">
        <v>20290</v>
      </c>
      <c r="E119" s="117">
        <f t="shared" si="16"/>
        <v>-1905</v>
      </c>
      <c r="F119" s="98">
        <f t="shared" si="17"/>
        <v>-8.5830141923856726E-2</v>
      </c>
    </row>
    <row r="120" spans="1:6" ht="18" customHeight="1" x14ac:dyDescent="0.25">
      <c r="A120" s="99">
        <v>8</v>
      </c>
      <c r="B120" s="100" t="s">
        <v>119</v>
      </c>
      <c r="C120" s="117">
        <v>197</v>
      </c>
      <c r="D120" s="117">
        <v>176</v>
      </c>
      <c r="E120" s="117">
        <f t="shared" si="16"/>
        <v>-21</v>
      </c>
      <c r="F120" s="98">
        <f t="shared" si="17"/>
        <v>-0.1065989847715736</v>
      </c>
    </row>
    <row r="121" spans="1:6" ht="18" customHeight="1" x14ac:dyDescent="0.25">
      <c r="A121" s="99">
        <v>9</v>
      </c>
      <c r="B121" s="100" t="s">
        <v>120</v>
      </c>
      <c r="C121" s="117">
        <v>1698</v>
      </c>
      <c r="D121" s="117">
        <v>1083</v>
      </c>
      <c r="E121" s="117">
        <f t="shared" si="16"/>
        <v>-615</v>
      </c>
      <c r="F121" s="98">
        <f t="shared" si="17"/>
        <v>-0.36219081272084808</v>
      </c>
    </row>
    <row r="122" spans="1:6" ht="18" customHeight="1" x14ac:dyDescent="0.25">
      <c r="A122" s="99">
        <v>10</v>
      </c>
      <c r="B122" s="100" t="s">
        <v>121</v>
      </c>
      <c r="C122" s="117">
        <v>2548</v>
      </c>
      <c r="D122" s="117">
        <v>2600</v>
      </c>
      <c r="E122" s="117">
        <f t="shared" si="16"/>
        <v>52</v>
      </c>
      <c r="F122" s="98">
        <f t="shared" si="17"/>
        <v>2.0408163265306121E-2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86498</v>
      </c>
      <c r="D124" s="118">
        <f>SUM(D113:D123)</f>
        <v>81872</v>
      </c>
      <c r="E124" s="118">
        <f t="shared" si="16"/>
        <v>-4626</v>
      </c>
      <c r="F124" s="104">
        <f t="shared" si="17"/>
        <v>-5.3481005341163956E-2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64314</v>
      </c>
      <c r="D126" s="117">
        <v>65986</v>
      </c>
      <c r="E126" s="117">
        <f t="shared" ref="E126:E137" si="18">D126-C126</f>
        <v>1672</v>
      </c>
      <c r="F126" s="98">
        <f t="shared" ref="F126:F137" si="19">IF(C126=0,0,E126/C126)</f>
        <v>2.5997450010884101E-2</v>
      </c>
    </row>
    <row r="127" spans="1:6" ht="18" customHeight="1" x14ac:dyDescent="0.25">
      <c r="A127" s="99">
        <v>2</v>
      </c>
      <c r="B127" s="100" t="s">
        <v>113</v>
      </c>
      <c r="C127" s="117">
        <v>15326</v>
      </c>
      <c r="D127" s="117">
        <v>17453</v>
      </c>
      <c r="E127" s="117">
        <f t="shared" si="18"/>
        <v>2127</v>
      </c>
      <c r="F127" s="98">
        <f t="shared" si="19"/>
        <v>0.13878376614902779</v>
      </c>
    </row>
    <row r="128" spans="1:6" ht="18" customHeight="1" x14ac:dyDescent="0.25">
      <c r="A128" s="99">
        <v>3</v>
      </c>
      <c r="B128" s="100" t="s">
        <v>114</v>
      </c>
      <c r="C128" s="117">
        <v>14363</v>
      </c>
      <c r="D128" s="117">
        <v>19187</v>
      </c>
      <c r="E128" s="117">
        <f t="shared" si="18"/>
        <v>4824</v>
      </c>
      <c r="F128" s="98">
        <f t="shared" si="19"/>
        <v>0.33586298127132214</v>
      </c>
    </row>
    <row r="129" spans="1:6" ht="18" customHeight="1" x14ac:dyDescent="0.25">
      <c r="A129" s="99">
        <v>4</v>
      </c>
      <c r="B129" s="100" t="s">
        <v>115</v>
      </c>
      <c r="C129" s="117">
        <v>33137</v>
      </c>
      <c r="D129" s="117">
        <v>38935</v>
      </c>
      <c r="E129" s="117">
        <f t="shared" si="18"/>
        <v>5798</v>
      </c>
      <c r="F129" s="98">
        <f t="shared" si="19"/>
        <v>0.17497057669674382</v>
      </c>
    </row>
    <row r="130" spans="1:6" ht="18" customHeight="1" x14ac:dyDescent="0.25">
      <c r="A130" s="99">
        <v>5</v>
      </c>
      <c r="B130" s="100" t="s">
        <v>116</v>
      </c>
      <c r="C130" s="117">
        <v>480</v>
      </c>
      <c r="D130" s="117">
        <v>513</v>
      </c>
      <c r="E130" s="117">
        <f t="shared" si="18"/>
        <v>33</v>
      </c>
      <c r="F130" s="98">
        <f t="shared" si="19"/>
        <v>6.8750000000000006E-2</v>
      </c>
    </row>
    <row r="131" spans="1:6" ht="18" customHeight="1" x14ac:dyDescent="0.25">
      <c r="A131" s="99">
        <v>6</v>
      </c>
      <c r="B131" s="100" t="s">
        <v>117</v>
      </c>
      <c r="C131" s="117">
        <v>3268</v>
      </c>
      <c r="D131" s="117">
        <v>3063</v>
      </c>
      <c r="E131" s="117">
        <f t="shared" si="18"/>
        <v>-205</v>
      </c>
      <c r="F131" s="98">
        <f t="shared" si="19"/>
        <v>-6.2729498164014685E-2</v>
      </c>
    </row>
    <row r="132" spans="1:6" ht="18" customHeight="1" x14ac:dyDescent="0.25">
      <c r="A132" s="99">
        <v>7</v>
      </c>
      <c r="B132" s="100" t="s">
        <v>118</v>
      </c>
      <c r="C132" s="117">
        <v>113104</v>
      </c>
      <c r="D132" s="117">
        <v>110097</v>
      </c>
      <c r="E132" s="117">
        <f t="shared" si="18"/>
        <v>-3007</v>
      </c>
      <c r="F132" s="98">
        <f t="shared" si="19"/>
        <v>-2.6586150799264394E-2</v>
      </c>
    </row>
    <row r="133" spans="1:6" ht="18" customHeight="1" x14ac:dyDescent="0.25">
      <c r="A133" s="99">
        <v>8</v>
      </c>
      <c r="B133" s="100" t="s">
        <v>119</v>
      </c>
      <c r="C133" s="117">
        <v>1818</v>
      </c>
      <c r="D133" s="117">
        <v>1928</v>
      </c>
      <c r="E133" s="117">
        <f t="shared" si="18"/>
        <v>110</v>
      </c>
      <c r="F133" s="98">
        <f t="shared" si="19"/>
        <v>6.0506050605060507E-2</v>
      </c>
    </row>
    <row r="134" spans="1:6" ht="18" customHeight="1" x14ac:dyDescent="0.25">
      <c r="A134" s="99">
        <v>9</v>
      </c>
      <c r="B134" s="100" t="s">
        <v>120</v>
      </c>
      <c r="C134" s="117">
        <v>9414</v>
      </c>
      <c r="D134" s="117">
        <v>9925</v>
      </c>
      <c r="E134" s="117">
        <f t="shared" si="18"/>
        <v>511</v>
      </c>
      <c r="F134" s="98">
        <f t="shared" si="19"/>
        <v>5.4280858296154665E-2</v>
      </c>
    </row>
    <row r="135" spans="1:6" ht="18" customHeight="1" x14ac:dyDescent="0.25">
      <c r="A135" s="99">
        <v>10</v>
      </c>
      <c r="B135" s="100" t="s">
        <v>121</v>
      </c>
      <c r="C135" s="117">
        <v>7945</v>
      </c>
      <c r="D135" s="117">
        <v>6334</v>
      </c>
      <c r="E135" s="117">
        <f t="shared" si="18"/>
        <v>-1611</v>
      </c>
      <c r="F135" s="98">
        <f t="shared" si="19"/>
        <v>-0.20276903713027061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263169</v>
      </c>
      <c r="D137" s="118">
        <f>SUM(D126:D136)</f>
        <v>273421</v>
      </c>
      <c r="E137" s="118">
        <f t="shared" si="18"/>
        <v>10252</v>
      </c>
      <c r="F137" s="104">
        <f t="shared" si="19"/>
        <v>3.8955956058654324E-2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19218419</v>
      </c>
      <c r="D142" s="97">
        <v>19024985</v>
      </c>
      <c r="E142" s="97">
        <f t="shared" ref="E142:E153" si="20">D142-C142</f>
        <v>-193434</v>
      </c>
      <c r="F142" s="98">
        <f t="shared" ref="F142:F153" si="21">IF(C142=0,0,E142/C142)</f>
        <v>-1.0065031884256451E-2</v>
      </c>
    </row>
    <row r="143" spans="1:6" ht="18" customHeight="1" x14ac:dyDescent="0.25">
      <c r="A143" s="99">
        <v>2</v>
      </c>
      <c r="B143" s="100" t="s">
        <v>113</v>
      </c>
      <c r="C143" s="97">
        <v>4033750</v>
      </c>
      <c r="D143" s="97">
        <v>4213977</v>
      </c>
      <c r="E143" s="97">
        <f t="shared" si="20"/>
        <v>180227</v>
      </c>
      <c r="F143" s="98">
        <f t="shared" si="21"/>
        <v>4.4679764487139756E-2</v>
      </c>
    </row>
    <row r="144" spans="1:6" ht="18" customHeight="1" x14ac:dyDescent="0.25">
      <c r="A144" s="99">
        <v>3</v>
      </c>
      <c r="B144" s="100" t="s">
        <v>114</v>
      </c>
      <c r="C144" s="97">
        <v>10011673</v>
      </c>
      <c r="D144" s="97">
        <v>12713481</v>
      </c>
      <c r="E144" s="97">
        <f t="shared" si="20"/>
        <v>2701808</v>
      </c>
      <c r="F144" s="98">
        <f t="shared" si="21"/>
        <v>0.26986578566838931</v>
      </c>
    </row>
    <row r="145" spans="1:6" ht="18" customHeight="1" x14ac:dyDescent="0.25">
      <c r="A145" s="99">
        <v>4</v>
      </c>
      <c r="B145" s="100" t="s">
        <v>115</v>
      </c>
      <c r="C145" s="97">
        <v>24747653</v>
      </c>
      <c r="D145" s="97">
        <v>26445296</v>
      </c>
      <c r="E145" s="97">
        <f t="shared" si="20"/>
        <v>1697643</v>
      </c>
      <c r="F145" s="98">
        <f t="shared" si="21"/>
        <v>6.8598141407591254E-2</v>
      </c>
    </row>
    <row r="146" spans="1:6" ht="18" customHeight="1" x14ac:dyDescent="0.25">
      <c r="A146" s="99">
        <v>5</v>
      </c>
      <c r="B146" s="100" t="s">
        <v>116</v>
      </c>
      <c r="C146" s="97">
        <v>289074</v>
      </c>
      <c r="D146" s="97">
        <v>293897</v>
      </c>
      <c r="E146" s="97">
        <f t="shared" si="20"/>
        <v>4823</v>
      </c>
      <c r="F146" s="98">
        <f t="shared" si="21"/>
        <v>1.6684309208022861E-2</v>
      </c>
    </row>
    <row r="147" spans="1:6" ht="18" customHeight="1" x14ac:dyDescent="0.25">
      <c r="A147" s="99">
        <v>6</v>
      </c>
      <c r="B147" s="100" t="s">
        <v>117</v>
      </c>
      <c r="C147" s="97">
        <v>1594911</v>
      </c>
      <c r="D147" s="97">
        <v>1460982</v>
      </c>
      <c r="E147" s="97">
        <f t="shared" si="20"/>
        <v>-133929</v>
      </c>
      <c r="F147" s="98">
        <f t="shared" si="21"/>
        <v>-8.3972710702979667E-2</v>
      </c>
    </row>
    <row r="148" spans="1:6" ht="18" customHeight="1" x14ac:dyDescent="0.25">
      <c r="A148" s="99">
        <v>7</v>
      </c>
      <c r="B148" s="100" t="s">
        <v>118</v>
      </c>
      <c r="C148" s="97">
        <v>36837688</v>
      </c>
      <c r="D148" s="97">
        <v>33005675</v>
      </c>
      <c r="E148" s="97">
        <f t="shared" si="20"/>
        <v>-3832013</v>
      </c>
      <c r="F148" s="98">
        <f t="shared" si="21"/>
        <v>-0.10402425363937064</v>
      </c>
    </row>
    <row r="149" spans="1:6" ht="18" customHeight="1" x14ac:dyDescent="0.25">
      <c r="A149" s="99">
        <v>8</v>
      </c>
      <c r="B149" s="100" t="s">
        <v>119</v>
      </c>
      <c r="C149" s="97">
        <v>1613728</v>
      </c>
      <c r="D149" s="97">
        <v>1550679</v>
      </c>
      <c r="E149" s="97">
        <f t="shared" si="20"/>
        <v>-63049</v>
      </c>
      <c r="F149" s="98">
        <f t="shared" si="21"/>
        <v>-3.9070400959765217E-2</v>
      </c>
    </row>
    <row r="150" spans="1:6" ht="18" customHeight="1" x14ac:dyDescent="0.25">
      <c r="A150" s="99">
        <v>9</v>
      </c>
      <c r="B150" s="100" t="s">
        <v>120</v>
      </c>
      <c r="C150" s="97">
        <v>9946006</v>
      </c>
      <c r="D150" s="97">
        <v>9344754</v>
      </c>
      <c r="E150" s="97">
        <f t="shared" si="20"/>
        <v>-601252</v>
      </c>
      <c r="F150" s="98">
        <f t="shared" si="21"/>
        <v>-6.0451602381900837E-2</v>
      </c>
    </row>
    <row r="151" spans="1:6" ht="18" customHeight="1" x14ac:dyDescent="0.25">
      <c r="A151" s="99">
        <v>10</v>
      </c>
      <c r="B151" s="100" t="s">
        <v>121</v>
      </c>
      <c r="C151" s="97">
        <v>9422805</v>
      </c>
      <c r="D151" s="97">
        <v>6471856</v>
      </c>
      <c r="E151" s="97">
        <f t="shared" si="20"/>
        <v>-2950949</v>
      </c>
      <c r="F151" s="98">
        <f t="shared" si="21"/>
        <v>-0.31317097191335275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117715707</v>
      </c>
      <c r="D153" s="103">
        <f>SUM(D142:D152)</f>
        <v>114525582</v>
      </c>
      <c r="E153" s="103">
        <f t="shared" si="20"/>
        <v>-3190125</v>
      </c>
      <c r="F153" s="104">
        <f t="shared" si="21"/>
        <v>-2.7100249247111942E-2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5006460</v>
      </c>
      <c r="D155" s="97">
        <v>5070115</v>
      </c>
      <c r="E155" s="97">
        <f t="shared" ref="E155:E166" si="22">D155-C155</f>
        <v>63655</v>
      </c>
      <c r="F155" s="98">
        <f t="shared" ref="F155:F166" si="23">IF(C155=0,0,E155/C155)</f>
        <v>1.2714572771978603E-2</v>
      </c>
    </row>
    <row r="156" spans="1:6" ht="18" customHeight="1" x14ac:dyDescent="0.25">
      <c r="A156" s="99">
        <v>2</v>
      </c>
      <c r="B156" s="100" t="s">
        <v>113</v>
      </c>
      <c r="C156" s="97">
        <v>1041474</v>
      </c>
      <c r="D156" s="97">
        <v>1191207</v>
      </c>
      <c r="E156" s="97">
        <f t="shared" si="22"/>
        <v>149733</v>
      </c>
      <c r="F156" s="98">
        <f t="shared" si="23"/>
        <v>0.14377027174946277</v>
      </c>
    </row>
    <row r="157" spans="1:6" ht="18" customHeight="1" x14ac:dyDescent="0.25">
      <c r="A157" s="99">
        <v>3</v>
      </c>
      <c r="B157" s="100" t="s">
        <v>114</v>
      </c>
      <c r="C157" s="97">
        <v>2275812</v>
      </c>
      <c r="D157" s="97">
        <v>2909998</v>
      </c>
      <c r="E157" s="97">
        <f t="shared" si="22"/>
        <v>634186</v>
      </c>
      <c r="F157" s="98">
        <f t="shared" si="23"/>
        <v>0.2786636154480247</v>
      </c>
    </row>
    <row r="158" spans="1:6" ht="18" customHeight="1" x14ac:dyDescent="0.25">
      <c r="A158" s="99">
        <v>4</v>
      </c>
      <c r="B158" s="100" t="s">
        <v>115</v>
      </c>
      <c r="C158" s="97">
        <v>8732943</v>
      </c>
      <c r="D158" s="97">
        <v>10399625</v>
      </c>
      <c r="E158" s="97">
        <f t="shared" si="22"/>
        <v>1666682</v>
      </c>
      <c r="F158" s="98">
        <f t="shared" si="23"/>
        <v>0.19084998035599224</v>
      </c>
    </row>
    <row r="159" spans="1:6" ht="18" customHeight="1" x14ac:dyDescent="0.25">
      <c r="A159" s="99">
        <v>5</v>
      </c>
      <c r="B159" s="100" t="s">
        <v>116</v>
      </c>
      <c r="C159" s="97">
        <v>88889</v>
      </c>
      <c r="D159" s="97">
        <v>94677</v>
      </c>
      <c r="E159" s="97">
        <f t="shared" si="22"/>
        <v>5788</v>
      </c>
      <c r="F159" s="98">
        <f t="shared" si="23"/>
        <v>6.511491860635174E-2</v>
      </c>
    </row>
    <row r="160" spans="1:6" ht="18" customHeight="1" x14ac:dyDescent="0.25">
      <c r="A160" s="99">
        <v>6</v>
      </c>
      <c r="B160" s="100" t="s">
        <v>117</v>
      </c>
      <c r="C160" s="97">
        <v>701677</v>
      </c>
      <c r="D160" s="97">
        <v>660516</v>
      </c>
      <c r="E160" s="97">
        <f t="shared" si="22"/>
        <v>-41161</v>
      </c>
      <c r="F160" s="98">
        <f t="shared" si="23"/>
        <v>-5.8660893830067111E-2</v>
      </c>
    </row>
    <row r="161" spans="1:6" ht="18" customHeight="1" x14ac:dyDescent="0.25">
      <c r="A161" s="99">
        <v>7</v>
      </c>
      <c r="B161" s="100" t="s">
        <v>118</v>
      </c>
      <c r="C161" s="97">
        <v>27444049</v>
      </c>
      <c r="D161" s="97">
        <v>25955249</v>
      </c>
      <c r="E161" s="97">
        <f t="shared" si="22"/>
        <v>-1488800</v>
      </c>
      <c r="F161" s="98">
        <f t="shared" si="23"/>
        <v>-5.4248554941728901E-2</v>
      </c>
    </row>
    <row r="162" spans="1:6" ht="18" customHeight="1" x14ac:dyDescent="0.25">
      <c r="A162" s="99">
        <v>8</v>
      </c>
      <c r="B162" s="100" t="s">
        <v>119</v>
      </c>
      <c r="C162" s="97">
        <v>1046812</v>
      </c>
      <c r="D162" s="97">
        <v>959255</v>
      </c>
      <c r="E162" s="97">
        <f t="shared" si="22"/>
        <v>-87557</v>
      </c>
      <c r="F162" s="98">
        <f t="shared" si="23"/>
        <v>-8.364157078825997E-2</v>
      </c>
    </row>
    <row r="163" spans="1:6" ht="18" customHeight="1" x14ac:dyDescent="0.25">
      <c r="A163" s="99">
        <v>9</v>
      </c>
      <c r="B163" s="100" t="s">
        <v>120</v>
      </c>
      <c r="C163" s="97">
        <v>304327</v>
      </c>
      <c r="D163" s="97">
        <v>1147313</v>
      </c>
      <c r="E163" s="97">
        <f t="shared" si="22"/>
        <v>842986</v>
      </c>
      <c r="F163" s="98">
        <f t="shared" si="23"/>
        <v>2.7700006900472189</v>
      </c>
    </row>
    <row r="164" spans="1:6" ht="18" customHeight="1" x14ac:dyDescent="0.25">
      <c r="A164" s="99">
        <v>10</v>
      </c>
      <c r="B164" s="100" t="s">
        <v>121</v>
      </c>
      <c r="C164" s="97">
        <v>1021866</v>
      </c>
      <c r="D164" s="97">
        <v>1090861</v>
      </c>
      <c r="E164" s="97">
        <f t="shared" si="22"/>
        <v>68995</v>
      </c>
      <c r="F164" s="98">
        <f t="shared" si="23"/>
        <v>6.751863747301505E-2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47664309</v>
      </c>
      <c r="D166" s="103">
        <f>SUM(D155:D165)</f>
        <v>49478816</v>
      </c>
      <c r="E166" s="103">
        <f t="shared" si="22"/>
        <v>1814507</v>
      </c>
      <c r="F166" s="104">
        <f t="shared" si="23"/>
        <v>3.80684633443443E-2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10431</v>
      </c>
      <c r="D168" s="117">
        <v>10870</v>
      </c>
      <c r="E168" s="117">
        <f t="shared" ref="E168:E179" si="24">D168-C168</f>
        <v>439</v>
      </c>
      <c r="F168" s="98">
        <f t="shared" ref="F168:F179" si="25">IF(C168=0,0,E168/C168)</f>
        <v>4.208608954079187E-2</v>
      </c>
    </row>
    <row r="169" spans="1:6" ht="18" customHeight="1" x14ac:dyDescent="0.25">
      <c r="A169" s="99">
        <v>2</v>
      </c>
      <c r="B169" s="100" t="s">
        <v>113</v>
      </c>
      <c r="C169" s="117">
        <v>2077</v>
      </c>
      <c r="D169" s="117">
        <v>2260</v>
      </c>
      <c r="E169" s="117">
        <f t="shared" si="24"/>
        <v>183</v>
      </c>
      <c r="F169" s="98">
        <f t="shared" si="25"/>
        <v>8.8107847857486765E-2</v>
      </c>
    </row>
    <row r="170" spans="1:6" ht="18" customHeight="1" x14ac:dyDescent="0.25">
      <c r="A170" s="99">
        <v>3</v>
      </c>
      <c r="B170" s="100" t="s">
        <v>114</v>
      </c>
      <c r="C170" s="117">
        <v>7621</v>
      </c>
      <c r="D170" s="117">
        <v>10318</v>
      </c>
      <c r="E170" s="117">
        <f t="shared" si="24"/>
        <v>2697</v>
      </c>
      <c r="F170" s="98">
        <f t="shared" si="25"/>
        <v>0.35389056554257969</v>
      </c>
    </row>
    <row r="171" spans="1:6" ht="18" customHeight="1" x14ac:dyDescent="0.25">
      <c r="A171" s="99">
        <v>4</v>
      </c>
      <c r="B171" s="100" t="s">
        <v>115</v>
      </c>
      <c r="C171" s="117">
        <v>24051</v>
      </c>
      <c r="D171" s="117">
        <v>27812</v>
      </c>
      <c r="E171" s="117">
        <f t="shared" si="24"/>
        <v>3761</v>
      </c>
      <c r="F171" s="98">
        <f t="shared" si="25"/>
        <v>0.15637603426052971</v>
      </c>
    </row>
    <row r="172" spans="1:6" ht="18" customHeight="1" x14ac:dyDescent="0.25">
      <c r="A172" s="99">
        <v>5</v>
      </c>
      <c r="B172" s="100" t="s">
        <v>116</v>
      </c>
      <c r="C172" s="117">
        <v>236</v>
      </c>
      <c r="D172" s="117">
        <v>260</v>
      </c>
      <c r="E172" s="117">
        <f t="shared" si="24"/>
        <v>24</v>
      </c>
      <c r="F172" s="98">
        <f t="shared" si="25"/>
        <v>0.10169491525423729</v>
      </c>
    </row>
    <row r="173" spans="1:6" ht="18" customHeight="1" x14ac:dyDescent="0.25">
      <c r="A173" s="99">
        <v>6</v>
      </c>
      <c r="B173" s="100" t="s">
        <v>117</v>
      </c>
      <c r="C173" s="117">
        <v>1130</v>
      </c>
      <c r="D173" s="117">
        <v>908</v>
      </c>
      <c r="E173" s="117">
        <f t="shared" si="24"/>
        <v>-222</v>
      </c>
      <c r="F173" s="98">
        <f t="shared" si="25"/>
        <v>-0.19646017699115045</v>
      </c>
    </row>
    <row r="174" spans="1:6" ht="18" customHeight="1" x14ac:dyDescent="0.25">
      <c r="A174" s="99">
        <v>7</v>
      </c>
      <c r="B174" s="100" t="s">
        <v>118</v>
      </c>
      <c r="C174" s="117">
        <v>24394</v>
      </c>
      <c r="D174" s="117">
        <v>22732</v>
      </c>
      <c r="E174" s="117">
        <f t="shared" si="24"/>
        <v>-1662</v>
      </c>
      <c r="F174" s="98">
        <f t="shared" si="25"/>
        <v>-6.8131507747806838E-2</v>
      </c>
    </row>
    <row r="175" spans="1:6" ht="18" customHeight="1" x14ac:dyDescent="0.25">
      <c r="A175" s="99">
        <v>8</v>
      </c>
      <c r="B175" s="100" t="s">
        <v>119</v>
      </c>
      <c r="C175" s="117">
        <v>1543</v>
      </c>
      <c r="D175" s="117">
        <v>1542</v>
      </c>
      <c r="E175" s="117">
        <f t="shared" si="24"/>
        <v>-1</v>
      </c>
      <c r="F175" s="98">
        <f t="shared" si="25"/>
        <v>-6.4808813998703824E-4</v>
      </c>
    </row>
    <row r="176" spans="1:6" ht="18" customHeight="1" x14ac:dyDescent="0.25">
      <c r="A176" s="99">
        <v>9</v>
      </c>
      <c r="B176" s="100" t="s">
        <v>120</v>
      </c>
      <c r="C176" s="117">
        <v>8505</v>
      </c>
      <c r="D176" s="117">
        <v>8239</v>
      </c>
      <c r="E176" s="117">
        <f t="shared" si="24"/>
        <v>-266</v>
      </c>
      <c r="F176" s="98">
        <f t="shared" si="25"/>
        <v>-3.1275720164609055E-2</v>
      </c>
    </row>
    <row r="177" spans="1:6" ht="18" customHeight="1" x14ac:dyDescent="0.25">
      <c r="A177" s="99">
        <v>10</v>
      </c>
      <c r="B177" s="100" t="s">
        <v>121</v>
      </c>
      <c r="C177" s="117">
        <v>7931</v>
      </c>
      <c r="D177" s="117">
        <v>5670</v>
      </c>
      <c r="E177" s="117">
        <f t="shared" si="24"/>
        <v>-2261</v>
      </c>
      <c r="F177" s="98">
        <f t="shared" si="25"/>
        <v>-0.28508384819064431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87919</v>
      </c>
      <c r="D179" s="118">
        <f>SUM(D168:D178)</f>
        <v>90611</v>
      </c>
      <c r="E179" s="118">
        <f t="shared" si="24"/>
        <v>2692</v>
      </c>
      <c r="F179" s="104">
        <f t="shared" si="25"/>
        <v>3.0619092573846381E-2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FILING&amp;RTHE HOSPITAL OF CENTRAL CONNECTICUT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50992421</v>
      </c>
      <c r="D15" s="146">
        <v>50879413</v>
      </c>
      <c r="E15" s="146">
        <f>+D15-C15</f>
        <v>-113008</v>
      </c>
      <c r="F15" s="150">
        <f>IF(C15=0,0,E15/C15)</f>
        <v>-2.2161724778668578E-3</v>
      </c>
    </row>
    <row r="16" spans="1:7" ht="15" customHeight="1" x14ac:dyDescent="0.2">
      <c r="A16" s="141">
        <v>2</v>
      </c>
      <c r="B16" s="149" t="s">
        <v>158</v>
      </c>
      <c r="C16" s="146">
        <v>21902358</v>
      </c>
      <c r="D16" s="146">
        <v>22602893</v>
      </c>
      <c r="E16" s="146">
        <f>+D16-C16</f>
        <v>700535</v>
      </c>
      <c r="F16" s="150">
        <f>IF(C16=0,0,E16/C16)</f>
        <v>3.198445573759684E-2</v>
      </c>
    </row>
    <row r="17" spans="1:7" ht="15" customHeight="1" x14ac:dyDescent="0.2">
      <c r="A17" s="141">
        <v>3</v>
      </c>
      <c r="B17" s="149" t="s">
        <v>159</v>
      </c>
      <c r="C17" s="146">
        <v>71621671</v>
      </c>
      <c r="D17" s="146">
        <v>71923201</v>
      </c>
      <c r="E17" s="146">
        <f>+D17-C17</f>
        <v>301530</v>
      </c>
      <c r="F17" s="150">
        <f>IF(C17=0,0,E17/C17)</f>
        <v>4.2100386068903645E-3</v>
      </c>
    </row>
    <row r="18" spans="1:7" ht="15.75" customHeight="1" x14ac:dyDescent="0.25">
      <c r="A18" s="141"/>
      <c r="B18" s="151" t="s">
        <v>160</v>
      </c>
      <c r="C18" s="147">
        <f>SUM(C15:C17)</f>
        <v>144516450</v>
      </c>
      <c r="D18" s="147">
        <f>SUM(D15:D17)</f>
        <v>145405507</v>
      </c>
      <c r="E18" s="147">
        <f>+D18-C18</f>
        <v>889057</v>
      </c>
      <c r="F18" s="148">
        <f>IF(C18=0,0,E18/C18)</f>
        <v>6.151943256286741E-3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15207538</v>
      </c>
      <c r="D21" s="146">
        <v>18188771</v>
      </c>
      <c r="E21" s="146">
        <f>+D21-C21</f>
        <v>2981233</v>
      </c>
      <c r="F21" s="150">
        <f>IF(C21=0,0,E21/C21)</f>
        <v>0.19603653135701518</v>
      </c>
    </row>
    <row r="22" spans="1:7" ht="15" customHeight="1" x14ac:dyDescent="0.2">
      <c r="A22" s="141">
        <v>2</v>
      </c>
      <c r="B22" s="149" t="s">
        <v>163</v>
      </c>
      <c r="C22" s="146">
        <v>6531970</v>
      </c>
      <c r="D22" s="146">
        <v>8080259</v>
      </c>
      <c r="E22" s="146">
        <f>+D22-C22</f>
        <v>1548289</v>
      </c>
      <c r="F22" s="150">
        <f>IF(C22=0,0,E22/C22)</f>
        <v>0.23703247259249507</v>
      </c>
    </row>
    <row r="23" spans="1:7" ht="15" customHeight="1" x14ac:dyDescent="0.2">
      <c r="A23" s="141">
        <v>3</v>
      </c>
      <c r="B23" s="149" t="s">
        <v>164</v>
      </c>
      <c r="C23" s="146">
        <v>21359827</v>
      </c>
      <c r="D23" s="146">
        <v>25711669</v>
      </c>
      <c r="E23" s="146">
        <f>+D23-C23</f>
        <v>4351842</v>
      </c>
      <c r="F23" s="150">
        <f>IF(C23=0,0,E23/C23)</f>
        <v>0.20373957148622973</v>
      </c>
    </row>
    <row r="24" spans="1:7" ht="15.75" customHeight="1" x14ac:dyDescent="0.25">
      <c r="A24" s="141"/>
      <c r="B24" s="151" t="s">
        <v>165</v>
      </c>
      <c r="C24" s="147">
        <f>SUM(C21:C23)</f>
        <v>43099335</v>
      </c>
      <c r="D24" s="147">
        <f>SUM(D21:D23)</f>
        <v>51980699</v>
      </c>
      <c r="E24" s="147">
        <f>+D24-C24</f>
        <v>8881364</v>
      </c>
      <c r="F24" s="148">
        <f>IF(C24=0,0,E24/C24)</f>
        <v>0.20606730939120058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80757</v>
      </c>
      <c r="D27" s="146">
        <v>305670</v>
      </c>
      <c r="E27" s="146">
        <f>+D27-C27</f>
        <v>224913</v>
      </c>
      <c r="F27" s="150">
        <f>IF(C27=0,0,E27/C27)</f>
        <v>2.7850588803447378</v>
      </c>
    </row>
    <row r="28" spans="1:7" ht="15" customHeight="1" x14ac:dyDescent="0.2">
      <c r="A28" s="141">
        <v>2</v>
      </c>
      <c r="B28" s="149" t="s">
        <v>168</v>
      </c>
      <c r="C28" s="146">
        <v>8591910</v>
      </c>
      <c r="D28" s="146">
        <v>9990396</v>
      </c>
      <c r="E28" s="146">
        <f>+D28-C28</f>
        <v>1398486</v>
      </c>
      <c r="F28" s="150">
        <f>IF(C28=0,0,E28/C28)</f>
        <v>0.16276776642213431</v>
      </c>
    </row>
    <row r="29" spans="1:7" ht="15" customHeight="1" x14ac:dyDescent="0.2">
      <c r="A29" s="141">
        <v>3</v>
      </c>
      <c r="B29" s="149" t="s">
        <v>169</v>
      </c>
      <c r="C29" s="146">
        <v>9873238</v>
      </c>
      <c r="D29" s="146">
        <v>8818919</v>
      </c>
      <c r="E29" s="146">
        <f>+D29-C29</f>
        <v>-1054319</v>
      </c>
      <c r="F29" s="150">
        <f>IF(C29=0,0,E29/C29)</f>
        <v>-0.10678553479618338</v>
      </c>
    </row>
    <row r="30" spans="1:7" ht="15.75" customHeight="1" x14ac:dyDescent="0.25">
      <c r="A30" s="141"/>
      <c r="B30" s="151" t="s">
        <v>170</v>
      </c>
      <c r="C30" s="147">
        <f>SUM(C27:C29)</f>
        <v>18545905</v>
      </c>
      <c r="D30" s="147">
        <f>SUM(D27:D29)</f>
        <v>19114985</v>
      </c>
      <c r="E30" s="147">
        <f>+D30-C30</f>
        <v>569080</v>
      </c>
      <c r="F30" s="148">
        <f>IF(C30=0,0,E30/C30)</f>
        <v>3.0684940961360471E-2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42521824</v>
      </c>
      <c r="D33" s="146">
        <v>41501554</v>
      </c>
      <c r="E33" s="146">
        <f>+D33-C33</f>
        <v>-1020270</v>
      </c>
      <c r="F33" s="150">
        <f>IF(C33=0,0,E33/C33)</f>
        <v>-2.3994031864672596E-2</v>
      </c>
    </row>
    <row r="34" spans="1:7" ht="15" customHeight="1" x14ac:dyDescent="0.2">
      <c r="A34" s="141">
        <v>2</v>
      </c>
      <c r="B34" s="149" t="s">
        <v>174</v>
      </c>
      <c r="C34" s="146">
        <v>11170321</v>
      </c>
      <c r="D34" s="146">
        <v>12665707</v>
      </c>
      <c r="E34" s="146">
        <f>+D34-C34</f>
        <v>1495386</v>
      </c>
      <c r="F34" s="150">
        <f>IF(C34=0,0,E34/C34)</f>
        <v>0.13387135427889674</v>
      </c>
    </row>
    <row r="35" spans="1:7" ht="15.75" customHeight="1" x14ac:dyDescent="0.25">
      <c r="A35" s="141"/>
      <c r="B35" s="151" t="s">
        <v>175</v>
      </c>
      <c r="C35" s="147">
        <f>SUM(C33:C34)</f>
        <v>53692145</v>
      </c>
      <c r="D35" s="147">
        <f>SUM(D33:D34)</f>
        <v>54167261</v>
      </c>
      <c r="E35" s="147">
        <f>+D35-C35</f>
        <v>475116</v>
      </c>
      <c r="F35" s="148">
        <f>IF(C35=0,0,E35/C35)</f>
        <v>8.8488921424167352E-3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6886681</v>
      </c>
      <c r="D38" s="146">
        <v>7005610</v>
      </c>
      <c r="E38" s="146">
        <f>+D38-C38</f>
        <v>118929</v>
      </c>
      <c r="F38" s="150">
        <f>IF(C38=0,0,E38/C38)</f>
        <v>1.7269421946508049E-2</v>
      </c>
    </row>
    <row r="39" spans="1:7" ht="15" customHeight="1" x14ac:dyDescent="0.2">
      <c r="A39" s="141">
        <v>2</v>
      </c>
      <c r="B39" s="149" t="s">
        <v>179</v>
      </c>
      <c r="C39" s="146">
        <v>10593029</v>
      </c>
      <c r="D39" s="146">
        <v>10440685</v>
      </c>
      <c r="E39" s="146">
        <f>+D39-C39</f>
        <v>-152344</v>
      </c>
      <c r="F39" s="150">
        <f>IF(C39=0,0,E39/C39)</f>
        <v>-1.4381533365008253E-2</v>
      </c>
    </row>
    <row r="40" spans="1:7" ht="15" customHeight="1" x14ac:dyDescent="0.2">
      <c r="A40" s="141">
        <v>3</v>
      </c>
      <c r="B40" s="149" t="s">
        <v>180</v>
      </c>
      <c r="C40" s="146">
        <v>50537</v>
      </c>
      <c r="D40" s="146">
        <v>50537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17530247</v>
      </c>
      <c r="D41" s="147">
        <f>SUM(D38:D40)</f>
        <v>17496832</v>
      </c>
      <c r="E41" s="147">
        <f>+D41-C41</f>
        <v>-33415</v>
      </c>
      <c r="F41" s="148">
        <f>IF(C41=0,0,E41/C41)</f>
        <v>-1.9061340094067129E-3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17638340</v>
      </c>
      <c r="D44" s="146">
        <v>9548336</v>
      </c>
      <c r="E44" s="146">
        <f>+D44-C44</f>
        <v>-8090004</v>
      </c>
      <c r="F44" s="150">
        <f>IF(C44=0,0,E44/C44)</f>
        <v>-0.45866016870068271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1892811</v>
      </c>
      <c r="D47" s="146">
        <v>1545904</v>
      </c>
      <c r="E47" s="146">
        <f>+D47-C47</f>
        <v>-346907</v>
      </c>
      <c r="F47" s="150">
        <f>IF(C47=0,0,E47/C47)</f>
        <v>-0.18327609042846857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7328946</v>
      </c>
      <c r="D50" s="146">
        <v>7398814</v>
      </c>
      <c r="E50" s="146">
        <f>+D50-C50</f>
        <v>69868</v>
      </c>
      <c r="F50" s="150">
        <f>IF(C50=0,0,E50/C50)</f>
        <v>9.5331579738750973E-3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187474</v>
      </c>
      <c r="D53" s="146">
        <v>190287</v>
      </c>
      <c r="E53" s="146">
        <f t="shared" ref="E53:E59" si="0">+D53-C53</f>
        <v>2813</v>
      </c>
      <c r="F53" s="150">
        <f t="shared" ref="F53:F59" si="1">IF(C53=0,0,E53/C53)</f>
        <v>1.5004747324962394E-2</v>
      </c>
    </row>
    <row r="54" spans="1:7" ht="15" customHeight="1" x14ac:dyDescent="0.2">
      <c r="A54" s="141">
        <v>2</v>
      </c>
      <c r="B54" s="149" t="s">
        <v>193</v>
      </c>
      <c r="C54" s="146">
        <v>1569885</v>
      </c>
      <c r="D54" s="146">
        <v>1180467</v>
      </c>
      <c r="E54" s="146">
        <f t="shared" si="0"/>
        <v>-389418</v>
      </c>
      <c r="F54" s="150">
        <f t="shared" si="1"/>
        <v>-0.24805511231714425</v>
      </c>
    </row>
    <row r="55" spans="1:7" ht="15" customHeight="1" x14ac:dyDescent="0.2">
      <c r="A55" s="141">
        <v>3</v>
      </c>
      <c r="B55" s="149" t="s">
        <v>194</v>
      </c>
      <c r="C55" s="146">
        <v>598540</v>
      </c>
      <c r="D55" s="146">
        <v>271263</v>
      </c>
      <c r="E55" s="146">
        <f t="shared" si="0"/>
        <v>-327277</v>
      </c>
      <c r="F55" s="150">
        <f t="shared" si="1"/>
        <v>-0.54679219433955961</v>
      </c>
    </row>
    <row r="56" spans="1:7" ht="15" customHeight="1" x14ac:dyDescent="0.2">
      <c r="A56" s="141">
        <v>4</v>
      </c>
      <c r="B56" s="149" t="s">
        <v>195</v>
      </c>
      <c r="C56" s="146">
        <v>3450859</v>
      </c>
      <c r="D56" s="146">
        <v>3729852</v>
      </c>
      <c r="E56" s="146">
        <f t="shared" si="0"/>
        <v>278993</v>
      </c>
      <c r="F56" s="150">
        <f t="shared" si="1"/>
        <v>8.0847406399392155E-2</v>
      </c>
    </row>
    <row r="57" spans="1:7" ht="15" customHeight="1" x14ac:dyDescent="0.2">
      <c r="A57" s="141">
        <v>5</v>
      </c>
      <c r="B57" s="149" t="s">
        <v>196</v>
      </c>
      <c r="C57" s="146">
        <v>641940</v>
      </c>
      <c r="D57" s="146">
        <v>666365</v>
      </c>
      <c r="E57" s="146">
        <f t="shared" si="0"/>
        <v>24425</v>
      </c>
      <c r="F57" s="150">
        <f t="shared" si="1"/>
        <v>3.8048727295385859E-2</v>
      </c>
    </row>
    <row r="58" spans="1:7" ht="15" customHeight="1" x14ac:dyDescent="0.2">
      <c r="A58" s="141">
        <v>6</v>
      </c>
      <c r="B58" s="149" t="s">
        <v>197</v>
      </c>
      <c r="C58" s="146">
        <v>102052</v>
      </c>
      <c r="D58" s="146">
        <v>29098</v>
      </c>
      <c r="E58" s="146">
        <f t="shared" si="0"/>
        <v>-72954</v>
      </c>
      <c r="F58" s="150">
        <f t="shared" si="1"/>
        <v>-0.71487085015482299</v>
      </c>
    </row>
    <row r="59" spans="1:7" ht="15.75" customHeight="1" x14ac:dyDescent="0.25">
      <c r="A59" s="141"/>
      <c r="B59" s="151" t="s">
        <v>198</v>
      </c>
      <c r="C59" s="147">
        <f>SUM(C53:C58)</f>
        <v>6550750</v>
      </c>
      <c r="D59" s="147">
        <f>SUM(D53:D58)</f>
        <v>6067332</v>
      </c>
      <c r="E59" s="147">
        <f t="shared" si="0"/>
        <v>-483418</v>
      </c>
      <c r="F59" s="148">
        <f t="shared" si="1"/>
        <v>-7.3795824905545163E-2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196845</v>
      </c>
      <c r="D62" s="146">
        <v>146067</v>
      </c>
      <c r="E62" s="146">
        <f t="shared" ref="E62:E78" si="2">+D62-C62</f>
        <v>-50778</v>
      </c>
      <c r="F62" s="150">
        <f t="shared" ref="F62:F78" si="3">IF(C62=0,0,E62/C62)</f>
        <v>-0.25795930808504153</v>
      </c>
    </row>
    <row r="63" spans="1:7" ht="15" customHeight="1" x14ac:dyDescent="0.2">
      <c r="A63" s="141">
        <v>2</v>
      </c>
      <c r="B63" s="149" t="s">
        <v>202</v>
      </c>
      <c r="C63" s="146">
        <v>1488737</v>
      </c>
      <c r="D63" s="146">
        <v>637620</v>
      </c>
      <c r="E63" s="146">
        <f t="shared" si="2"/>
        <v>-851117</v>
      </c>
      <c r="F63" s="150">
        <f t="shared" si="3"/>
        <v>-0.5717040686165521</v>
      </c>
    </row>
    <row r="64" spans="1:7" ht="15" customHeight="1" x14ac:dyDescent="0.2">
      <c r="A64" s="141">
        <v>3</v>
      </c>
      <c r="B64" s="149" t="s">
        <v>203</v>
      </c>
      <c r="C64" s="146">
        <v>2074104</v>
      </c>
      <c r="D64" s="146">
        <v>1196616</v>
      </c>
      <c r="E64" s="146">
        <f t="shared" si="2"/>
        <v>-877488</v>
      </c>
      <c r="F64" s="150">
        <f t="shared" si="3"/>
        <v>-0.42306846715497393</v>
      </c>
    </row>
    <row r="65" spans="1:7" ht="15" customHeight="1" x14ac:dyDescent="0.2">
      <c r="A65" s="141">
        <v>4</v>
      </c>
      <c r="B65" s="149" t="s">
        <v>204</v>
      </c>
      <c r="C65" s="146">
        <v>975553</v>
      </c>
      <c r="D65" s="146">
        <v>723238</v>
      </c>
      <c r="E65" s="146">
        <f t="shared" si="2"/>
        <v>-252315</v>
      </c>
      <c r="F65" s="150">
        <f t="shared" si="3"/>
        <v>-0.25863792126106938</v>
      </c>
    </row>
    <row r="66" spans="1:7" ht="15" customHeight="1" x14ac:dyDescent="0.2">
      <c r="A66" s="141">
        <v>5</v>
      </c>
      <c r="B66" s="149" t="s">
        <v>205</v>
      </c>
      <c r="C66" s="146">
        <v>2018351</v>
      </c>
      <c r="D66" s="146">
        <v>2017154</v>
      </c>
      <c r="E66" s="146">
        <f t="shared" si="2"/>
        <v>-1197</v>
      </c>
      <c r="F66" s="150">
        <f t="shared" si="3"/>
        <v>-5.9305839271761953E-4</v>
      </c>
    </row>
    <row r="67" spans="1:7" ht="15" customHeight="1" x14ac:dyDescent="0.2">
      <c r="A67" s="141">
        <v>6</v>
      </c>
      <c r="B67" s="149" t="s">
        <v>206</v>
      </c>
      <c r="C67" s="146">
        <v>1728264</v>
      </c>
      <c r="D67" s="146">
        <v>1674453</v>
      </c>
      <c r="E67" s="146">
        <f t="shared" si="2"/>
        <v>-53811</v>
      </c>
      <c r="F67" s="150">
        <f t="shared" si="3"/>
        <v>-3.1135868131257724E-2</v>
      </c>
    </row>
    <row r="68" spans="1:7" ht="15" customHeight="1" x14ac:dyDescent="0.2">
      <c r="A68" s="141">
        <v>7</v>
      </c>
      <c r="B68" s="149" t="s">
        <v>207</v>
      </c>
      <c r="C68" s="146">
        <v>4857226</v>
      </c>
      <c r="D68" s="146">
        <v>5500256</v>
      </c>
      <c r="E68" s="146">
        <f t="shared" si="2"/>
        <v>643030</v>
      </c>
      <c r="F68" s="150">
        <f t="shared" si="3"/>
        <v>0.1323862632704346</v>
      </c>
    </row>
    <row r="69" spans="1:7" ht="15" customHeight="1" x14ac:dyDescent="0.2">
      <c r="A69" s="141">
        <v>8</v>
      </c>
      <c r="B69" s="149" t="s">
        <v>208</v>
      </c>
      <c r="C69" s="146">
        <v>461729</v>
      </c>
      <c r="D69" s="146">
        <v>475273</v>
      </c>
      <c r="E69" s="146">
        <f t="shared" si="2"/>
        <v>13544</v>
      </c>
      <c r="F69" s="150">
        <f t="shared" si="3"/>
        <v>2.933322360085678E-2</v>
      </c>
    </row>
    <row r="70" spans="1:7" ht="15" customHeight="1" x14ac:dyDescent="0.2">
      <c r="A70" s="141">
        <v>9</v>
      </c>
      <c r="B70" s="149" t="s">
        <v>209</v>
      </c>
      <c r="C70" s="146">
        <v>604251</v>
      </c>
      <c r="D70" s="146">
        <v>576825</v>
      </c>
      <c r="E70" s="146">
        <f t="shared" si="2"/>
        <v>-27426</v>
      </c>
      <c r="F70" s="150">
        <f t="shared" si="3"/>
        <v>-4.5388423022882873E-2</v>
      </c>
    </row>
    <row r="71" spans="1:7" ht="15" customHeight="1" x14ac:dyDescent="0.2">
      <c r="A71" s="141">
        <v>10</v>
      </c>
      <c r="B71" s="149" t="s">
        <v>210</v>
      </c>
      <c r="C71" s="146">
        <v>368034</v>
      </c>
      <c r="D71" s="146">
        <v>111353</v>
      </c>
      <c r="E71" s="146">
        <f t="shared" si="2"/>
        <v>-256681</v>
      </c>
      <c r="F71" s="150">
        <f t="shared" si="3"/>
        <v>-0.69743828015889842</v>
      </c>
    </row>
    <row r="72" spans="1:7" ht="15" customHeight="1" x14ac:dyDescent="0.2">
      <c r="A72" s="141">
        <v>11</v>
      </c>
      <c r="B72" s="149" t="s">
        <v>211</v>
      </c>
      <c r="C72" s="146">
        <v>276352</v>
      </c>
      <c r="D72" s="146">
        <v>261743</v>
      </c>
      <c r="E72" s="146">
        <f t="shared" si="2"/>
        <v>-14609</v>
      </c>
      <c r="F72" s="150">
        <f t="shared" si="3"/>
        <v>-5.2863738999536822E-2</v>
      </c>
    </row>
    <row r="73" spans="1:7" ht="15" customHeight="1" x14ac:dyDescent="0.2">
      <c r="A73" s="141">
        <v>12</v>
      </c>
      <c r="B73" s="149" t="s">
        <v>212</v>
      </c>
      <c r="C73" s="146">
        <v>1262764</v>
      </c>
      <c r="D73" s="146">
        <v>1118649</v>
      </c>
      <c r="E73" s="146">
        <f t="shared" si="2"/>
        <v>-144115</v>
      </c>
      <c r="F73" s="150">
        <f t="shared" si="3"/>
        <v>-0.11412663015416974</v>
      </c>
    </row>
    <row r="74" spans="1:7" ht="15" customHeight="1" x14ac:dyDescent="0.2">
      <c r="A74" s="141">
        <v>13</v>
      </c>
      <c r="B74" s="149" t="s">
        <v>213</v>
      </c>
      <c r="C74" s="146">
        <v>350663</v>
      </c>
      <c r="D74" s="146">
        <v>127143</v>
      </c>
      <c r="E74" s="146">
        <f t="shared" si="2"/>
        <v>-223520</v>
      </c>
      <c r="F74" s="150">
        <f t="shared" si="3"/>
        <v>-0.63742111371886967</v>
      </c>
    </row>
    <row r="75" spans="1:7" ht="15" customHeight="1" x14ac:dyDescent="0.2">
      <c r="A75" s="141">
        <v>14</v>
      </c>
      <c r="B75" s="149" t="s">
        <v>214</v>
      </c>
      <c r="C75" s="146">
        <v>305459</v>
      </c>
      <c r="D75" s="146">
        <v>476842</v>
      </c>
      <c r="E75" s="146">
        <f t="shared" si="2"/>
        <v>171383</v>
      </c>
      <c r="F75" s="150">
        <f t="shared" si="3"/>
        <v>0.56106711539028153</v>
      </c>
    </row>
    <row r="76" spans="1:7" ht="15" customHeight="1" x14ac:dyDescent="0.2">
      <c r="A76" s="141">
        <v>15</v>
      </c>
      <c r="B76" s="149" t="s">
        <v>215</v>
      </c>
      <c r="C76" s="146">
        <v>643742</v>
      </c>
      <c r="D76" s="146">
        <v>654378</v>
      </c>
      <c r="E76" s="146">
        <f t="shared" si="2"/>
        <v>10636</v>
      </c>
      <c r="F76" s="150">
        <f t="shared" si="3"/>
        <v>1.6522147071342246E-2</v>
      </c>
    </row>
    <row r="77" spans="1:7" ht="15" customHeight="1" x14ac:dyDescent="0.2">
      <c r="A77" s="141">
        <v>16</v>
      </c>
      <c r="B77" s="149" t="s">
        <v>216</v>
      </c>
      <c r="C77" s="146">
        <v>43305647</v>
      </c>
      <c r="D77" s="146">
        <v>52876049</v>
      </c>
      <c r="E77" s="146">
        <f t="shared" si="2"/>
        <v>9570402</v>
      </c>
      <c r="F77" s="150">
        <f t="shared" si="3"/>
        <v>0.22099662891539296</v>
      </c>
    </row>
    <row r="78" spans="1:7" ht="15.75" customHeight="1" x14ac:dyDescent="0.25">
      <c r="A78" s="141"/>
      <c r="B78" s="151" t="s">
        <v>217</v>
      </c>
      <c r="C78" s="147">
        <f>SUM(C62:C77)</f>
        <v>60917721</v>
      </c>
      <c r="D78" s="147">
        <f>SUM(D62:D77)</f>
        <v>68573659</v>
      </c>
      <c r="E78" s="147">
        <f t="shared" si="2"/>
        <v>7655938</v>
      </c>
      <c r="F78" s="148">
        <f t="shared" si="3"/>
        <v>0.12567669759018069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195463</v>
      </c>
      <c r="D81" s="146">
        <v>177207</v>
      </c>
      <c r="E81" s="146">
        <f>+D81-C81</f>
        <v>-18256</v>
      </c>
      <c r="F81" s="150">
        <f>IF(C81=0,0,E81/C81)</f>
        <v>-9.3398750658692437E-2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371908113</v>
      </c>
      <c r="D83" s="147">
        <f>+D81+D78+D59+D50+D47+D44+D41+D35+D30+D24+D18</f>
        <v>381476536</v>
      </c>
      <c r="E83" s="147">
        <f>+D83-C83</f>
        <v>9568423</v>
      </c>
      <c r="F83" s="148">
        <f>IF(C83=0,0,E83/C83)</f>
        <v>2.5727922208569835E-2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18132674</v>
      </c>
      <c r="D91" s="146">
        <v>16066903</v>
      </c>
      <c r="E91" s="146">
        <f t="shared" ref="E91:E109" si="4">D91-C91</f>
        <v>-2065771</v>
      </c>
      <c r="F91" s="150">
        <f t="shared" ref="F91:F109" si="5">IF(C91=0,0,E91/C91)</f>
        <v>-0.11392533721170965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1678042</v>
      </c>
      <c r="D92" s="146">
        <v>1534256</v>
      </c>
      <c r="E92" s="146">
        <f t="shared" si="4"/>
        <v>-143786</v>
      </c>
      <c r="F92" s="150">
        <f t="shared" si="5"/>
        <v>-8.5686770652939559E-2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4864413</v>
      </c>
      <c r="D93" s="146">
        <v>4646914</v>
      </c>
      <c r="E93" s="146">
        <f t="shared" si="4"/>
        <v>-217499</v>
      </c>
      <c r="F93" s="150">
        <f t="shared" si="5"/>
        <v>-4.4712280803459736E-2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1836276</v>
      </c>
      <c r="D94" s="146">
        <v>1750095</v>
      </c>
      <c r="E94" s="146">
        <f t="shared" si="4"/>
        <v>-86181</v>
      </c>
      <c r="F94" s="150">
        <f t="shared" si="5"/>
        <v>-4.6932487273155014E-2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20163192</v>
      </c>
      <c r="D95" s="146">
        <v>33058670</v>
      </c>
      <c r="E95" s="146">
        <f t="shared" si="4"/>
        <v>12895478</v>
      </c>
      <c r="F95" s="150">
        <f t="shared" si="5"/>
        <v>0.6395553838896143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1393707</v>
      </c>
      <c r="D96" s="146">
        <v>1411976</v>
      </c>
      <c r="E96" s="146">
        <f t="shared" si="4"/>
        <v>18269</v>
      </c>
      <c r="F96" s="150">
        <f t="shared" si="5"/>
        <v>1.3108207105223695E-2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37240864</v>
      </c>
      <c r="D97" s="146">
        <v>45080049</v>
      </c>
      <c r="E97" s="146">
        <f t="shared" si="4"/>
        <v>7839185</v>
      </c>
      <c r="F97" s="150">
        <f t="shared" si="5"/>
        <v>0.21049954694928669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2311524</v>
      </c>
      <c r="D98" s="146">
        <v>2193532</v>
      </c>
      <c r="E98" s="146">
        <f t="shared" si="4"/>
        <v>-117992</v>
      </c>
      <c r="F98" s="150">
        <f t="shared" si="5"/>
        <v>-5.1045111363758285E-2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2632514</v>
      </c>
      <c r="D99" s="146">
        <v>2527604</v>
      </c>
      <c r="E99" s="146">
        <f t="shared" si="4"/>
        <v>-104910</v>
      </c>
      <c r="F99" s="150">
        <f t="shared" si="5"/>
        <v>-3.9851639915305291E-2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5255652</v>
      </c>
      <c r="D100" s="146">
        <v>5170091</v>
      </c>
      <c r="E100" s="146">
        <f t="shared" si="4"/>
        <v>-85561</v>
      </c>
      <c r="F100" s="150">
        <f t="shared" si="5"/>
        <v>-1.6279806958299371E-2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5718602</v>
      </c>
      <c r="D101" s="146">
        <v>5666539</v>
      </c>
      <c r="E101" s="146">
        <f t="shared" si="4"/>
        <v>-52063</v>
      </c>
      <c r="F101" s="150">
        <f t="shared" si="5"/>
        <v>-9.1041481816709745E-3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1845189</v>
      </c>
      <c r="D102" s="146">
        <v>1606019</v>
      </c>
      <c r="E102" s="146">
        <f t="shared" si="4"/>
        <v>-239170</v>
      </c>
      <c r="F102" s="150">
        <f t="shared" si="5"/>
        <v>-0.12961815835667784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12947378</v>
      </c>
      <c r="D103" s="146">
        <v>12730465</v>
      </c>
      <c r="E103" s="146">
        <f t="shared" si="4"/>
        <v>-216913</v>
      </c>
      <c r="F103" s="150">
        <f t="shared" si="5"/>
        <v>-1.6753430694616316E-2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1617268</v>
      </c>
      <c r="D104" s="146">
        <v>1591584</v>
      </c>
      <c r="E104" s="146">
        <f t="shared" si="4"/>
        <v>-25684</v>
      </c>
      <c r="F104" s="150">
        <f t="shared" si="5"/>
        <v>-1.5881103193781117E-2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1358354</v>
      </c>
      <c r="D105" s="146">
        <v>1301053</v>
      </c>
      <c r="E105" s="146">
        <f t="shared" si="4"/>
        <v>-57301</v>
      </c>
      <c r="F105" s="150">
        <f t="shared" si="5"/>
        <v>-4.2184143455976868E-2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2163486</v>
      </c>
      <c r="D106" s="146">
        <v>2258743</v>
      </c>
      <c r="E106" s="146">
        <f t="shared" si="4"/>
        <v>95257</v>
      </c>
      <c r="F106" s="150">
        <f t="shared" si="5"/>
        <v>4.402940439642318E-2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17107033</v>
      </c>
      <c r="D107" s="146">
        <v>18191507</v>
      </c>
      <c r="E107" s="146">
        <f t="shared" si="4"/>
        <v>1084474</v>
      </c>
      <c r="F107" s="150">
        <f t="shared" si="5"/>
        <v>6.3393459286598675E-2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4546256</v>
      </c>
      <c r="D108" s="146">
        <v>4315489</v>
      </c>
      <c r="E108" s="146">
        <f t="shared" si="4"/>
        <v>-230767</v>
      </c>
      <c r="F108" s="150">
        <f t="shared" si="5"/>
        <v>-5.0759790033821237E-2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142812424</v>
      </c>
      <c r="D109" s="147">
        <f>SUM(D91:D108)</f>
        <v>161101489</v>
      </c>
      <c r="E109" s="147">
        <f t="shared" si="4"/>
        <v>18289065</v>
      </c>
      <c r="F109" s="148">
        <f t="shared" si="5"/>
        <v>0.1280635429869883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13233512</v>
      </c>
      <c r="D112" s="146">
        <v>14010588</v>
      </c>
      <c r="E112" s="146">
        <f t="shared" ref="E112:E118" si="6">D112-C112</f>
        <v>777076</v>
      </c>
      <c r="F112" s="150">
        <f t="shared" ref="F112:F118" si="7">IF(C112=0,0,E112/C112)</f>
        <v>5.8720315514128069E-2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4233533</v>
      </c>
      <c r="D113" s="146">
        <v>5395587</v>
      </c>
      <c r="E113" s="146">
        <f t="shared" si="6"/>
        <v>1162054</v>
      </c>
      <c r="F113" s="150">
        <f t="shared" si="7"/>
        <v>0.27448799855817824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3742811</v>
      </c>
      <c r="D114" s="146">
        <v>3356831</v>
      </c>
      <c r="E114" s="146">
        <f t="shared" si="6"/>
        <v>-385980</v>
      </c>
      <c r="F114" s="150">
        <f t="shared" si="7"/>
        <v>-0.10312569883972234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3833668</v>
      </c>
      <c r="D115" s="146">
        <v>3736176</v>
      </c>
      <c r="E115" s="146">
        <f t="shared" si="6"/>
        <v>-97492</v>
      </c>
      <c r="F115" s="150">
        <f t="shared" si="7"/>
        <v>-2.5430475461098875E-2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3321591</v>
      </c>
      <c r="D116" s="146">
        <v>2880347</v>
      </c>
      <c r="E116" s="146">
        <f t="shared" si="6"/>
        <v>-441244</v>
      </c>
      <c r="F116" s="150">
        <f t="shared" si="7"/>
        <v>-0.13284115955275649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8519691</v>
      </c>
      <c r="D117" s="146">
        <v>8131916</v>
      </c>
      <c r="E117" s="146">
        <f t="shared" si="6"/>
        <v>-387775</v>
      </c>
      <c r="F117" s="150">
        <f t="shared" si="7"/>
        <v>-4.5515148378033901E-2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36884806</v>
      </c>
      <c r="D118" s="147">
        <f>SUM(D112:D117)</f>
        <v>37511445</v>
      </c>
      <c r="E118" s="147">
        <f t="shared" si="6"/>
        <v>626639</v>
      </c>
      <c r="F118" s="148">
        <f t="shared" si="7"/>
        <v>1.6989082171124881E-2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22722749</v>
      </c>
      <c r="D121" s="146">
        <v>22031370</v>
      </c>
      <c r="E121" s="146">
        <f t="shared" ref="E121:E155" si="8">D121-C121</f>
        <v>-691379</v>
      </c>
      <c r="F121" s="150">
        <f t="shared" ref="F121:F155" si="9">IF(C121=0,0,E121/C121)</f>
        <v>-3.042673225849566E-2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2183691</v>
      </c>
      <c r="D122" s="146">
        <v>2146712</v>
      </c>
      <c r="E122" s="146">
        <f t="shared" si="8"/>
        <v>-36979</v>
      </c>
      <c r="F122" s="150">
        <f t="shared" si="9"/>
        <v>-1.6934172463045367E-2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1673684</v>
      </c>
      <c r="D123" s="146">
        <v>1587523</v>
      </c>
      <c r="E123" s="146">
        <f t="shared" si="8"/>
        <v>-86161</v>
      </c>
      <c r="F123" s="150">
        <f t="shared" si="9"/>
        <v>-5.147984924274833E-2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3787473</v>
      </c>
      <c r="D124" s="146">
        <v>3985795</v>
      </c>
      <c r="E124" s="146">
        <f t="shared" si="8"/>
        <v>198322</v>
      </c>
      <c r="F124" s="150">
        <f t="shared" si="9"/>
        <v>5.2362617502487808E-2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10968590</v>
      </c>
      <c r="D125" s="146">
        <v>10958714</v>
      </c>
      <c r="E125" s="146">
        <f t="shared" si="8"/>
        <v>-9876</v>
      </c>
      <c r="F125" s="150">
        <f t="shared" si="9"/>
        <v>-9.0038920225844895E-4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1494519</v>
      </c>
      <c r="D126" s="146">
        <v>1285203</v>
      </c>
      <c r="E126" s="146">
        <f t="shared" si="8"/>
        <v>-209316</v>
      </c>
      <c r="F126" s="150">
        <f t="shared" si="9"/>
        <v>-0.14005576376078191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3364825</v>
      </c>
      <c r="D127" s="146">
        <v>3454799</v>
      </c>
      <c r="E127" s="146">
        <f t="shared" si="8"/>
        <v>89974</v>
      </c>
      <c r="F127" s="150">
        <f t="shared" si="9"/>
        <v>2.673957783837198E-2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1524643</v>
      </c>
      <c r="D128" s="146">
        <v>1391366</v>
      </c>
      <c r="E128" s="146">
        <f t="shared" si="8"/>
        <v>-133277</v>
      </c>
      <c r="F128" s="150">
        <f t="shared" si="9"/>
        <v>-8.7415217857557473E-2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3195303</v>
      </c>
      <c r="D129" s="146">
        <v>3310149</v>
      </c>
      <c r="E129" s="146">
        <f t="shared" si="8"/>
        <v>114846</v>
      </c>
      <c r="F129" s="150">
        <f t="shared" si="9"/>
        <v>3.5942131309612893E-2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14961178</v>
      </c>
      <c r="D130" s="146">
        <v>14812835</v>
      </c>
      <c r="E130" s="146">
        <f t="shared" si="8"/>
        <v>-148343</v>
      </c>
      <c r="F130" s="150">
        <f t="shared" si="9"/>
        <v>-9.9151951804864556E-3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2722691</v>
      </c>
      <c r="D131" s="146">
        <v>2772603</v>
      </c>
      <c r="E131" s="146">
        <f t="shared" si="8"/>
        <v>49912</v>
      </c>
      <c r="F131" s="150">
        <f t="shared" si="9"/>
        <v>1.8331863586429749E-2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1990403</v>
      </c>
      <c r="D132" s="146">
        <v>1995489</v>
      </c>
      <c r="E132" s="146">
        <f t="shared" si="8"/>
        <v>5086</v>
      </c>
      <c r="F132" s="150">
        <f t="shared" si="9"/>
        <v>2.5552614219331461E-3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2873327</v>
      </c>
      <c r="D134" s="146">
        <v>2946772</v>
      </c>
      <c r="E134" s="146">
        <f t="shared" si="8"/>
        <v>73445</v>
      </c>
      <c r="F134" s="150">
        <f t="shared" si="9"/>
        <v>2.5560961213255573E-2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2716546</v>
      </c>
      <c r="D138" s="146">
        <v>2740845</v>
      </c>
      <c r="E138" s="146">
        <f t="shared" si="8"/>
        <v>24299</v>
      </c>
      <c r="F138" s="150">
        <f t="shared" si="9"/>
        <v>8.9448144813303355E-3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324357</v>
      </c>
      <c r="D139" s="146">
        <v>327628</v>
      </c>
      <c r="E139" s="146">
        <f t="shared" si="8"/>
        <v>3271</v>
      </c>
      <c r="F139" s="150">
        <f t="shared" si="9"/>
        <v>1.0084567313176531E-2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615849</v>
      </c>
      <c r="D140" s="146">
        <v>621309</v>
      </c>
      <c r="E140" s="146">
        <f t="shared" si="8"/>
        <v>5460</v>
      </c>
      <c r="F140" s="150">
        <f t="shared" si="9"/>
        <v>8.865809638401622E-3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3580746</v>
      </c>
      <c r="D142" s="146">
        <v>3408446</v>
      </c>
      <c r="E142" s="146">
        <f t="shared" si="8"/>
        <v>-172300</v>
      </c>
      <c r="F142" s="150">
        <f t="shared" si="9"/>
        <v>-4.811846469981395E-2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2989544</v>
      </c>
      <c r="D143" s="146">
        <v>3004484</v>
      </c>
      <c r="E143" s="146">
        <f t="shared" si="8"/>
        <v>14940</v>
      </c>
      <c r="F143" s="150">
        <f t="shared" si="9"/>
        <v>4.9974176663731993E-3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19618771</v>
      </c>
      <c r="D144" s="146">
        <v>20416669</v>
      </c>
      <c r="E144" s="146">
        <f t="shared" si="8"/>
        <v>797898</v>
      </c>
      <c r="F144" s="150">
        <f t="shared" si="9"/>
        <v>4.0670131681541113E-2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1307350</v>
      </c>
      <c r="D145" s="146">
        <v>1365416</v>
      </c>
      <c r="E145" s="146">
        <f t="shared" si="8"/>
        <v>58066</v>
      </c>
      <c r="F145" s="150">
        <f t="shared" si="9"/>
        <v>4.4415038054078863E-2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2704423</v>
      </c>
      <c r="D148" s="146">
        <v>3026496</v>
      </c>
      <c r="E148" s="146">
        <f t="shared" si="8"/>
        <v>322073</v>
      </c>
      <c r="F148" s="150">
        <f t="shared" si="9"/>
        <v>0.1190912072556697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4935216</v>
      </c>
      <c r="D151" s="146">
        <v>4711776</v>
      </c>
      <c r="E151" s="146">
        <f t="shared" si="8"/>
        <v>-223440</v>
      </c>
      <c r="F151" s="150">
        <f t="shared" si="9"/>
        <v>-4.5274614120233037E-2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1922500</v>
      </c>
      <c r="D152" s="146">
        <v>1941636</v>
      </c>
      <c r="E152" s="146">
        <f t="shared" si="8"/>
        <v>19136</v>
      </c>
      <c r="F152" s="150">
        <f t="shared" si="9"/>
        <v>9.9537061118335508E-3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1465619</v>
      </c>
      <c r="D154" s="146">
        <v>1407580</v>
      </c>
      <c r="E154" s="146">
        <f t="shared" si="8"/>
        <v>-58039</v>
      </c>
      <c r="F154" s="150">
        <f t="shared" si="9"/>
        <v>-3.9600332692193541E-2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115643997</v>
      </c>
      <c r="D155" s="147">
        <f>SUM(D121:D154)</f>
        <v>115651615</v>
      </c>
      <c r="E155" s="147">
        <f t="shared" si="8"/>
        <v>7618</v>
      </c>
      <c r="F155" s="148">
        <f t="shared" si="9"/>
        <v>6.587458231835414E-5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21640675</v>
      </c>
      <c r="D158" s="146">
        <v>20929613</v>
      </c>
      <c r="E158" s="146">
        <f t="shared" ref="E158:E171" si="10">D158-C158</f>
        <v>-711062</v>
      </c>
      <c r="F158" s="150">
        <f t="shared" ref="F158:F171" si="11">IF(C158=0,0,E158/C158)</f>
        <v>-3.2857662711537415E-2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7554114</v>
      </c>
      <c r="D159" s="146">
        <v>8034163</v>
      </c>
      <c r="E159" s="146">
        <f t="shared" si="10"/>
        <v>480049</v>
      </c>
      <c r="F159" s="150">
        <f t="shared" si="11"/>
        <v>6.3548021647541988E-2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2295904</v>
      </c>
      <c r="D161" s="146">
        <v>2095024</v>
      </c>
      <c r="E161" s="146">
        <f t="shared" si="10"/>
        <v>-200880</v>
      </c>
      <c r="F161" s="150">
        <f t="shared" si="11"/>
        <v>-8.7494947523938285E-2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1403298</v>
      </c>
      <c r="D162" s="146">
        <v>1351318</v>
      </c>
      <c r="E162" s="146">
        <f t="shared" si="10"/>
        <v>-51980</v>
      </c>
      <c r="F162" s="150">
        <f t="shared" si="11"/>
        <v>-3.7041312679131591E-2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2178215</v>
      </c>
      <c r="D163" s="146">
        <v>2180716</v>
      </c>
      <c r="E163" s="146">
        <f t="shared" si="10"/>
        <v>2501</v>
      </c>
      <c r="F163" s="150">
        <f t="shared" si="11"/>
        <v>1.1481878510615343E-3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849038</v>
      </c>
      <c r="D164" s="146">
        <v>814597</v>
      </c>
      <c r="E164" s="146">
        <f t="shared" si="10"/>
        <v>-34441</v>
      </c>
      <c r="F164" s="150">
        <f t="shared" si="11"/>
        <v>-4.0564733262822159E-2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1459032</v>
      </c>
      <c r="D165" s="146">
        <v>1486574</v>
      </c>
      <c r="E165" s="146">
        <f t="shared" si="10"/>
        <v>27542</v>
      </c>
      <c r="F165" s="150">
        <f t="shared" si="11"/>
        <v>1.8876899204404017E-2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3361973</v>
      </c>
      <c r="D166" s="146">
        <v>3074409</v>
      </c>
      <c r="E166" s="146">
        <f t="shared" si="10"/>
        <v>-287564</v>
      </c>
      <c r="F166" s="150">
        <f t="shared" si="11"/>
        <v>-8.5534297866163705E-2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6130966</v>
      </c>
      <c r="D167" s="146">
        <v>6055291</v>
      </c>
      <c r="E167" s="146">
        <f t="shared" si="10"/>
        <v>-75675</v>
      </c>
      <c r="F167" s="150">
        <f t="shared" si="11"/>
        <v>-1.2343079377703285E-2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4001365</v>
      </c>
      <c r="D169" s="146">
        <v>3701245</v>
      </c>
      <c r="E169" s="146">
        <f t="shared" si="10"/>
        <v>-300120</v>
      </c>
      <c r="F169" s="150">
        <f t="shared" si="11"/>
        <v>-7.5004404746880124E-2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50874580</v>
      </c>
      <c r="D171" s="147">
        <f>SUM(D158:D170)</f>
        <v>49722950</v>
      </c>
      <c r="E171" s="147">
        <f t="shared" si="10"/>
        <v>-1151630</v>
      </c>
      <c r="F171" s="148">
        <f t="shared" si="11"/>
        <v>-2.2636648793955647E-2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25692306</v>
      </c>
      <c r="D174" s="146">
        <v>17489037</v>
      </c>
      <c r="E174" s="146">
        <f>D174-C174</f>
        <v>-8203269</v>
      </c>
      <c r="F174" s="150">
        <f>IF(C174=0,0,E174/C174)</f>
        <v>-0.31928893420466031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371908113</v>
      </c>
      <c r="D176" s="147">
        <f>+D174+D171+D155+D118+D109</f>
        <v>381476536</v>
      </c>
      <c r="E176" s="147">
        <f>D176-C176</f>
        <v>9568423</v>
      </c>
      <c r="F176" s="148">
        <f>IF(C176=0,0,E176/C176)</f>
        <v>2.5727922208569835E-2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345056579</v>
      </c>
      <c r="D11" s="164">
        <v>367733027</v>
      </c>
      <c r="E11" s="51">
        <v>364911931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13628865</v>
      </c>
      <c r="D12" s="49">
        <v>15581616</v>
      </c>
      <c r="E12" s="49">
        <v>14808991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358685444</v>
      </c>
      <c r="D13" s="51">
        <f>+D11+D12</f>
        <v>383314643</v>
      </c>
      <c r="E13" s="51">
        <f>+E11+E12</f>
        <v>379720922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353800187</v>
      </c>
      <c r="D14" s="49">
        <v>371908113</v>
      </c>
      <c r="E14" s="49">
        <v>381476536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4885257</v>
      </c>
      <c r="D15" s="51">
        <f>+D13-D14</f>
        <v>11406530</v>
      </c>
      <c r="E15" s="51">
        <f>+E13-E14</f>
        <v>-1755614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4050259</v>
      </c>
      <c r="D16" s="49">
        <v>3326810</v>
      </c>
      <c r="E16" s="49">
        <v>7196048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8935516</v>
      </c>
      <c r="D17" s="51">
        <f>D15+D16</f>
        <v>14733340</v>
      </c>
      <c r="E17" s="51">
        <f>E15+E16</f>
        <v>5440434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1.3467814057443361E-2</v>
      </c>
      <c r="D20" s="169">
        <f>IF(+D27=0,0,+D24/+D27)</f>
        <v>2.9501570282998085E-2</v>
      </c>
      <c r="E20" s="169">
        <f>IF(+E27=0,0,+E24/+E27)</f>
        <v>-4.5374437828353716E-3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1.1165868059036913E-2</v>
      </c>
      <c r="D21" s="169">
        <f>IF(D27=0,0,+D26/D27)</f>
        <v>8.6043800378538312E-3</v>
      </c>
      <c r="E21" s="169">
        <f>IF(E27=0,0,+E26/E27)</f>
        <v>1.8598429528691906E-2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2.4633682116480274E-2</v>
      </c>
      <c r="D22" s="169">
        <f>IF(D27=0,0,+D28/D27)</f>
        <v>3.8105950320851914E-2</v>
      </c>
      <c r="E22" s="169">
        <f>IF(E27=0,0,+E28/E27)</f>
        <v>1.4060985745856534E-2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4885257</v>
      </c>
      <c r="D24" s="51">
        <f>+D15</f>
        <v>11406530</v>
      </c>
      <c r="E24" s="51">
        <f>+E15</f>
        <v>-1755614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358685444</v>
      </c>
      <c r="D25" s="51">
        <f>+D13</f>
        <v>383314643</v>
      </c>
      <c r="E25" s="51">
        <f>+E13</f>
        <v>379720922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4050259</v>
      </c>
      <c r="D26" s="51">
        <f>+D16</f>
        <v>3326810</v>
      </c>
      <c r="E26" s="51">
        <f>+E16</f>
        <v>7196048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362735703</v>
      </c>
      <c r="D27" s="51">
        <f>+D25+D26</f>
        <v>386641453</v>
      </c>
      <c r="E27" s="51">
        <f>+E25+E26</f>
        <v>386916970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8935516</v>
      </c>
      <c r="D28" s="51">
        <f>+D17</f>
        <v>14733340</v>
      </c>
      <c r="E28" s="51">
        <f>+E17</f>
        <v>5440434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159990495</v>
      </c>
      <c r="D31" s="51">
        <v>87443879</v>
      </c>
      <c r="E31" s="51">
        <v>96622401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195004939</v>
      </c>
      <c r="D32" s="51">
        <v>122485352</v>
      </c>
      <c r="E32" s="51">
        <v>133555140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-12150269</v>
      </c>
      <c r="D33" s="51">
        <f>+D32-C32</f>
        <v>-72519587</v>
      </c>
      <c r="E33" s="51">
        <f>+E32-D32</f>
        <v>11069788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0.94130000000000003</v>
      </c>
      <c r="D34" s="171">
        <f>IF(C32=0,0,+D33/C32)</f>
        <v>-0.37188589874639022</v>
      </c>
      <c r="E34" s="171">
        <f>IF(D32=0,0,+E33/D32)</f>
        <v>9.0376423133437217E-2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0.38601201280255226</v>
      </c>
      <c r="D38" s="172">
        <f>IF((D40+D41)=0,0,+D39/(D40+D41))</f>
        <v>0.43741571330684725</v>
      </c>
      <c r="E38" s="172">
        <f>IF((E40+E41)=0,0,+E39/(E40+E41))</f>
        <v>0.46288177826631333</v>
      </c>
      <c r="F38" s="5"/>
    </row>
    <row r="39" spans="1:6" ht="24" customHeight="1" x14ac:dyDescent="0.2">
      <c r="A39" s="21">
        <v>2</v>
      </c>
      <c r="B39" s="48" t="s">
        <v>324</v>
      </c>
      <c r="C39" s="51">
        <v>322396761</v>
      </c>
      <c r="D39" s="51">
        <v>371908113</v>
      </c>
      <c r="E39" s="23">
        <v>381476536</v>
      </c>
      <c r="F39" s="5"/>
    </row>
    <row r="40" spans="1:6" ht="24" customHeight="1" x14ac:dyDescent="0.2">
      <c r="A40" s="21">
        <v>3</v>
      </c>
      <c r="B40" s="48" t="s">
        <v>325</v>
      </c>
      <c r="C40" s="51">
        <v>829275234</v>
      </c>
      <c r="D40" s="51">
        <v>826891625</v>
      </c>
      <c r="E40" s="23">
        <v>800740049</v>
      </c>
      <c r="F40" s="5"/>
    </row>
    <row r="41" spans="1:6" ht="24" customHeight="1" x14ac:dyDescent="0.2">
      <c r="A41" s="21">
        <v>4</v>
      </c>
      <c r="B41" s="48" t="s">
        <v>326</v>
      </c>
      <c r="C41" s="51">
        <v>5923543</v>
      </c>
      <c r="D41" s="51">
        <v>23347865</v>
      </c>
      <c r="E41" s="23">
        <v>23393788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1.3556218929467279</v>
      </c>
      <c r="D43" s="173">
        <f>IF(D38=0,0,IF((D46-D47)=0,0,((+D44-D45)/(D46-D47)/D38)))</f>
        <v>1.3029300638954202</v>
      </c>
      <c r="E43" s="173">
        <f>IF(E38=0,0,IF((E46-E47)=0,0,((+E44-E45)/(E46-E47)/E38)))</f>
        <v>1.2762817626732383</v>
      </c>
      <c r="F43" s="5"/>
    </row>
    <row r="44" spans="1:6" ht="24" customHeight="1" x14ac:dyDescent="0.2">
      <c r="A44" s="21">
        <v>6</v>
      </c>
      <c r="B44" s="48" t="s">
        <v>328</v>
      </c>
      <c r="C44" s="51">
        <v>154472901</v>
      </c>
      <c r="D44" s="51">
        <v>168374191</v>
      </c>
      <c r="E44" s="23">
        <v>165689668</v>
      </c>
      <c r="F44" s="5"/>
    </row>
    <row r="45" spans="1:6" ht="24" customHeight="1" x14ac:dyDescent="0.2">
      <c r="A45" s="21">
        <v>7</v>
      </c>
      <c r="B45" s="48" t="s">
        <v>329</v>
      </c>
      <c r="C45" s="51">
        <v>4725660</v>
      </c>
      <c r="D45" s="51">
        <v>2467056</v>
      </c>
      <c r="E45" s="23">
        <v>6083766</v>
      </c>
      <c r="F45" s="5"/>
    </row>
    <row r="46" spans="1:6" ht="24" customHeight="1" x14ac:dyDescent="0.2">
      <c r="A46" s="21">
        <v>8</v>
      </c>
      <c r="B46" s="48" t="s">
        <v>330</v>
      </c>
      <c r="C46" s="51">
        <v>308201013</v>
      </c>
      <c r="D46" s="51">
        <v>311616464</v>
      </c>
      <c r="E46" s="23">
        <v>290748912</v>
      </c>
      <c r="F46" s="5"/>
    </row>
    <row r="47" spans="1:6" ht="24" customHeight="1" x14ac:dyDescent="0.2">
      <c r="A47" s="21">
        <v>9</v>
      </c>
      <c r="B47" s="48" t="s">
        <v>331</v>
      </c>
      <c r="C47" s="51">
        <v>22034089</v>
      </c>
      <c r="D47" s="51">
        <v>20511522</v>
      </c>
      <c r="E47" s="174">
        <v>20581913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0.87479758473953861</v>
      </c>
      <c r="D49" s="175">
        <f>IF(D38=0,0,IF(D51=0,0,(D50/D51)/D38))</f>
        <v>0.81666960180718873</v>
      </c>
      <c r="E49" s="175">
        <f>IF(E38=0,0,IF(E51=0,0,(E50/E51)/E38))</f>
        <v>0.78347978519264994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128634926</v>
      </c>
      <c r="D50" s="176">
        <v>131787006</v>
      </c>
      <c r="E50" s="176">
        <v>128895993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380934674</v>
      </c>
      <c r="D51" s="176">
        <v>368919678</v>
      </c>
      <c r="E51" s="176">
        <v>355419733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0.79489507744094945</v>
      </c>
      <c r="D53" s="175">
        <f>IF(D38=0,0,IF(D55=0,0,(D54/D55)/D38))</f>
        <v>0.75210943394542407</v>
      </c>
      <c r="E53" s="175">
        <f>IF(E38=0,0,IF(E55=0,0,(E54/E55)/E38))</f>
        <v>0.8233446451002685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35560871</v>
      </c>
      <c r="D54" s="176">
        <v>39235443</v>
      </c>
      <c r="E54" s="176">
        <v>49292970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115894216</v>
      </c>
      <c r="D55" s="176">
        <v>119262290</v>
      </c>
      <c r="E55" s="176">
        <v>129340113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9641415.0955531169</v>
      </c>
      <c r="D57" s="53">
        <f>+D60*D38</f>
        <v>10844596.703397226</v>
      </c>
      <c r="E57" s="53">
        <f>+E60*E38</f>
        <v>8317479.6256620055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7362350</v>
      </c>
      <c r="D58" s="51">
        <v>5631704</v>
      </c>
      <c r="E58" s="52">
        <v>8420571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17614632</v>
      </c>
      <c r="D59" s="51">
        <v>19160722</v>
      </c>
      <c r="E59" s="52">
        <v>9548336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24976982</v>
      </c>
      <c r="D60" s="51">
        <v>24792426</v>
      </c>
      <c r="E60" s="52">
        <v>17968907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2.990543411679349E-2</v>
      </c>
      <c r="D62" s="178">
        <f>IF(D63=0,0,+D57/D63)</f>
        <v>2.9159344268989435E-2</v>
      </c>
      <c r="E62" s="178">
        <f>IF(E63=0,0,+E57/E63)</f>
        <v>2.1803384587884601E-2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322396761</v>
      </c>
      <c r="D63" s="176">
        <v>371908113</v>
      </c>
      <c r="E63" s="176">
        <v>381476536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1.1839482831796391</v>
      </c>
      <c r="D67" s="179">
        <f>IF(D69=0,0,D68/D69)</f>
        <v>0.9429059838463929</v>
      </c>
      <c r="E67" s="179">
        <f>IF(E69=0,0,E68/E69)</f>
        <v>0.90622645286857406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70687798</v>
      </c>
      <c r="D68" s="180">
        <v>67871970</v>
      </c>
      <c r="E68" s="180">
        <v>69156292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59705140</v>
      </c>
      <c r="D69" s="180">
        <v>71981694</v>
      </c>
      <c r="E69" s="180">
        <v>76312374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26.729368460443084</v>
      </c>
      <c r="D71" s="181">
        <f>IF((D77/365)=0,0,+D74/(D77/365))</f>
        <v>22.907942930047444</v>
      </c>
      <c r="E71" s="181">
        <f>IF((E77/365)=0,0,+E74/(E77/365))</f>
        <v>23.358079575777662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24658830</v>
      </c>
      <c r="D72" s="182">
        <v>22241282</v>
      </c>
      <c r="E72" s="182">
        <v>23292786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24658830</v>
      </c>
      <c r="D74" s="180">
        <f>+D72+D73</f>
        <v>22241282</v>
      </c>
      <c r="E74" s="180">
        <f>+E72+E73</f>
        <v>23292786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353800187</v>
      </c>
      <c r="D75" s="180">
        <f>+D14</f>
        <v>371908113</v>
      </c>
      <c r="E75" s="180">
        <f>+E14</f>
        <v>381476536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17074201</v>
      </c>
      <c r="D76" s="180">
        <v>17530247</v>
      </c>
      <c r="E76" s="180">
        <v>17496832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336725986</v>
      </c>
      <c r="D77" s="180">
        <f>+D75-D76</f>
        <v>354377866</v>
      </c>
      <c r="E77" s="180">
        <f>+E75-E76</f>
        <v>363979704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23.990603827901513</v>
      </c>
      <c r="D79" s="179">
        <f>IF((D84/365)=0,0,+D83/(D84/365))</f>
        <v>21.592992176359509</v>
      </c>
      <c r="E79" s="179">
        <f>IF((E84/365)=0,0,+E83/(E84/365))</f>
        <v>17.098263553350357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35762801</v>
      </c>
      <c r="D80" s="189">
        <v>36493910</v>
      </c>
      <c r="E80" s="189">
        <v>36543623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13083032</v>
      </c>
      <c r="D82" s="190">
        <v>14739235</v>
      </c>
      <c r="E82" s="190">
        <v>19449485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22679769</v>
      </c>
      <c r="D83" s="191">
        <f>+D80+D81-D82</f>
        <v>21754675</v>
      </c>
      <c r="E83" s="191">
        <f>+E80+E81-E82</f>
        <v>17094138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345056579</v>
      </c>
      <c r="D84" s="191">
        <f>+D11</f>
        <v>367733027</v>
      </c>
      <c r="E84" s="191">
        <f>+E11</f>
        <v>364911931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64.718426869496199</v>
      </c>
      <c r="D86" s="179">
        <f>IF((D90/365)=0,0,+D87/(D90/365))</f>
        <v>74.139275701829533</v>
      </c>
      <c r="E86" s="179">
        <f>IF((E90/365)=0,0,+E87/(E90/365))</f>
        <v>76.526290350519105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59705140</v>
      </c>
      <c r="D87" s="51">
        <f>+D69</f>
        <v>71981694</v>
      </c>
      <c r="E87" s="51">
        <f>+E69</f>
        <v>76312374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353800187</v>
      </c>
      <c r="D88" s="51">
        <f t="shared" si="0"/>
        <v>371908113</v>
      </c>
      <c r="E88" s="51">
        <f t="shared" si="0"/>
        <v>381476536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17074201</v>
      </c>
      <c r="D89" s="52">
        <f t="shared" si="0"/>
        <v>17530247</v>
      </c>
      <c r="E89" s="52">
        <f t="shared" si="0"/>
        <v>17496832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336725986</v>
      </c>
      <c r="D90" s="51">
        <f>+D88-D89</f>
        <v>354377866</v>
      </c>
      <c r="E90" s="51">
        <f>+E88-E89</f>
        <v>363979704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58.065792862140967</v>
      </c>
      <c r="D94" s="192">
        <f>IF(D96=0,0,(D95/D96)*100)</f>
        <v>38.164695851196498</v>
      </c>
      <c r="E94" s="192">
        <f>IF(E96=0,0,(E95/E96)*100)</f>
        <v>39.67861670293825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195004939</v>
      </c>
      <c r="D95" s="51">
        <f>+D32</f>
        <v>122485352</v>
      </c>
      <c r="E95" s="51">
        <f>+E32</f>
        <v>133555140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335834455</v>
      </c>
      <c r="D96" s="51">
        <v>320938892</v>
      </c>
      <c r="E96" s="51">
        <v>336592228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25.947913481232991</v>
      </c>
      <c r="D98" s="192">
        <f>IF(D104=0,0,(D101/D104)*100)</f>
        <v>29.655795435116449</v>
      </c>
      <c r="E98" s="192">
        <f>IF(E104=0,0,(E101/E104)*100)</f>
        <v>20.752092829765068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8935516</v>
      </c>
      <c r="D99" s="51">
        <f>+D28</f>
        <v>14733340</v>
      </c>
      <c r="E99" s="51">
        <f>+E28</f>
        <v>5440434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17074201</v>
      </c>
      <c r="D100" s="52">
        <f>+D76</f>
        <v>17530247</v>
      </c>
      <c r="E100" s="52">
        <f>+E76</f>
        <v>17496832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26009717</v>
      </c>
      <c r="D101" s="51">
        <f>+D99+D100</f>
        <v>32263587</v>
      </c>
      <c r="E101" s="51">
        <f>+E99+E100</f>
        <v>22937266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59705140</v>
      </c>
      <c r="D102" s="180">
        <f>+D69</f>
        <v>71981694</v>
      </c>
      <c r="E102" s="180">
        <f>+E69</f>
        <v>76312374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40533043</v>
      </c>
      <c r="D103" s="194">
        <v>36811837</v>
      </c>
      <c r="E103" s="194">
        <v>34217519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100238183</v>
      </c>
      <c r="D104" s="180">
        <f>+D102+D103</f>
        <v>108793531</v>
      </c>
      <c r="E104" s="180">
        <f>+E102+E103</f>
        <v>110529893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17.208707765866823</v>
      </c>
      <c r="D106" s="197">
        <f>IF(D109=0,0,(D107/D109)*100)</f>
        <v>23.108905581504015</v>
      </c>
      <c r="E106" s="197">
        <f>IF(E109=0,0,(E107/E109)*100)</f>
        <v>20.39516999012336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40533043</v>
      </c>
      <c r="D107" s="180">
        <f>+D103</f>
        <v>36811837</v>
      </c>
      <c r="E107" s="180">
        <f>+E103</f>
        <v>34217519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195004939</v>
      </c>
      <c r="D108" s="180">
        <f>+D32</f>
        <v>122485352</v>
      </c>
      <c r="E108" s="180">
        <f>+E32</f>
        <v>133555140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235537982</v>
      </c>
      <c r="D109" s="180">
        <f>+D107+D108</f>
        <v>159297189</v>
      </c>
      <c r="E109" s="180">
        <f>+E107+E108</f>
        <v>167772659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27.794197514839471</v>
      </c>
      <c r="D111" s="197">
        <f>IF((+D113+D115)=0,0,((+D112+D113+D114)/(+D113+D115)))</f>
        <v>6.2494701753018536</v>
      </c>
      <c r="E111" s="197">
        <f>IF((+E113+E115)=0,0,((+E112+E113+E114)/(+E113+E115)))</f>
        <v>4.6931745579297193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8935516</v>
      </c>
      <c r="D112" s="180">
        <f>+D17</f>
        <v>14733340</v>
      </c>
      <c r="E112" s="180">
        <f>+E17</f>
        <v>5440434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970722</v>
      </c>
      <c r="D113" s="180">
        <v>1892811</v>
      </c>
      <c r="E113" s="180">
        <v>1545904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17074201</v>
      </c>
      <c r="D114" s="180">
        <v>17530247</v>
      </c>
      <c r="E114" s="180">
        <v>17496832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3572676</v>
      </c>
      <c r="E115" s="180">
        <v>3670857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12.406271719537564</v>
      </c>
      <c r="D119" s="197">
        <f>IF(+D121=0,0,(+D120)/(+D121))</f>
        <v>13.06445995883572</v>
      </c>
      <c r="E119" s="197">
        <f>IF(+E121=0,0,(+E120)/(+E121))</f>
        <v>14.064336618194654</v>
      </c>
    </row>
    <row r="120" spans="1:8" ht="24" customHeight="1" x14ac:dyDescent="0.25">
      <c r="A120" s="17">
        <v>21</v>
      </c>
      <c r="B120" s="48" t="s">
        <v>369</v>
      </c>
      <c r="C120" s="180">
        <v>211827177</v>
      </c>
      <c r="D120" s="180">
        <v>229023210</v>
      </c>
      <c r="E120" s="180">
        <v>246081335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17074201</v>
      </c>
      <c r="D121" s="180">
        <v>17530247</v>
      </c>
      <c r="E121" s="180">
        <v>17496832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88799</v>
      </c>
      <c r="D124" s="198">
        <v>86498</v>
      </c>
      <c r="E124" s="198">
        <v>81872</v>
      </c>
    </row>
    <row r="125" spans="1:8" ht="24" customHeight="1" x14ac:dyDescent="0.2">
      <c r="A125" s="44">
        <v>2</v>
      </c>
      <c r="B125" s="48" t="s">
        <v>373</v>
      </c>
      <c r="C125" s="198">
        <v>20981</v>
      </c>
      <c r="D125" s="198">
        <v>20067</v>
      </c>
      <c r="E125" s="198">
        <v>19517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4.2323530813593253</v>
      </c>
      <c r="D126" s="199">
        <f>IF(D125=0,0,D124/D125)</f>
        <v>4.3104599591368915</v>
      </c>
      <c r="E126" s="199">
        <f>IF(E125=0,0,E124/E125)</f>
        <v>4.1949070041502283</v>
      </c>
    </row>
    <row r="127" spans="1:8" ht="24" customHeight="1" x14ac:dyDescent="0.2">
      <c r="A127" s="44">
        <v>4</v>
      </c>
      <c r="B127" s="48" t="s">
        <v>375</v>
      </c>
      <c r="C127" s="198">
        <v>310</v>
      </c>
      <c r="D127" s="198">
        <v>349</v>
      </c>
      <c r="E127" s="198">
        <v>341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370</v>
      </c>
      <c r="E128" s="198">
        <v>356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446</v>
      </c>
      <c r="D129" s="198">
        <v>446</v>
      </c>
      <c r="E129" s="198">
        <v>446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0.78469999999999995</v>
      </c>
      <c r="D130" s="171">
        <v>0.67900000000000005</v>
      </c>
      <c r="E130" s="171">
        <v>0.65769999999999995</v>
      </c>
    </row>
    <row r="131" spans="1:8" ht="24" customHeight="1" x14ac:dyDescent="0.2">
      <c r="A131" s="44">
        <v>7</v>
      </c>
      <c r="B131" s="48" t="s">
        <v>379</v>
      </c>
      <c r="C131" s="171">
        <v>0.70720000000000005</v>
      </c>
      <c r="D131" s="171">
        <v>0.64039999999999997</v>
      </c>
      <c r="E131" s="171">
        <v>0.63</v>
      </c>
    </row>
    <row r="132" spans="1:8" ht="24" customHeight="1" x14ac:dyDescent="0.2">
      <c r="A132" s="44">
        <v>8</v>
      </c>
      <c r="B132" s="48" t="s">
        <v>380</v>
      </c>
      <c r="C132" s="199">
        <v>2256.6999999999998</v>
      </c>
      <c r="D132" s="199">
        <v>2224.1999999999998</v>
      </c>
      <c r="E132" s="199">
        <v>2166.1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0.34508075517904591</v>
      </c>
      <c r="D135" s="203">
        <f>IF(D149=0,0,D143/D149)</f>
        <v>0.35204727342594622</v>
      </c>
      <c r="E135" s="203">
        <f>IF(E149=0,0,E143/E149)</f>
        <v>0.33739663619597476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0.45935855597973879</v>
      </c>
      <c r="D136" s="203">
        <f>IF(D149=0,0,D144/D149)</f>
        <v>0.44615239391256384</v>
      </c>
      <c r="E136" s="203">
        <f>IF(E149=0,0,E144/E149)</f>
        <v>0.44386406480338292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0.1397536200870072</v>
      </c>
      <c r="D137" s="203">
        <f>IF(D149=0,0,D145/D149)</f>
        <v>0.1442296504091452</v>
      </c>
      <c r="E137" s="203">
        <f>IF(E149=0,0,E145/E149)</f>
        <v>0.16152572006548907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2.807657463456819E-2</v>
      </c>
      <c r="D138" s="203">
        <f>IF(D149=0,0,D146/D149)</f>
        <v>3.1338782757655816E-2</v>
      </c>
      <c r="E138" s="203">
        <f>IF(E149=0,0,E146/E149)</f>
        <v>2.9731213056885582E-2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2.6570296683911341E-2</v>
      </c>
      <c r="D139" s="203">
        <f>IF(D149=0,0,D147/D149)</f>
        <v>2.4805574732964554E-2</v>
      </c>
      <c r="E139" s="203">
        <f>IF(E149=0,0,E147/E149)</f>
        <v>2.5703613832858258E-2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1.1601974357285582E-3</v>
      </c>
      <c r="D140" s="203">
        <f>IF(D149=0,0,D148/D149)</f>
        <v>1.4263247617243675E-3</v>
      </c>
      <c r="E140" s="203">
        <f>IF(E149=0,0,E148/E149)</f>
        <v>1.7787520454094336E-3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286166924</v>
      </c>
      <c r="D143" s="205">
        <f>+D46-D147</f>
        <v>291104942</v>
      </c>
      <c r="E143" s="205">
        <f>+E46-E147</f>
        <v>270166999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380934674</v>
      </c>
      <c r="D144" s="205">
        <f>+D51</f>
        <v>368919678</v>
      </c>
      <c r="E144" s="205">
        <f>+E51</f>
        <v>355419733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115894216</v>
      </c>
      <c r="D145" s="205">
        <f>+D55</f>
        <v>119262290</v>
      </c>
      <c r="E145" s="205">
        <f>+E55</f>
        <v>129340113</v>
      </c>
    </row>
    <row r="146" spans="1:7" ht="20.100000000000001" customHeight="1" x14ac:dyDescent="0.2">
      <c r="A146" s="202">
        <v>11</v>
      </c>
      <c r="B146" s="201" t="s">
        <v>392</v>
      </c>
      <c r="C146" s="204">
        <v>23283208</v>
      </c>
      <c r="D146" s="205">
        <v>25913777</v>
      </c>
      <c r="E146" s="205">
        <v>23806973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22034089</v>
      </c>
      <c r="D147" s="205">
        <f>+D47</f>
        <v>20511522</v>
      </c>
      <c r="E147" s="205">
        <f>+E47</f>
        <v>20581913</v>
      </c>
    </row>
    <row r="148" spans="1:7" ht="20.100000000000001" customHeight="1" x14ac:dyDescent="0.2">
      <c r="A148" s="202">
        <v>13</v>
      </c>
      <c r="B148" s="201" t="s">
        <v>394</v>
      </c>
      <c r="C148" s="206">
        <v>962123</v>
      </c>
      <c r="D148" s="205">
        <v>1179416</v>
      </c>
      <c r="E148" s="205">
        <v>1424318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829275234</v>
      </c>
      <c r="D149" s="205">
        <f>SUM(D143:D148)</f>
        <v>826891625</v>
      </c>
      <c r="E149" s="205">
        <f>SUM(E143:E148)</f>
        <v>800740049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0.46346339194453534</v>
      </c>
      <c r="D152" s="203">
        <f>IF(D166=0,0,D160/D166)</f>
        <v>0.48193510683286561</v>
      </c>
      <c r="E152" s="203">
        <f>IF(E166=0,0,E160/E166)</f>
        <v>0.45769967285949853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0.39812138593254148</v>
      </c>
      <c r="D153" s="203">
        <f>IF(D166=0,0,D161/D166)</f>
        <v>0.38282129828710199</v>
      </c>
      <c r="E153" s="203">
        <f>IF(E166=0,0,E161/E166)</f>
        <v>0.36963328479544705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0.11005987011247881</v>
      </c>
      <c r="D154" s="203">
        <f>IF(D166=0,0,D162/D166)</f>
        <v>0.11397302119550078</v>
      </c>
      <c r="E154" s="203">
        <f>IF(E166=0,0,E162/E166)</f>
        <v>0.14135677917019054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1.2875076923960657E-2</v>
      </c>
      <c r="D155" s="203">
        <f>IF(D166=0,0,D163/D166)</f>
        <v>1.3061573244731733E-2</v>
      </c>
      <c r="E155" s="203">
        <f>IF(E166=0,0,E163/E166)</f>
        <v>1.2764740290878492E-2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1.4625781404390702E-2</v>
      </c>
      <c r="D156" s="203">
        <f>IF(D166=0,0,D164/D166)</f>
        <v>7.1664241379532116E-3</v>
      </c>
      <c r="E156" s="203">
        <f>IF(E166=0,0,E164/E166)</f>
        <v>1.7446332955492711E-2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8.5449368209300567E-4</v>
      </c>
      <c r="D157" s="203">
        <f>IF(D166=0,0,D165/D166)</f>
        <v>1.0425763018466743E-3</v>
      </c>
      <c r="E157" s="203">
        <f>IF(E166=0,0,E165/E166)</f>
        <v>1.0991899284926914E-3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1.0000000000000002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149747241</v>
      </c>
      <c r="D160" s="208">
        <f>+D44-D164</f>
        <v>165907135</v>
      </c>
      <c r="E160" s="208">
        <f>+E44-E164</f>
        <v>159605902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128634926</v>
      </c>
      <c r="D161" s="208">
        <f>+D50</f>
        <v>131787006</v>
      </c>
      <c r="E161" s="208">
        <f>+E50</f>
        <v>128895993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35560871</v>
      </c>
      <c r="D162" s="208">
        <f>+D54</f>
        <v>39235443</v>
      </c>
      <c r="E162" s="208">
        <f>+E54</f>
        <v>49292970</v>
      </c>
    </row>
    <row r="163" spans="1:6" ht="20.100000000000001" customHeight="1" x14ac:dyDescent="0.2">
      <c r="A163" s="202">
        <v>11</v>
      </c>
      <c r="B163" s="201" t="s">
        <v>408</v>
      </c>
      <c r="C163" s="207">
        <v>4159999</v>
      </c>
      <c r="D163" s="208">
        <v>4496473</v>
      </c>
      <c r="E163" s="208">
        <v>4451233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4725660</v>
      </c>
      <c r="D164" s="208">
        <f>+D45</f>
        <v>2467056</v>
      </c>
      <c r="E164" s="208">
        <f>+E45</f>
        <v>6083766</v>
      </c>
    </row>
    <row r="165" spans="1:6" ht="20.100000000000001" customHeight="1" x14ac:dyDescent="0.2">
      <c r="A165" s="202">
        <v>13</v>
      </c>
      <c r="B165" s="201" t="s">
        <v>410</v>
      </c>
      <c r="C165" s="209">
        <v>276091</v>
      </c>
      <c r="D165" s="208">
        <v>358909</v>
      </c>
      <c r="E165" s="208">
        <v>383302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323104788</v>
      </c>
      <c r="D166" s="208">
        <f>SUM(D160:D165)</f>
        <v>344252022</v>
      </c>
      <c r="E166" s="208">
        <f>SUM(E160:E165)</f>
        <v>348713166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7193</v>
      </c>
      <c r="D169" s="198">
        <v>6963</v>
      </c>
      <c r="E169" s="198">
        <v>6207</v>
      </c>
    </row>
    <row r="170" spans="1:6" ht="20.100000000000001" customHeight="1" x14ac:dyDescent="0.2">
      <c r="A170" s="202">
        <v>2</v>
      </c>
      <c r="B170" s="201" t="s">
        <v>414</v>
      </c>
      <c r="C170" s="198">
        <v>9670</v>
      </c>
      <c r="D170" s="198">
        <v>9221</v>
      </c>
      <c r="E170" s="198">
        <v>8738</v>
      </c>
    </row>
    <row r="171" spans="1:6" ht="20.100000000000001" customHeight="1" x14ac:dyDescent="0.2">
      <c r="A171" s="202">
        <v>3</v>
      </c>
      <c r="B171" s="201" t="s">
        <v>415</v>
      </c>
      <c r="C171" s="198">
        <v>4074</v>
      </c>
      <c r="D171" s="198">
        <v>3850</v>
      </c>
      <c r="E171" s="198">
        <v>4535</v>
      </c>
    </row>
    <row r="172" spans="1:6" ht="20.100000000000001" customHeight="1" x14ac:dyDescent="0.2">
      <c r="A172" s="202">
        <v>4</v>
      </c>
      <c r="B172" s="201" t="s">
        <v>416</v>
      </c>
      <c r="C172" s="198">
        <v>3466</v>
      </c>
      <c r="D172" s="198">
        <v>3283</v>
      </c>
      <c r="E172" s="198">
        <v>4042</v>
      </c>
    </row>
    <row r="173" spans="1:6" ht="20.100000000000001" customHeight="1" x14ac:dyDescent="0.2">
      <c r="A173" s="202">
        <v>5</v>
      </c>
      <c r="B173" s="201" t="s">
        <v>417</v>
      </c>
      <c r="C173" s="198">
        <v>608</v>
      </c>
      <c r="D173" s="198">
        <v>567</v>
      </c>
      <c r="E173" s="198">
        <v>493</v>
      </c>
    </row>
    <row r="174" spans="1:6" ht="20.100000000000001" customHeight="1" x14ac:dyDescent="0.2">
      <c r="A174" s="202">
        <v>6</v>
      </c>
      <c r="B174" s="201" t="s">
        <v>418</v>
      </c>
      <c r="C174" s="198">
        <v>44</v>
      </c>
      <c r="D174" s="198">
        <v>33</v>
      </c>
      <c r="E174" s="198">
        <v>37</v>
      </c>
    </row>
    <row r="175" spans="1:6" ht="20.100000000000001" customHeight="1" x14ac:dyDescent="0.2">
      <c r="A175" s="202">
        <v>7</v>
      </c>
      <c r="B175" s="201" t="s">
        <v>419</v>
      </c>
      <c r="C175" s="198">
        <v>498</v>
      </c>
      <c r="D175" s="198">
        <v>460</v>
      </c>
      <c r="E175" s="198">
        <v>334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20981</v>
      </c>
      <c r="D176" s="198">
        <f>+D169+D170+D171+D174</f>
        <v>20067</v>
      </c>
      <c r="E176" s="198">
        <f>+E169+E170+E171+E174</f>
        <v>19517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1.0466</v>
      </c>
      <c r="D179" s="210">
        <v>1.0719000000000001</v>
      </c>
      <c r="E179" s="210">
        <v>1.1018399999999999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1.3036000000000001</v>
      </c>
      <c r="D180" s="210">
        <v>1.3560000000000001</v>
      </c>
      <c r="E180" s="210">
        <v>1.3634299999999999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0.89710000000000001</v>
      </c>
      <c r="D181" s="210">
        <v>0.91917700000000002</v>
      </c>
      <c r="E181" s="210">
        <v>0.96284700000000001</v>
      </c>
    </row>
    <row r="182" spans="1:6" ht="20.100000000000001" customHeight="1" x14ac:dyDescent="0.2">
      <c r="A182" s="202">
        <v>4</v>
      </c>
      <c r="B182" s="201" t="s">
        <v>416</v>
      </c>
      <c r="C182" s="210">
        <v>0.87270000000000003</v>
      </c>
      <c r="D182" s="210">
        <v>0.89039999999999997</v>
      </c>
      <c r="E182" s="210">
        <v>0.92566999999999999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1.0362</v>
      </c>
      <c r="D183" s="210">
        <v>1.0858000000000001</v>
      </c>
      <c r="E183" s="210">
        <v>1.26766</v>
      </c>
    </row>
    <row r="184" spans="1:6" ht="20.100000000000001" customHeight="1" x14ac:dyDescent="0.2">
      <c r="A184" s="202">
        <v>6</v>
      </c>
      <c r="B184" s="201" t="s">
        <v>418</v>
      </c>
      <c r="C184" s="210">
        <v>0.75370000000000004</v>
      </c>
      <c r="D184" s="210">
        <v>0.79620000000000002</v>
      </c>
      <c r="E184" s="210">
        <v>0.96677999999999997</v>
      </c>
    </row>
    <row r="185" spans="1:6" ht="20.100000000000001" customHeight="1" x14ac:dyDescent="0.2">
      <c r="A185" s="202">
        <v>7</v>
      </c>
      <c r="B185" s="201" t="s">
        <v>419</v>
      </c>
      <c r="C185" s="210">
        <v>0.94869999999999999</v>
      </c>
      <c r="D185" s="210">
        <v>1.0395000000000001</v>
      </c>
      <c r="E185" s="210">
        <v>0.91161000000000003</v>
      </c>
    </row>
    <row r="186" spans="1:6" ht="20.100000000000001" customHeight="1" x14ac:dyDescent="0.2">
      <c r="A186" s="202">
        <v>8</v>
      </c>
      <c r="B186" s="201" t="s">
        <v>423</v>
      </c>
      <c r="C186" s="210">
        <v>1.1354059999999999</v>
      </c>
      <c r="D186" s="210">
        <v>1.1726920000000001</v>
      </c>
      <c r="E186" s="210">
        <v>1.186404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15253</v>
      </c>
      <c r="D189" s="198">
        <v>15137</v>
      </c>
      <c r="E189" s="198">
        <v>15051</v>
      </c>
    </row>
    <row r="190" spans="1:6" ht="20.100000000000001" customHeight="1" x14ac:dyDescent="0.2">
      <c r="A190" s="202">
        <v>2</v>
      </c>
      <c r="B190" s="201" t="s">
        <v>427</v>
      </c>
      <c r="C190" s="198">
        <v>79483</v>
      </c>
      <c r="D190" s="198">
        <v>87919</v>
      </c>
      <c r="E190" s="198">
        <v>90611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94736</v>
      </c>
      <c r="D191" s="198">
        <f>+D190+D189</f>
        <v>103056</v>
      </c>
      <c r="E191" s="198">
        <f>+E190+E189</f>
        <v>105662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FILING&amp;RTHE HOSPITAL OF CENTRAL CONNECTICUT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8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1301300</v>
      </c>
      <c r="D14" s="237">
        <v>873447</v>
      </c>
      <c r="E14" s="237">
        <f t="shared" ref="E14:E24" si="0">D14-C14</f>
        <v>-427853</v>
      </c>
      <c r="F14" s="238">
        <f t="shared" ref="F14:F24" si="1">IF(C14=0,0,E14/C14)</f>
        <v>-0.32878890340428801</v>
      </c>
    </row>
    <row r="15" spans="1:7" ht="20.25" customHeight="1" x14ac:dyDescent="0.3">
      <c r="A15" s="235">
        <v>2</v>
      </c>
      <c r="B15" s="236" t="s">
        <v>435</v>
      </c>
      <c r="C15" s="237">
        <v>429224</v>
      </c>
      <c r="D15" s="237">
        <v>375241</v>
      </c>
      <c r="E15" s="237">
        <f t="shared" si="0"/>
        <v>-53983</v>
      </c>
      <c r="F15" s="238">
        <f t="shared" si="1"/>
        <v>-0.12576882932920805</v>
      </c>
    </row>
    <row r="16" spans="1:7" ht="20.25" customHeight="1" x14ac:dyDescent="0.3">
      <c r="A16" s="235">
        <v>3</v>
      </c>
      <c r="B16" s="236" t="s">
        <v>436</v>
      </c>
      <c r="C16" s="237">
        <v>528574</v>
      </c>
      <c r="D16" s="237">
        <v>774776</v>
      </c>
      <c r="E16" s="237">
        <f t="shared" si="0"/>
        <v>246202</v>
      </c>
      <c r="F16" s="238">
        <f t="shared" si="1"/>
        <v>0.4657853015850193</v>
      </c>
    </row>
    <row r="17" spans="1:6" ht="20.25" customHeight="1" x14ac:dyDescent="0.3">
      <c r="A17" s="235">
        <v>4</v>
      </c>
      <c r="B17" s="236" t="s">
        <v>437</v>
      </c>
      <c r="C17" s="237">
        <v>295758</v>
      </c>
      <c r="D17" s="237">
        <v>376208</v>
      </c>
      <c r="E17" s="237">
        <f t="shared" si="0"/>
        <v>80450</v>
      </c>
      <c r="F17" s="238">
        <f t="shared" si="1"/>
        <v>0.27201292948965033</v>
      </c>
    </row>
    <row r="18" spans="1:6" ht="20.25" customHeight="1" x14ac:dyDescent="0.3">
      <c r="A18" s="235">
        <v>5</v>
      </c>
      <c r="B18" s="236" t="s">
        <v>373</v>
      </c>
      <c r="C18" s="239">
        <v>40</v>
      </c>
      <c r="D18" s="239">
        <v>38</v>
      </c>
      <c r="E18" s="239">
        <f t="shared" si="0"/>
        <v>-2</v>
      </c>
      <c r="F18" s="238">
        <f t="shared" si="1"/>
        <v>-0.05</v>
      </c>
    </row>
    <row r="19" spans="1:6" ht="20.25" customHeight="1" x14ac:dyDescent="0.3">
      <c r="A19" s="235">
        <v>6</v>
      </c>
      <c r="B19" s="236" t="s">
        <v>372</v>
      </c>
      <c r="C19" s="239">
        <v>276</v>
      </c>
      <c r="D19" s="239">
        <v>158</v>
      </c>
      <c r="E19" s="239">
        <f t="shared" si="0"/>
        <v>-118</v>
      </c>
      <c r="F19" s="238">
        <f t="shared" si="1"/>
        <v>-0.42753623188405798</v>
      </c>
    </row>
    <row r="20" spans="1:6" ht="20.25" customHeight="1" x14ac:dyDescent="0.3">
      <c r="A20" s="235">
        <v>7</v>
      </c>
      <c r="B20" s="236" t="s">
        <v>438</v>
      </c>
      <c r="C20" s="239">
        <v>358</v>
      </c>
      <c r="D20" s="239">
        <v>423</v>
      </c>
      <c r="E20" s="239">
        <f t="shared" si="0"/>
        <v>65</v>
      </c>
      <c r="F20" s="238">
        <f t="shared" si="1"/>
        <v>0.18156424581005587</v>
      </c>
    </row>
    <row r="21" spans="1:6" ht="20.25" customHeight="1" x14ac:dyDescent="0.3">
      <c r="A21" s="235">
        <v>8</v>
      </c>
      <c r="B21" s="236" t="s">
        <v>439</v>
      </c>
      <c r="C21" s="239">
        <v>56</v>
      </c>
      <c r="D21" s="239">
        <v>63</v>
      </c>
      <c r="E21" s="239">
        <f t="shared" si="0"/>
        <v>7</v>
      </c>
      <c r="F21" s="238">
        <f t="shared" si="1"/>
        <v>0.125</v>
      </c>
    </row>
    <row r="22" spans="1:6" ht="20.25" customHeight="1" x14ac:dyDescent="0.3">
      <c r="A22" s="235">
        <v>9</v>
      </c>
      <c r="B22" s="236" t="s">
        <v>440</v>
      </c>
      <c r="C22" s="239">
        <v>24</v>
      </c>
      <c r="D22" s="239">
        <v>27</v>
      </c>
      <c r="E22" s="239">
        <f t="shared" si="0"/>
        <v>3</v>
      </c>
      <c r="F22" s="238">
        <f t="shared" si="1"/>
        <v>0.125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1829874</v>
      </c>
      <c r="D23" s="243">
        <f>+D14+D16</f>
        <v>1648223</v>
      </c>
      <c r="E23" s="243">
        <f t="shared" si="0"/>
        <v>-181651</v>
      </c>
      <c r="F23" s="244">
        <f t="shared" si="1"/>
        <v>-9.9269676491386835E-2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724982</v>
      </c>
      <c r="D24" s="243">
        <f>+D15+D17</f>
        <v>751449</v>
      </c>
      <c r="E24" s="243">
        <f t="shared" si="0"/>
        <v>26467</v>
      </c>
      <c r="F24" s="244">
        <f t="shared" si="1"/>
        <v>3.6507113280053849E-2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11868</v>
      </c>
      <c r="D27" s="237">
        <v>11921</v>
      </c>
      <c r="E27" s="237">
        <f t="shared" ref="E27:E37" si="2">D27-C27</f>
        <v>53</v>
      </c>
      <c r="F27" s="238">
        <f t="shared" ref="F27:F37" si="3">IF(C27=0,0,E27/C27)</f>
        <v>4.4657903606336365E-3</v>
      </c>
    </row>
    <row r="28" spans="1:6" ht="20.25" customHeight="1" x14ac:dyDescent="0.3">
      <c r="A28" s="235">
        <v>2</v>
      </c>
      <c r="B28" s="236" t="s">
        <v>435</v>
      </c>
      <c r="C28" s="237">
        <v>6345</v>
      </c>
      <c r="D28" s="237">
        <v>6659</v>
      </c>
      <c r="E28" s="237">
        <f t="shared" si="2"/>
        <v>314</v>
      </c>
      <c r="F28" s="238">
        <f t="shared" si="3"/>
        <v>4.9487785657998426E-2</v>
      </c>
    </row>
    <row r="29" spans="1:6" ht="20.25" customHeight="1" x14ac:dyDescent="0.3">
      <c r="A29" s="235">
        <v>3</v>
      </c>
      <c r="B29" s="236" t="s">
        <v>436</v>
      </c>
      <c r="C29" s="237">
        <v>13724</v>
      </c>
      <c r="D29" s="237">
        <v>73836</v>
      </c>
      <c r="E29" s="237">
        <f t="shared" si="2"/>
        <v>60112</v>
      </c>
      <c r="F29" s="238">
        <f t="shared" si="3"/>
        <v>4.3800641212474494</v>
      </c>
    </row>
    <row r="30" spans="1:6" ht="20.25" customHeight="1" x14ac:dyDescent="0.3">
      <c r="A30" s="235">
        <v>4</v>
      </c>
      <c r="B30" s="236" t="s">
        <v>437</v>
      </c>
      <c r="C30" s="237">
        <v>3987</v>
      </c>
      <c r="D30" s="237">
        <v>26405</v>
      </c>
      <c r="E30" s="237">
        <f t="shared" si="2"/>
        <v>22418</v>
      </c>
      <c r="F30" s="238">
        <f t="shared" si="3"/>
        <v>5.6227740155505392</v>
      </c>
    </row>
    <row r="31" spans="1:6" ht="20.25" customHeight="1" x14ac:dyDescent="0.3">
      <c r="A31" s="235">
        <v>5</v>
      </c>
      <c r="B31" s="236" t="s">
        <v>373</v>
      </c>
      <c r="C31" s="239">
        <v>1</v>
      </c>
      <c r="D31" s="239">
        <v>1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1</v>
      </c>
      <c r="D32" s="239">
        <v>1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10</v>
      </c>
      <c r="D33" s="239">
        <v>39</v>
      </c>
      <c r="E33" s="239">
        <f t="shared" si="2"/>
        <v>29</v>
      </c>
      <c r="F33" s="238">
        <f t="shared" si="3"/>
        <v>2.9</v>
      </c>
    </row>
    <row r="34" spans="1:6" ht="20.25" customHeight="1" x14ac:dyDescent="0.3">
      <c r="A34" s="235">
        <v>8</v>
      </c>
      <c r="B34" s="236" t="s">
        <v>439</v>
      </c>
      <c r="C34" s="239">
        <v>2</v>
      </c>
      <c r="D34" s="239">
        <v>6</v>
      </c>
      <c r="E34" s="239">
        <f t="shared" si="2"/>
        <v>4</v>
      </c>
      <c r="F34" s="238">
        <f t="shared" si="3"/>
        <v>2</v>
      </c>
    </row>
    <row r="35" spans="1:6" ht="20.25" customHeight="1" x14ac:dyDescent="0.3">
      <c r="A35" s="235">
        <v>9</v>
      </c>
      <c r="B35" s="236" t="s">
        <v>440</v>
      </c>
      <c r="C35" s="239">
        <v>1</v>
      </c>
      <c r="D35" s="239">
        <v>2</v>
      </c>
      <c r="E35" s="239">
        <f t="shared" si="2"/>
        <v>1</v>
      </c>
      <c r="F35" s="238">
        <f t="shared" si="3"/>
        <v>1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25592</v>
      </c>
      <c r="D36" s="243">
        <f>+D27+D29</f>
        <v>85757</v>
      </c>
      <c r="E36" s="243">
        <f t="shared" si="2"/>
        <v>60165</v>
      </c>
      <c r="F36" s="244">
        <f t="shared" si="3"/>
        <v>2.3509299781181618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10332</v>
      </c>
      <c r="D37" s="243">
        <f>+D28+D30</f>
        <v>33064</v>
      </c>
      <c r="E37" s="243">
        <f t="shared" si="2"/>
        <v>22732</v>
      </c>
      <c r="F37" s="244">
        <f t="shared" si="3"/>
        <v>2.2001548586914441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6043710</v>
      </c>
      <c r="D40" s="237">
        <v>7142014</v>
      </c>
      <c r="E40" s="237">
        <f t="shared" ref="E40:E50" si="4">D40-C40</f>
        <v>1098304</v>
      </c>
      <c r="F40" s="238">
        <f t="shared" ref="F40:F50" si="5">IF(C40=0,0,E40/C40)</f>
        <v>0.18172678702320263</v>
      </c>
    </row>
    <row r="41" spans="1:6" ht="20.25" customHeight="1" x14ac:dyDescent="0.3">
      <c r="A41" s="235">
        <v>2</v>
      </c>
      <c r="B41" s="236" t="s">
        <v>435</v>
      </c>
      <c r="C41" s="237">
        <v>2469976</v>
      </c>
      <c r="D41" s="237">
        <v>2909932</v>
      </c>
      <c r="E41" s="237">
        <f t="shared" si="4"/>
        <v>439956</v>
      </c>
      <c r="F41" s="238">
        <f t="shared" si="5"/>
        <v>0.17812156879257127</v>
      </c>
    </row>
    <row r="42" spans="1:6" ht="20.25" customHeight="1" x14ac:dyDescent="0.3">
      <c r="A42" s="235">
        <v>3</v>
      </c>
      <c r="B42" s="236" t="s">
        <v>436</v>
      </c>
      <c r="C42" s="237">
        <v>4931015</v>
      </c>
      <c r="D42" s="237">
        <v>4931956</v>
      </c>
      <c r="E42" s="237">
        <f t="shared" si="4"/>
        <v>941</v>
      </c>
      <c r="F42" s="238">
        <f t="shared" si="5"/>
        <v>1.9083292182238342E-4</v>
      </c>
    </row>
    <row r="43" spans="1:6" ht="20.25" customHeight="1" x14ac:dyDescent="0.3">
      <c r="A43" s="235">
        <v>4</v>
      </c>
      <c r="B43" s="236" t="s">
        <v>437</v>
      </c>
      <c r="C43" s="237">
        <v>1351169</v>
      </c>
      <c r="D43" s="237">
        <v>1388916</v>
      </c>
      <c r="E43" s="237">
        <f t="shared" si="4"/>
        <v>37747</v>
      </c>
      <c r="F43" s="238">
        <f t="shared" si="5"/>
        <v>2.7936549758024346E-2</v>
      </c>
    </row>
    <row r="44" spans="1:6" ht="20.25" customHeight="1" x14ac:dyDescent="0.3">
      <c r="A44" s="235">
        <v>5</v>
      </c>
      <c r="B44" s="236" t="s">
        <v>373</v>
      </c>
      <c r="C44" s="239">
        <v>214</v>
      </c>
      <c r="D44" s="239">
        <v>276</v>
      </c>
      <c r="E44" s="239">
        <f t="shared" si="4"/>
        <v>62</v>
      </c>
      <c r="F44" s="238">
        <f t="shared" si="5"/>
        <v>0.28971962616822428</v>
      </c>
    </row>
    <row r="45" spans="1:6" ht="20.25" customHeight="1" x14ac:dyDescent="0.3">
      <c r="A45" s="235">
        <v>6</v>
      </c>
      <c r="B45" s="236" t="s">
        <v>372</v>
      </c>
      <c r="C45" s="239">
        <v>1056</v>
      </c>
      <c r="D45" s="239">
        <v>1191</v>
      </c>
      <c r="E45" s="239">
        <f t="shared" si="4"/>
        <v>135</v>
      </c>
      <c r="F45" s="238">
        <f t="shared" si="5"/>
        <v>0.12784090909090909</v>
      </c>
    </row>
    <row r="46" spans="1:6" ht="20.25" customHeight="1" x14ac:dyDescent="0.3">
      <c r="A46" s="235">
        <v>7</v>
      </c>
      <c r="B46" s="236" t="s">
        <v>438</v>
      </c>
      <c r="C46" s="239">
        <v>2822</v>
      </c>
      <c r="D46" s="239">
        <v>3151</v>
      </c>
      <c r="E46" s="239">
        <f t="shared" si="4"/>
        <v>329</v>
      </c>
      <c r="F46" s="238">
        <f t="shared" si="5"/>
        <v>0.11658398299078668</v>
      </c>
    </row>
    <row r="47" spans="1:6" ht="20.25" customHeight="1" x14ac:dyDescent="0.3">
      <c r="A47" s="235">
        <v>8</v>
      </c>
      <c r="B47" s="236" t="s">
        <v>439</v>
      </c>
      <c r="C47" s="239">
        <v>442</v>
      </c>
      <c r="D47" s="239">
        <v>470</v>
      </c>
      <c r="E47" s="239">
        <f t="shared" si="4"/>
        <v>28</v>
      </c>
      <c r="F47" s="238">
        <f t="shared" si="5"/>
        <v>6.3348416289592757E-2</v>
      </c>
    </row>
    <row r="48" spans="1:6" ht="20.25" customHeight="1" x14ac:dyDescent="0.3">
      <c r="A48" s="235">
        <v>9</v>
      </c>
      <c r="B48" s="236" t="s">
        <v>440</v>
      </c>
      <c r="C48" s="239">
        <v>188</v>
      </c>
      <c r="D48" s="239">
        <v>199</v>
      </c>
      <c r="E48" s="239">
        <f t="shared" si="4"/>
        <v>11</v>
      </c>
      <c r="F48" s="238">
        <f t="shared" si="5"/>
        <v>5.8510638297872342E-2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10974725</v>
      </c>
      <c r="D49" s="243">
        <f>+D40+D42</f>
        <v>12073970</v>
      </c>
      <c r="E49" s="243">
        <f t="shared" si="4"/>
        <v>1099245</v>
      </c>
      <c r="F49" s="244">
        <f t="shared" si="5"/>
        <v>0.10016150746374054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3821145</v>
      </c>
      <c r="D50" s="243">
        <f>+D41+D43</f>
        <v>4298848</v>
      </c>
      <c r="E50" s="243">
        <f t="shared" si="4"/>
        <v>477703</v>
      </c>
      <c r="F50" s="244">
        <f t="shared" si="5"/>
        <v>0.12501566938705544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20700985</v>
      </c>
      <c r="D53" s="237">
        <v>21494668</v>
      </c>
      <c r="E53" s="237">
        <f t="shared" ref="E53:E63" si="6">D53-C53</f>
        <v>793683</v>
      </c>
      <c r="F53" s="238">
        <f t="shared" ref="F53:F63" si="7">IF(C53=0,0,E53/C53)</f>
        <v>3.834034950510809E-2</v>
      </c>
    </row>
    <row r="54" spans="1:6" ht="20.25" customHeight="1" x14ac:dyDescent="0.3">
      <c r="A54" s="235">
        <v>2</v>
      </c>
      <c r="B54" s="236" t="s">
        <v>435</v>
      </c>
      <c r="C54" s="237">
        <v>7950052</v>
      </c>
      <c r="D54" s="237">
        <v>8224274</v>
      </c>
      <c r="E54" s="237">
        <f t="shared" si="6"/>
        <v>274222</v>
      </c>
      <c r="F54" s="238">
        <f t="shared" si="7"/>
        <v>3.4493107718037569E-2</v>
      </c>
    </row>
    <row r="55" spans="1:6" ht="20.25" customHeight="1" x14ac:dyDescent="0.3">
      <c r="A55" s="235">
        <v>3</v>
      </c>
      <c r="B55" s="236" t="s">
        <v>436</v>
      </c>
      <c r="C55" s="237">
        <v>12044226</v>
      </c>
      <c r="D55" s="237">
        <v>11766586</v>
      </c>
      <c r="E55" s="237">
        <f t="shared" si="6"/>
        <v>-277640</v>
      </c>
      <c r="F55" s="238">
        <f t="shared" si="7"/>
        <v>-2.3051709590969149E-2</v>
      </c>
    </row>
    <row r="56" spans="1:6" ht="20.25" customHeight="1" x14ac:dyDescent="0.3">
      <c r="A56" s="235">
        <v>4</v>
      </c>
      <c r="B56" s="236" t="s">
        <v>437</v>
      </c>
      <c r="C56" s="237">
        <v>3559979</v>
      </c>
      <c r="D56" s="237">
        <v>3490085</v>
      </c>
      <c r="E56" s="237">
        <f t="shared" si="6"/>
        <v>-69894</v>
      </c>
      <c r="F56" s="238">
        <f t="shared" si="7"/>
        <v>-1.9633261881600986E-2</v>
      </c>
    </row>
    <row r="57" spans="1:6" ht="20.25" customHeight="1" x14ac:dyDescent="0.3">
      <c r="A57" s="235">
        <v>5</v>
      </c>
      <c r="B57" s="236" t="s">
        <v>373</v>
      </c>
      <c r="C57" s="239">
        <v>783</v>
      </c>
      <c r="D57" s="239">
        <v>800</v>
      </c>
      <c r="E57" s="239">
        <f t="shared" si="6"/>
        <v>17</v>
      </c>
      <c r="F57" s="238">
        <f t="shared" si="7"/>
        <v>2.1711366538952746E-2</v>
      </c>
    </row>
    <row r="58" spans="1:6" ht="20.25" customHeight="1" x14ac:dyDescent="0.3">
      <c r="A58" s="235">
        <v>6</v>
      </c>
      <c r="B58" s="236" t="s">
        <v>372</v>
      </c>
      <c r="C58" s="239">
        <v>3868</v>
      </c>
      <c r="D58" s="239">
        <v>3747</v>
      </c>
      <c r="E58" s="239">
        <f t="shared" si="6"/>
        <v>-121</v>
      </c>
      <c r="F58" s="238">
        <f t="shared" si="7"/>
        <v>-3.1282316442605998E-2</v>
      </c>
    </row>
    <row r="59" spans="1:6" ht="20.25" customHeight="1" x14ac:dyDescent="0.3">
      <c r="A59" s="235">
        <v>7</v>
      </c>
      <c r="B59" s="236" t="s">
        <v>438</v>
      </c>
      <c r="C59" s="239">
        <v>6622</v>
      </c>
      <c r="D59" s="239">
        <v>7431</v>
      </c>
      <c r="E59" s="239">
        <f t="shared" si="6"/>
        <v>809</v>
      </c>
      <c r="F59" s="238">
        <f t="shared" si="7"/>
        <v>0.12216852914527333</v>
      </c>
    </row>
    <row r="60" spans="1:6" ht="20.25" customHeight="1" x14ac:dyDescent="0.3">
      <c r="A60" s="235">
        <v>8</v>
      </c>
      <c r="B60" s="236" t="s">
        <v>439</v>
      </c>
      <c r="C60" s="239">
        <v>1038</v>
      </c>
      <c r="D60" s="239">
        <v>1105</v>
      </c>
      <c r="E60" s="239">
        <f t="shared" si="6"/>
        <v>67</v>
      </c>
      <c r="F60" s="238">
        <f t="shared" si="7"/>
        <v>6.454720616570328E-2</v>
      </c>
    </row>
    <row r="61" spans="1:6" ht="20.25" customHeight="1" x14ac:dyDescent="0.3">
      <c r="A61" s="235">
        <v>9</v>
      </c>
      <c r="B61" s="236" t="s">
        <v>440</v>
      </c>
      <c r="C61" s="239">
        <v>441</v>
      </c>
      <c r="D61" s="239">
        <v>470</v>
      </c>
      <c r="E61" s="239">
        <f t="shared" si="6"/>
        <v>29</v>
      </c>
      <c r="F61" s="238">
        <f t="shared" si="7"/>
        <v>6.5759637188208611E-2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32745211</v>
      </c>
      <c r="D62" s="243">
        <f>+D53+D55</f>
        <v>33261254</v>
      </c>
      <c r="E62" s="243">
        <f t="shared" si="6"/>
        <v>516043</v>
      </c>
      <c r="F62" s="244">
        <f t="shared" si="7"/>
        <v>1.575934264097428E-2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11510031</v>
      </c>
      <c r="D63" s="243">
        <f>+D54+D56</f>
        <v>11714359</v>
      </c>
      <c r="E63" s="243">
        <f t="shared" si="6"/>
        <v>204328</v>
      </c>
      <c r="F63" s="244">
        <f t="shared" si="7"/>
        <v>1.7752167652719614E-2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7921711</v>
      </c>
      <c r="D66" s="237">
        <v>3000011</v>
      </c>
      <c r="E66" s="237">
        <f t="shared" ref="E66:E76" si="8">D66-C66</f>
        <v>-4921700</v>
      </c>
      <c r="F66" s="238">
        <f t="shared" ref="F66:F76" si="9">IF(C66=0,0,E66/C66)</f>
        <v>-0.62129254652183097</v>
      </c>
    </row>
    <row r="67" spans="1:6" ht="20.25" customHeight="1" x14ac:dyDescent="0.3">
      <c r="A67" s="235">
        <v>2</v>
      </c>
      <c r="B67" s="236" t="s">
        <v>435</v>
      </c>
      <c r="C67" s="237">
        <v>2944388</v>
      </c>
      <c r="D67" s="237">
        <v>1203951</v>
      </c>
      <c r="E67" s="237">
        <f t="shared" si="8"/>
        <v>-1740437</v>
      </c>
      <c r="F67" s="238">
        <f t="shared" si="9"/>
        <v>-0.59110314265647057</v>
      </c>
    </row>
    <row r="68" spans="1:6" ht="20.25" customHeight="1" x14ac:dyDescent="0.3">
      <c r="A68" s="235">
        <v>3</v>
      </c>
      <c r="B68" s="236" t="s">
        <v>436</v>
      </c>
      <c r="C68" s="237">
        <v>3603783</v>
      </c>
      <c r="D68" s="237">
        <v>1802094</v>
      </c>
      <c r="E68" s="237">
        <f t="shared" si="8"/>
        <v>-1801689</v>
      </c>
      <c r="F68" s="238">
        <f t="shared" si="9"/>
        <v>-0.4999438090473261</v>
      </c>
    </row>
    <row r="69" spans="1:6" ht="20.25" customHeight="1" x14ac:dyDescent="0.3">
      <c r="A69" s="235">
        <v>4</v>
      </c>
      <c r="B69" s="236" t="s">
        <v>437</v>
      </c>
      <c r="C69" s="237">
        <v>793534</v>
      </c>
      <c r="D69" s="237">
        <v>357761</v>
      </c>
      <c r="E69" s="237">
        <f t="shared" si="8"/>
        <v>-435773</v>
      </c>
      <c r="F69" s="238">
        <f t="shared" si="9"/>
        <v>-0.54915479361942898</v>
      </c>
    </row>
    <row r="70" spans="1:6" ht="20.25" customHeight="1" x14ac:dyDescent="0.3">
      <c r="A70" s="235">
        <v>5</v>
      </c>
      <c r="B70" s="236" t="s">
        <v>373</v>
      </c>
      <c r="C70" s="239">
        <v>320</v>
      </c>
      <c r="D70" s="239">
        <v>116</v>
      </c>
      <c r="E70" s="239">
        <f t="shared" si="8"/>
        <v>-204</v>
      </c>
      <c r="F70" s="238">
        <f t="shared" si="9"/>
        <v>-0.63749999999999996</v>
      </c>
    </row>
    <row r="71" spans="1:6" ht="20.25" customHeight="1" x14ac:dyDescent="0.3">
      <c r="A71" s="235">
        <v>6</v>
      </c>
      <c r="B71" s="236" t="s">
        <v>372</v>
      </c>
      <c r="C71" s="239">
        <v>1432</v>
      </c>
      <c r="D71" s="239">
        <v>539</v>
      </c>
      <c r="E71" s="239">
        <f t="shared" si="8"/>
        <v>-893</v>
      </c>
      <c r="F71" s="238">
        <f t="shared" si="9"/>
        <v>-0.62360335195530725</v>
      </c>
    </row>
    <row r="72" spans="1:6" ht="20.25" customHeight="1" x14ac:dyDescent="0.3">
      <c r="A72" s="235">
        <v>7</v>
      </c>
      <c r="B72" s="236" t="s">
        <v>438</v>
      </c>
      <c r="C72" s="239">
        <v>2014</v>
      </c>
      <c r="D72" s="239">
        <v>1097</v>
      </c>
      <c r="E72" s="239">
        <f t="shared" si="8"/>
        <v>-917</v>
      </c>
      <c r="F72" s="238">
        <f t="shared" si="9"/>
        <v>-0.45531281032770604</v>
      </c>
    </row>
    <row r="73" spans="1:6" ht="20.25" customHeight="1" x14ac:dyDescent="0.3">
      <c r="A73" s="235">
        <v>8</v>
      </c>
      <c r="B73" s="236" t="s">
        <v>439</v>
      </c>
      <c r="C73" s="239">
        <v>316</v>
      </c>
      <c r="D73" s="239">
        <v>163</v>
      </c>
      <c r="E73" s="239">
        <f t="shared" si="8"/>
        <v>-153</v>
      </c>
      <c r="F73" s="238">
        <f t="shared" si="9"/>
        <v>-0.48417721518987344</v>
      </c>
    </row>
    <row r="74" spans="1:6" ht="20.25" customHeight="1" x14ac:dyDescent="0.3">
      <c r="A74" s="235">
        <v>9</v>
      </c>
      <c r="B74" s="236" t="s">
        <v>440</v>
      </c>
      <c r="C74" s="239">
        <v>134</v>
      </c>
      <c r="D74" s="239">
        <v>69</v>
      </c>
      <c r="E74" s="239">
        <f t="shared" si="8"/>
        <v>-65</v>
      </c>
      <c r="F74" s="238">
        <f t="shared" si="9"/>
        <v>-0.48507462686567165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11525494</v>
      </c>
      <c r="D75" s="243">
        <f>+D66+D68</f>
        <v>4802105</v>
      </c>
      <c r="E75" s="243">
        <f t="shared" si="8"/>
        <v>-6723389</v>
      </c>
      <c r="F75" s="244">
        <f t="shared" si="9"/>
        <v>-0.5833493124025747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3737922</v>
      </c>
      <c r="D76" s="243">
        <f>+D67+D69</f>
        <v>1561712</v>
      </c>
      <c r="E76" s="243">
        <f t="shared" si="8"/>
        <v>-2176210</v>
      </c>
      <c r="F76" s="244">
        <f t="shared" si="9"/>
        <v>-0.58219780937108911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2215255</v>
      </c>
      <c r="D105" s="237">
        <v>1186796</v>
      </c>
      <c r="E105" s="237">
        <f t="shared" ref="E105:E115" si="14">D105-C105</f>
        <v>-1028459</v>
      </c>
      <c r="F105" s="238">
        <f t="shared" ref="F105:F115" si="15">IF(C105=0,0,E105/C105)</f>
        <v>-0.46426212783629878</v>
      </c>
    </row>
    <row r="106" spans="1:6" ht="20.25" customHeight="1" x14ac:dyDescent="0.3">
      <c r="A106" s="235">
        <v>2</v>
      </c>
      <c r="B106" s="236" t="s">
        <v>435</v>
      </c>
      <c r="C106" s="237">
        <v>572078</v>
      </c>
      <c r="D106" s="237">
        <v>462487</v>
      </c>
      <c r="E106" s="237">
        <f t="shared" si="14"/>
        <v>-109591</v>
      </c>
      <c r="F106" s="238">
        <f t="shared" si="15"/>
        <v>-0.19156653463338916</v>
      </c>
    </row>
    <row r="107" spans="1:6" ht="20.25" customHeight="1" x14ac:dyDescent="0.3">
      <c r="A107" s="235">
        <v>3</v>
      </c>
      <c r="B107" s="236" t="s">
        <v>436</v>
      </c>
      <c r="C107" s="237">
        <v>1363241</v>
      </c>
      <c r="D107" s="237">
        <v>944549</v>
      </c>
      <c r="E107" s="237">
        <f t="shared" si="14"/>
        <v>-418692</v>
      </c>
      <c r="F107" s="238">
        <f t="shared" si="15"/>
        <v>-0.30712984718035918</v>
      </c>
    </row>
    <row r="108" spans="1:6" ht="20.25" customHeight="1" x14ac:dyDescent="0.3">
      <c r="A108" s="235">
        <v>4</v>
      </c>
      <c r="B108" s="236" t="s">
        <v>437</v>
      </c>
      <c r="C108" s="237">
        <v>446177</v>
      </c>
      <c r="D108" s="237">
        <v>246113</v>
      </c>
      <c r="E108" s="237">
        <f t="shared" si="14"/>
        <v>-200064</v>
      </c>
      <c r="F108" s="238">
        <f t="shared" si="15"/>
        <v>-0.44839604013653772</v>
      </c>
    </row>
    <row r="109" spans="1:6" ht="20.25" customHeight="1" x14ac:dyDescent="0.3">
      <c r="A109" s="235">
        <v>5</v>
      </c>
      <c r="B109" s="236" t="s">
        <v>373</v>
      </c>
      <c r="C109" s="239">
        <v>89</v>
      </c>
      <c r="D109" s="239">
        <v>54</v>
      </c>
      <c r="E109" s="239">
        <f t="shared" si="14"/>
        <v>-35</v>
      </c>
      <c r="F109" s="238">
        <f t="shared" si="15"/>
        <v>-0.39325842696629215</v>
      </c>
    </row>
    <row r="110" spans="1:6" ht="20.25" customHeight="1" x14ac:dyDescent="0.3">
      <c r="A110" s="235">
        <v>6</v>
      </c>
      <c r="B110" s="236" t="s">
        <v>372</v>
      </c>
      <c r="C110" s="239">
        <v>508</v>
      </c>
      <c r="D110" s="239">
        <v>190</v>
      </c>
      <c r="E110" s="239">
        <f t="shared" si="14"/>
        <v>-318</v>
      </c>
      <c r="F110" s="238">
        <f t="shared" si="15"/>
        <v>-0.62598425196850394</v>
      </c>
    </row>
    <row r="111" spans="1:6" ht="20.25" customHeight="1" x14ac:dyDescent="0.3">
      <c r="A111" s="235">
        <v>7</v>
      </c>
      <c r="B111" s="236" t="s">
        <v>438</v>
      </c>
      <c r="C111" s="239">
        <v>736</v>
      </c>
      <c r="D111" s="239">
        <v>541</v>
      </c>
      <c r="E111" s="239">
        <f t="shared" si="14"/>
        <v>-195</v>
      </c>
      <c r="F111" s="238">
        <f t="shared" si="15"/>
        <v>-0.26494565217391303</v>
      </c>
    </row>
    <row r="112" spans="1:6" ht="20.25" customHeight="1" x14ac:dyDescent="0.3">
      <c r="A112" s="235">
        <v>8</v>
      </c>
      <c r="B112" s="236" t="s">
        <v>439</v>
      </c>
      <c r="C112" s="239">
        <v>115</v>
      </c>
      <c r="D112" s="239">
        <v>80</v>
      </c>
      <c r="E112" s="239">
        <f t="shared" si="14"/>
        <v>-35</v>
      </c>
      <c r="F112" s="238">
        <f t="shared" si="15"/>
        <v>-0.30434782608695654</v>
      </c>
    </row>
    <row r="113" spans="1:6" ht="20.25" customHeight="1" x14ac:dyDescent="0.3">
      <c r="A113" s="235">
        <v>9</v>
      </c>
      <c r="B113" s="236" t="s">
        <v>440</v>
      </c>
      <c r="C113" s="239">
        <v>49</v>
      </c>
      <c r="D113" s="239">
        <v>34</v>
      </c>
      <c r="E113" s="239">
        <f t="shared" si="14"/>
        <v>-15</v>
      </c>
      <c r="F113" s="238">
        <f t="shared" si="15"/>
        <v>-0.30612244897959184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3578496</v>
      </c>
      <c r="D114" s="243">
        <f>+D105+D107</f>
        <v>2131345</v>
      </c>
      <c r="E114" s="243">
        <f t="shared" si="14"/>
        <v>-1447151</v>
      </c>
      <c r="F114" s="244">
        <f t="shared" si="15"/>
        <v>-0.40440201693672423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1018255</v>
      </c>
      <c r="D115" s="243">
        <f>+D106+D108</f>
        <v>708600</v>
      </c>
      <c r="E115" s="243">
        <f t="shared" si="14"/>
        <v>-309655</v>
      </c>
      <c r="F115" s="244">
        <f t="shared" si="15"/>
        <v>-0.30410358898311329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1587592</v>
      </c>
      <c r="D118" s="237">
        <v>3272085</v>
      </c>
      <c r="E118" s="237">
        <f t="shared" ref="E118:E128" si="16">D118-C118</f>
        <v>1684493</v>
      </c>
      <c r="F118" s="238">
        <f t="shared" ref="F118:F128" si="17">IF(C118=0,0,E118/C118)</f>
        <v>1.0610364627687718</v>
      </c>
    </row>
    <row r="119" spans="1:6" ht="20.25" customHeight="1" x14ac:dyDescent="0.3">
      <c r="A119" s="235">
        <v>2</v>
      </c>
      <c r="B119" s="236" t="s">
        <v>435</v>
      </c>
      <c r="C119" s="237">
        <v>697619</v>
      </c>
      <c r="D119" s="237">
        <v>1271360</v>
      </c>
      <c r="E119" s="237">
        <f t="shared" si="16"/>
        <v>573741</v>
      </c>
      <c r="F119" s="238">
        <f t="shared" si="17"/>
        <v>0.82242742815204284</v>
      </c>
    </row>
    <row r="120" spans="1:6" ht="20.25" customHeight="1" x14ac:dyDescent="0.3">
      <c r="A120" s="235">
        <v>3</v>
      </c>
      <c r="B120" s="236" t="s">
        <v>436</v>
      </c>
      <c r="C120" s="237">
        <v>1264025</v>
      </c>
      <c r="D120" s="237">
        <v>1964932</v>
      </c>
      <c r="E120" s="237">
        <f t="shared" si="16"/>
        <v>700907</v>
      </c>
      <c r="F120" s="238">
        <f t="shared" si="17"/>
        <v>0.55450406439746047</v>
      </c>
    </row>
    <row r="121" spans="1:6" ht="20.25" customHeight="1" x14ac:dyDescent="0.3">
      <c r="A121" s="235">
        <v>4</v>
      </c>
      <c r="B121" s="236" t="s">
        <v>437</v>
      </c>
      <c r="C121" s="237">
        <v>448072</v>
      </c>
      <c r="D121" s="237">
        <v>667864</v>
      </c>
      <c r="E121" s="237">
        <f t="shared" si="16"/>
        <v>219792</v>
      </c>
      <c r="F121" s="238">
        <f t="shared" si="17"/>
        <v>0.49052830795050795</v>
      </c>
    </row>
    <row r="122" spans="1:6" ht="20.25" customHeight="1" x14ac:dyDescent="0.3">
      <c r="A122" s="235">
        <v>5</v>
      </c>
      <c r="B122" s="236" t="s">
        <v>373</v>
      </c>
      <c r="C122" s="239">
        <v>61</v>
      </c>
      <c r="D122" s="239">
        <v>123</v>
      </c>
      <c r="E122" s="239">
        <f t="shared" si="16"/>
        <v>62</v>
      </c>
      <c r="F122" s="238">
        <f t="shared" si="17"/>
        <v>1.0163934426229508</v>
      </c>
    </row>
    <row r="123" spans="1:6" ht="20.25" customHeight="1" x14ac:dyDescent="0.3">
      <c r="A123" s="235">
        <v>6</v>
      </c>
      <c r="B123" s="236" t="s">
        <v>372</v>
      </c>
      <c r="C123" s="239">
        <v>294</v>
      </c>
      <c r="D123" s="239">
        <v>547</v>
      </c>
      <c r="E123" s="239">
        <f t="shared" si="16"/>
        <v>253</v>
      </c>
      <c r="F123" s="238">
        <f t="shared" si="17"/>
        <v>0.86054421768707479</v>
      </c>
    </row>
    <row r="124" spans="1:6" ht="20.25" customHeight="1" x14ac:dyDescent="0.3">
      <c r="A124" s="235">
        <v>7</v>
      </c>
      <c r="B124" s="236" t="s">
        <v>438</v>
      </c>
      <c r="C124" s="239">
        <v>676</v>
      </c>
      <c r="D124" s="239">
        <v>1204</v>
      </c>
      <c r="E124" s="239">
        <f t="shared" si="16"/>
        <v>528</v>
      </c>
      <c r="F124" s="238">
        <f t="shared" si="17"/>
        <v>0.78106508875739644</v>
      </c>
    </row>
    <row r="125" spans="1:6" ht="20.25" customHeight="1" x14ac:dyDescent="0.3">
      <c r="A125" s="235">
        <v>8</v>
      </c>
      <c r="B125" s="236" t="s">
        <v>439</v>
      </c>
      <c r="C125" s="239">
        <v>106</v>
      </c>
      <c r="D125" s="239">
        <v>179</v>
      </c>
      <c r="E125" s="239">
        <f t="shared" si="16"/>
        <v>73</v>
      </c>
      <c r="F125" s="238">
        <f t="shared" si="17"/>
        <v>0.68867924528301883</v>
      </c>
    </row>
    <row r="126" spans="1:6" ht="20.25" customHeight="1" x14ac:dyDescent="0.3">
      <c r="A126" s="235">
        <v>9</v>
      </c>
      <c r="B126" s="236" t="s">
        <v>440</v>
      </c>
      <c r="C126" s="239">
        <v>45</v>
      </c>
      <c r="D126" s="239">
        <v>76</v>
      </c>
      <c r="E126" s="239">
        <f t="shared" si="16"/>
        <v>31</v>
      </c>
      <c r="F126" s="238">
        <f t="shared" si="17"/>
        <v>0.68888888888888888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2851617</v>
      </c>
      <c r="D127" s="243">
        <f>+D118+D120</f>
        <v>5237017</v>
      </c>
      <c r="E127" s="243">
        <f t="shared" si="16"/>
        <v>2385400</v>
      </c>
      <c r="F127" s="244">
        <f t="shared" si="17"/>
        <v>0.83650784800343103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1145691</v>
      </c>
      <c r="D128" s="243">
        <f>+D119+D121</f>
        <v>1939224</v>
      </c>
      <c r="E128" s="243">
        <f t="shared" si="16"/>
        <v>793533</v>
      </c>
      <c r="F128" s="244">
        <f t="shared" si="17"/>
        <v>0.69262392739403555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6102878</v>
      </c>
      <c r="E144" s="237">
        <f t="shared" ref="E144:E154" si="20">D144-C144</f>
        <v>6102878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2003488</v>
      </c>
      <c r="E145" s="237">
        <f t="shared" si="20"/>
        <v>2003488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10038</v>
      </c>
      <c r="D146" s="237">
        <v>2513996</v>
      </c>
      <c r="E146" s="237">
        <f t="shared" si="20"/>
        <v>2503958</v>
      </c>
      <c r="F146" s="238">
        <f t="shared" si="21"/>
        <v>249.44789798764694</v>
      </c>
    </row>
    <row r="147" spans="1:6" ht="20.25" customHeight="1" x14ac:dyDescent="0.3">
      <c r="A147" s="235">
        <v>4</v>
      </c>
      <c r="B147" s="236" t="s">
        <v>437</v>
      </c>
      <c r="C147" s="237">
        <v>829</v>
      </c>
      <c r="D147" s="237">
        <v>680284</v>
      </c>
      <c r="E147" s="237">
        <f t="shared" si="20"/>
        <v>679455</v>
      </c>
      <c r="F147" s="238">
        <f t="shared" si="21"/>
        <v>819.60796139927629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210</v>
      </c>
      <c r="E148" s="239">
        <f t="shared" si="20"/>
        <v>210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964</v>
      </c>
      <c r="E149" s="239">
        <f t="shared" si="20"/>
        <v>964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11</v>
      </c>
      <c r="D150" s="239">
        <v>1307</v>
      </c>
      <c r="E150" s="239">
        <f t="shared" si="20"/>
        <v>1296</v>
      </c>
      <c r="F150" s="238">
        <f t="shared" si="21"/>
        <v>117.81818181818181</v>
      </c>
    </row>
    <row r="151" spans="1:6" ht="20.25" customHeight="1" x14ac:dyDescent="0.3">
      <c r="A151" s="235">
        <v>8</v>
      </c>
      <c r="B151" s="236" t="s">
        <v>439</v>
      </c>
      <c r="C151" s="239">
        <v>2</v>
      </c>
      <c r="D151" s="239">
        <v>194</v>
      </c>
      <c r="E151" s="239">
        <f t="shared" si="20"/>
        <v>192</v>
      </c>
      <c r="F151" s="238">
        <f t="shared" si="21"/>
        <v>96</v>
      </c>
    </row>
    <row r="152" spans="1:6" ht="20.25" customHeight="1" x14ac:dyDescent="0.3">
      <c r="A152" s="235">
        <v>9</v>
      </c>
      <c r="B152" s="236" t="s">
        <v>440</v>
      </c>
      <c r="C152" s="239">
        <v>1</v>
      </c>
      <c r="D152" s="239">
        <v>83</v>
      </c>
      <c r="E152" s="239">
        <f t="shared" si="20"/>
        <v>82</v>
      </c>
      <c r="F152" s="238">
        <f t="shared" si="21"/>
        <v>82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10038</v>
      </c>
      <c r="D153" s="243">
        <f>+D144+D146</f>
        <v>8616874</v>
      </c>
      <c r="E153" s="243">
        <f t="shared" si="20"/>
        <v>8606836</v>
      </c>
      <c r="F153" s="244">
        <f t="shared" si="21"/>
        <v>857.42538354253838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829</v>
      </c>
      <c r="D154" s="243">
        <f>+D145+D147</f>
        <v>2683772</v>
      </c>
      <c r="E154" s="243">
        <f t="shared" si="20"/>
        <v>2682943</v>
      </c>
      <c r="F154" s="244">
        <f t="shared" si="21"/>
        <v>3236.3606755126657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39782421</v>
      </c>
      <c r="D198" s="243">
        <f t="shared" si="28"/>
        <v>43083820</v>
      </c>
      <c r="E198" s="243">
        <f t="shared" ref="E198:E208" si="29">D198-C198</f>
        <v>3301399</v>
      </c>
      <c r="F198" s="251">
        <f t="shared" ref="F198:F208" si="30">IF(C198=0,0,E198/C198)</f>
        <v>8.2986377324798813E-2</v>
      </c>
    </row>
    <row r="199" spans="1:9" ht="20.25" customHeight="1" x14ac:dyDescent="0.3">
      <c r="A199" s="249"/>
      <c r="B199" s="250" t="s">
        <v>461</v>
      </c>
      <c r="C199" s="243">
        <f t="shared" si="28"/>
        <v>15069682</v>
      </c>
      <c r="D199" s="243">
        <f t="shared" si="28"/>
        <v>16457392</v>
      </c>
      <c r="E199" s="243">
        <f t="shared" si="29"/>
        <v>1387710</v>
      </c>
      <c r="F199" s="251">
        <f t="shared" si="30"/>
        <v>9.2086216550554947E-2</v>
      </c>
    </row>
    <row r="200" spans="1:9" ht="20.25" customHeight="1" x14ac:dyDescent="0.3">
      <c r="A200" s="249"/>
      <c r="B200" s="250" t="s">
        <v>462</v>
      </c>
      <c r="C200" s="243">
        <f t="shared" si="28"/>
        <v>23758626</v>
      </c>
      <c r="D200" s="243">
        <f t="shared" si="28"/>
        <v>24772725</v>
      </c>
      <c r="E200" s="243">
        <f t="shared" si="29"/>
        <v>1014099</v>
      </c>
      <c r="F200" s="251">
        <f t="shared" si="30"/>
        <v>4.2683402651314935E-2</v>
      </c>
    </row>
    <row r="201" spans="1:9" ht="20.25" customHeight="1" x14ac:dyDescent="0.3">
      <c r="A201" s="249"/>
      <c r="B201" s="250" t="s">
        <v>463</v>
      </c>
      <c r="C201" s="243">
        <f t="shared" si="28"/>
        <v>6899505</v>
      </c>
      <c r="D201" s="243">
        <f t="shared" si="28"/>
        <v>7233636</v>
      </c>
      <c r="E201" s="243">
        <f t="shared" si="29"/>
        <v>334131</v>
      </c>
      <c r="F201" s="251">
        <f t="shared" si="30"/>
        <v>4.8428256809727656E-2</v>
      </c>
    </row>
    <row r="202" spans="1:9" ht="20.25" customHeight="1" x14ac:dyDescent="0.3">
      <c r="A202" s="249"/>
      <c r="B202" s="250" t="s">
        <v>464</v>
      </c>
      <c r="C202" s="252">
        <f t="shared" si="28"/>
        <v>1508</v>
      </c>
      <c r="D202" s="252">
        <f t="shared" si="28"/>
        <v>1618</v>
      </c>
      <c r="E202" s="252">
        <f t="shared" si="29"/>
        <v>110</v>
      </c>
      <c r="F202" s="251">
        <f t="shared" si="30"/>
        <v>7.2944297082228118E-2</v>
      </c>
    </row>
    <row r="203" spans="1:9" ht="20.25" customHeight="1" x14ac:dyDescent="0.3">
      <c r="A203" s="249"/>
      <c r="B203" s="250" t="s">
        <v>465</v>
      </c>
      <c r="C203" s="252">
        <f t="shared" si="28"/>
        <v>7435</v>
      </c>
      <c r="D203" s="252">
        <f t="shared" si="28"/>
        <v>7337</v>
      </c>
      <c r="E203" s="252">
        <f t="shared" si="29"/>
        <v>-98</v>
      </c>
      <c r="F203" s="251">
        <f t="shared" si="30"/>
        <v>-1.3180901143241426E-2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13249</v>
      </c>
      <c r="D204" s="252">
        <f t="shared" si="28"/>
        <v>15193</v>
      </c>
      <c r="E204" s="252">
        <f t="shared" si="29"/>
        <v>1944</v>
      </c>
      <c r="F204" s="251">
        <f t="shared" si="30"/>
        <v>0.14672805494754321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2077</v>
      </c>
      <c r="D205" s="252">
        <f t="shared" si="28"/>
        <v>2260</v>
      </c>
      <c r="E205" s="252">
        <f t="shared" si="29"/>
        <v>183</v>
      </c>
      <c r="F205" s="251">
        <f t="shared" si="30"/>
        <v>8.8107847857486765E-2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883</v>
      </c>
      <c r="D206" s="252">
        <f t="shared" si="28"/>
        <v>960</v>
      </c>
      <c r="E206" s="252">
        <f t="shared" si="29"/>
        <v>77</v>
      </c>
      <c r="F206" s="251">
        <f t="shared" si="30"/>
        <v>8.7202718006795021E-2</v>
      </c>
    </row>
    <row r="207" spans="1:9" ht="20.25" customHeight="1" x14ac:dyDescent="0.3">
      <c r="A207" s="249"/>
      <c r="B207" s="242" t="s">
        <v>469</v>
      </c>
      <c r="C207" s="243">
        <f>+C198+C200</f>
        <v>63541047</v>
      </c>
      <c r="D207" s="243">
        <f>+D198+D200</f>
        <v>67856545</v>
      </c>
      <c r="E207" s="243">
        <f t="shared" si="29"/>
        <v>4315498</v>
      </c>
      <c r="F207" s="251">
        <f t="shared" si="30"/>
        <v>6.7916696430891363E-2</v>
      </c>
    </row>
    <row r="208" spans="1:9" ht="20.25" customHeight="1" x14ac:dyDescent="0.3">
      <c r="A208" s="249"/>
      <c r="B208" s="242" t="s">
        <v>470</v>
      </c>
      <c r="C208" s="243">
        <f>+C199+C201</f>
        <v>21969187</v>
      </c>
      <c r="D208" s="243">
        <f>+D199+D201</f>
        <v>23691028</v>
      </c>
      <c r="E208" s="243">
        <f t="shared" si="29"/>
        <v>1721841</v>
      </c>
      <c r="F208" s="251">
        <f t="shared" si="30"/>
        <v>7.8375271693030796E-2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4365099</v>
      </c>
      <c r="D14" s="237">
        <v>0</v>
      </c>
      <c r="E14" s="237">
        <f t="shared" ref="E14:E24" si="0">D14-C14</f>
        <v>-4365099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1364074</v>
      </c>
      <c r="D15" s="237">
        <v>0</v>
      </c>
      <c r="E15" s="237">
        <f t="shared" si="0"/>
        <v>-1364074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6903273</v>
      </c>
      <c r="D16" s="237">
        <v>0</v>
      </c>
      <c r="E16" s="237">
        <f t="shared" si="0"/>
        <v>-6903273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1922504</v>
      </c>
      <c r="D17" s="237">
        <v>0</v>
      </c>
      <c r="E17" s="237">
        <f t="shared" si="0"/>
        <v>-1922504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335</v>
      </c>
      <c r="D18" s="239">
        <v>0</v>
      </c>
      <c r="E18" s="239">
        <f t="shared" si="0"/>
        <v>-335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1043</v>
      </c>
      <c r="D19" s="239">
        <v>0</v>
      </c>
      <c r="E19" s="239">
        <f t="shared" si="0"/>
        <v>-1043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1386</v>
      </c>
      <c r="D20" s="239">
        <v>0</v>
      </c>
      <c r="E20" s="239">
        <f t="shared" si="0"/>
        <v>-1386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3668</v>
      </c>
      <c r="D21" s="239">
        <v>0</v>
      </c>
      <c r="E21" s="239">
        <f t="shared" si="0"/>
        <v>-3668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291</v>
      </c>
      <c r="D22" s="239">
        <v>0</v>
      </c>
      <c r="E22" s="239">
        <f t="shared" si="0"/>
        <v>-291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11268372</v>
      </c>
      <c r="D23" s="243">
        <f>+D14+D16</f>
        <v>0</v>
      </c>
      <c r="E23" s="243">
        <f t="shared" si="0"/>
        <v>-11268372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3286578</v>
      </c>
      <c r="D24" s="243">
        <f>+D15+D17</f>
        <v>0</v>
      </c>
      <c r="E24" s="243">
        <f t="shared" si="0"/>
        <v>-3286578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16230763</v>
      </c>
      <c r="D26" s="237">
        <v>21099890</v>
      </c>
      <c r="E26" s="237">
        <f t="shared" ref="E26:E36" si="2">D26-C26</f>
        <v>4869127</v>
      </c>
      <c r="F26" s="238">
        <f t="shared" ref="F26:F36" si="3">IF(C26=0,0,E26/C26)</f>
        <v>0.29999372179853773</v>
      </c>
    </row>
    <row r="27" spans="1:6" ht="20.25" customHeight="1" x14ac:dyDescent="0.3">
      <c r="A27" s="235">
        <v>2</v>
      </c>
      <c r="B27" s="236" t="s">
        <v>435</v>
      </c>
      <c r="C27" s="237">
        <v>5501091</v>
      </c>
      <c r="D27" s="237">
        <v>7347309</v>
      </c>
      <c r="E27" s="237">
        <f t="shared" si="2"/>
        <v>1846218</v>
      </c>
      <c r="F27" s="238">
        <f t="shared" si="3"/>
        <v>0.3356094272936041</v>
      </c>
    </row>
    <row r="28" spans="1:6" ht="20.25" customHeight="1" x14ac:dyDescent="0.3">
      <c r="A28" s="235">
        <v>3</v>
      </c>
      <c r="B28" s="236" t="s">
        <v>436</v>
      </c>
      <c r="C28" s="237">
        <v>30351634</v>
      </c>
      <c r="D28" s="237">
        <v>39257142</v>
      </c>
      <c r="E28" s="237">
        <f t="shared" si="2"/>
        <v>8905508</v>
      </c>
      <c r="F28" s="238">
        <f t="shared" si="3"/>
        <v>0.29341115539282003</v>
      </c>
    </row>
    <row r="29" spans="1:6" ht="20.25" customHeight="1" x14ac:dyDescent="0.3">
      <c r="A29" s="235">
        <v>4</v>
      </c>
      <c r="B29" s="236" t="s">
        <v>437</v>
      </c>
      <c r="C29" s="237">
        <v>12493243</v>
      </c>
      <c r="D29" s="237">
        <v>18406649</v>
      </c>
      <c r="E29" s="237">
        <f t="shared" si="2"/>
        <v>5913406</v>
      </c>
      <c r="F29" s="238">
        <f t="shared" si="3"/>
        <v>0.47332834236875088</v>
      </c>
    </row>
    <row r="30" spans="1:6" ht="20.25" customHeight="1" x14ac:dyDescent="0.3">
      <c r="A30" s="235">
        <v>5</v>
      </c>
      <c r="B30" s="236" t="s">
        <v>373</v>
      </c>
      <c r="C30" s="239">
        <v>1421</v>
      </c>
      <c r="D30" s="239">
        <v>2080</v>
      </c>
      <c r="E30" s="239">
        <f t="shared" si="2"/>
        <v>659</v>
      </c>
      <c r="F30" s="238">
        <f t="shared" si="3"/>
        <v>0.46375791695988738</v>
      </c>
    </row>
    <row r="31" spans="1:6" ht="20.25" customHeight="1" x14ac:dyDescent="0.3">
      <c r="A31" s="235">
        <v>6</v>
      </c>
      <c r="B31" s="236" t="s">
        <v>372</v>
      </c>
      <c r="C31" s="239">
        <v>4299</v>
      </c>
      <c r="D31" s="239">
        <v>5697</v>
      </c>
      <c r="E31" s="239">
        <f t="shared" si="2"/>
        <v>1398</v>
      </c>
      <c r="F31" s="238">
        <f t="shared" si="3"/>
        <v>0.32519190509420798</v>
      </c>
    </row>
    <row r="32" spans="1:6" ht="20.25" customHeight="1" x14ac:dyDescent="0.3">
      <c r="A32" s="235">
        <v>7</v>
      </c>
      <c r="B32" s="236" t="s">
        <v>438</v>
      </c>
      <c r="C32" s="239">
        <v>6884</v>
      </c>
      <c r="D32" s="239">
        <v>9799</v>
      </c>
      <c r="E32" s="239">
        <f t="shared" si="2"/>
        <v>2915</v>
      </c>
      <c r="F32" s="238">
        <f t="shared" si="3"/>
        <v>0.42344567112144105</v>
      </c>
    </row>
    <row r="33" spans="1:6" ht="20.25" customHeight="1" x14ac:dyDescent="0.3">
      <c r="A33" s="235">
        <v>8</v>
      </c>
      <c r="B33" s="236" t="s">
        <v>439</v>
      </c>
      <c r="C33" s="239">
        <v>18224</v>
      </c>
      <c r="D33" s="239">
        <v>24502</v>
      </c>
      <c r="E33" s="239">
        <f t="shared" si="2"/>
        <v>6278</v>
      </c>
      <c r="F33" s="238">
        <f t="shared" si="3"/>
        <v>0.34449078138718175</v>
      </c>
    </row>
    <row r="34" spans="1:6" ht="20.25" customHeight="1" x14ac:dyDescent="0.3">
      <c r="A34" s="235">
        <v>9</v>
      </c>
      <c r="B34" s="236" t="s">
        <v>440</v>
      </c>
      <c r="C34" s="239">
        <v>1444</v>
      </c>
      <c r="D34" s="239">
        <v>1888</v>
      </c>
      <c r="E34" s="239">
        <f t="shared" si="2"/>
        <v>444</v>
      </c>
      <c r="F34" s="238">
        <f t="shared" si="3"/>
        <v>0.30747922437673131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46582397</v>
      </c>
      <c r="D35" s="243">
        <f>+D26+D28</f>
        <v>60357032</v>
      </c>
      <c r="E35" s="243">
        <f t="shared" si="2"/>
        <v>13774635</v>
      </c>
      <c r="F35" s="244">
        <f t="shared" si="3"/>
        <v>0.29570472725995617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17994334</v>
      </c>
      <c r="D36" s="243">
        <f>+D27+D29</f>
        <v>25753958</v>
      </c>
      <c r="E36" s="243">
        <f t="shared" si="2"/>
        <v>7759624</v>
      </c>
      <c r="F36" s="244">
        <f t="shared" si="3"/>
        <v>0.43122596257244084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1037332</v>
      </c>
      <c r="D50" s="237">
        <v>0</v>
      </c>
      <c r="E50" s="237">
        <f t="shared" ref="E50:E60" si="6">D50-C50</f>
        <v>-1037332</v>
      </c>
      <c r="F50" s="238">
        <f t="shared" ref="F50:F60" si="7">IF(C50=0,0,E50/C50)</f>
        <v>-1</v>
      </c>
    </row>
    <row r="51" spans="1:6" ht="20.25" customHeight="1" x14ac:dyDescent="0.3">
      <c r="A51" s="235">
        <v>2</v>
      </c>
      <c r="B51" s="236" t="s">
        <v>435</v>
      </c>
      <c r="C51" s="237">
        <v>369581</v>
      </c>
      <c r="D51" s="237">
        <v>0</v>
      </c>
      <c r="E51" s="237">
        <f t="shared" si="6"/>
        <v>-369581</v>
      </c>
      <c r="F51" s="238">
        <f t="shared" si="7"/>
        <v>-1</v>
      </c>
    </row>
    <row r="52" spans="1:6" ht="20.25" customHeight="1" x14ac:dyDescent="0.3">
      <c r="A52" s="235">
        <v>3</v>
      </c>
      <c r="B52" s="236" t="s">
        <v>436</v>
      </c>
      <c r="C52" s="237">
        <v>1905328</v>
      </c>
      <c r="D52" s="237">
        <v>0</v>
      </c>
      <c r="E52" s="237">
        <f t="shared" si="6"/>
        <v>-1905328</v>
      </c>
      <c r="F52" s="238">
        <f t="shared" si="7"/>
        <v>-1</v>
      </c>
    </row>
    <row r="53" spans="1:6" ht="20.25" customHeight="1" x14ac:dyDescent="0.3">
      <c r="A53" s="235">
        <v>4</v>
      </c>
      <c r="B53" s="236" t="s">
        <v>437</v>
      </c>
      <c r="C53" s="237">
        <v>516539</v>
      </c>
      <c r="D53" s="237">
        <v>0</v>
      </c>
      <c r="E53" s="237">
        <f t="shared" si="6"/>
        <v>-516539</v>
      </c>
      <c r="F53" s="238">
        <f t="shared" si="7"/>
        <v>-1</v>
      </c>
    </row>
    <row r="54" spans="1:6" ht="20.25" customHeight="1" x14ac:dyDescent="0.3">
      <c r="A54" s="235">
        <v>5</v>
      </c>
      <c r="B54" s="236" t="s">
        <v>373</v>
      </c>
      <c r="C54" s="239">
        <v>79</v>
      </c>
      <c r="D54" s="239">
        <v>0</v>
      </c>
      <c r="E54" s="239">
        <f t="shared" si="6"/>
        <v>-79</v>
      </c>
      <c r="F54" s="238">
        <f t="shared" si="7"/>
        <v>-1</v>
      </c>
    </row>
    <row r="55" spans="1:6" ht="20.25" customHeight="1" x14ac:dyDescent="0.3">
      <c r="A55" s="235">
        <v>6</v>
      </c>
      <c r="B55" s="236" t="s">
        <v>372</v>
      </c>
      <c r="C55" s="239">
        <v>263</v>
      </c>
      <c r="D55" s="239">
        <v>0</v>
      </c>
      <c r="E55" s="239">
        <f t="shared" si="6"/>
        <v>-263</v>
      </c>
      <c r="F55" s="238">
        <f t="shared" si="7"/>
        <v>-1</v>
      </c>
    </row>
    <row r="56" spans="1:6" ht="20.25" customHeight="1" x14ac:dyDescent="0.3">
      <c r="A56" s="235">
        <v>7</v>
      </c>
      <c r="B56" s="236" t="s">
        <v>438</v>
      </c>
      <c r="C56" s="239">
        <v>379</v>
      </c>
      <c r="D56" s="239">
        <v>0</v>
      </c>
      <c r="E56" s="239">
        <f t="shared" si="6"/>
        <v>-379</v>
      </c>
      <c r="F56" s="238">
        <f t="shared" si="7"/>
        <v>-1</v>
      </c>
    </row>
    <row r="57" spans="1:6" ht="20.25" customHeight="1" x14ac:dyDescent="0.3">
      <c r="A57" s="235">
        <v>8</v>
      </c>
      <c r="B57" s="236" t="s">
        <v>439</v>
      </c>
      <c r="C57" s="239">
        <v>1002</v>
      </c>
      <c r="D57" s="239">
        <v>0</v>
      </c>
      <c r="E57" s="239">
        <f t="shared" si="6"/>
        <v>-1002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79</v>
      </c>
      <c r="D58" s="239">
        <v>0</v>
      </c>
      <c r="E58" s="239">
        <f t="shared" si="6"/>
        <v>-79</v>
      </c>
      <c r="F58" s="238">
        <f t="shared" si="7"/>
        <v>-1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2942660</v>
      </c>
      <c r="D59" s="243">
        <f>+D50+D52</f>
        <v>0</v>
      </c>
      <c r="E59" s="243">
        <f t="shared" si="6"/>
        <v>-2942660</v>
      </c>
      <c r="F59" s="244">
        <f t="shared" si="7"/>
        <v>-1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886120</v>
      </c>
      <c r="D60" s="243">
        <f>+D51+D53</f>
        <v>0</v>
      </c>
      <c r="E60" s="243">
        <f t="shared" si="6"/>
        <v>-886120</v>
      </c>
      <c r="F60" s="244">
        <f t="shared" si="7"/>
        <v>-1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2064962</v>
      </c>
      <c r="E86" s="237">
        <f t="shared" ref="E86:E96" si="12">D86-C86</f>
        <v>2064962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976203</v>
      </c>
      <c r="E87" s="237">
        <f t="shared" si="12"/>
        <v>976203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3075760</v>
      </c>
      <c r="E88" s="237">
        <f t="shared" si="12"/>
        <v>3075760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1078771</v>
      </c>
      <c r="E89" s="237">
        <f t="shared" si="12"/>
        <v>1078771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205</v>
      </c>
      <c r="E90" s="239">
        <f t="shared" si="12"/>
        <v>205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617</v>
      </c>
      <c r="E91" s="239">
        <f t="shared" si="12"/>
        <v>617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718</v>
      </c>
      <c r="E92" s="239">
        <f t="shared" si="12"/>
        <v>718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1795</v>
      </c>
      <c r="E93" s="239">
        <f t="shared" si="12"/>
        <v>1795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138</v>
      </c>
      <c r="E94" s="239">
        <f t="shared" si="12"/>
        <v>138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5140722</v>
      </c>
      <c r="E95" s="243">
        <f t="shared" si="12"/>
        <v>5140722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2054974</v>
      </c>
      <c r="E96" s="243">
        <f t="shared" si="12"/>
        <v>2054974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1306056</v>
      </c>
      <c r="D98" s="237">
        <v>1457156</v>
      </c>
      <c r="E98" s="237">
        <f t="shared" ref="E98:E108" si="14">D98-C98</f>
        <v>151100</v>
      </c>
      <c r="F98" s="238">
        <f t="shared" ref="F98:F108" si="15">IF(C98=0,0,E98/C98)</f>
        <v>0.11569182332151148</v>
      </c>
    </row>
    <row r="99" spans="1:7" ht="20.25" customHeight="1" x14ac:dyDescent="0.3">
      <c r="A99" s="235">
        <v>2</v>
      </c>
      <c r="B99" s="236" t="s">
        <v>435</v>
      </c>
      <c r="C99" s="237">
        <v>378805</v>
      </c>
      <c r="D99" s="237">
        <v>423371</v>
      </c>
      <c r="E99" s="237">
        <f t="shared" si="14"/>
        <v>44566</v>
      </c>
      <c r="F99" s="238">
        <f t="shared" si="15"/>
        <v>0.11764892226871346</v>
      </c>
    </row>
    <row r="100" spans="1:7" ht="20.25" customHeight="1" x14ac:dyDescent="0.3">
      <c r="A100" s="235">
        <v>3</v>
      </c>
      <c r="B100" s="236" t="s">
        <v>436</v>
      </c>
      <c r="C100" s="237">
        <v>2620127</v>
      </c>
      <c r="D100" s="237">
        <v>3152356</v>
      </c>
      <c r="E100" s="237">
        <f t="shared" si="14"/>
        <v>532229</v>
      </c>
      <c r="F100" s="238">
        <f t="shared" si="15"/>
        <v>0.20313099326864689</v>
      </c>
    </row>
    <row r="101" spans="1:7" ht="20.25" customHeight="1" x14ac:dyDescent="0.3">
      <c r="A101" s="235">
        <v>4</v>
      </c>
      <c r="B101" s="236" t="s">
        <v>437</v>
      </c>
      <c r="C101" s="237">
        <v>714264</v>
      </c>
      <c r="D101" s="237">
        <v>996592</v>
      </c>
      <c r="E101" s="237">
        <f t="shared" si="14"/>
        <v>282328</v>
      </c>
      <c r="F101" s="238">
        <f t="shared" si="15"/>
        <v>0.39527121624497386</v>
      </c>
    </row>
    <row r="102" spans="1:7" ht="20.25" customHeight="1" x14ac:dyDescent="0.3">
      <c r="A102" s="235">
        <v>5</v>
      </c>
      <c r="B102" s="236" t="s">
        <v>373</v>
      </c>
      <c r="C102" s="239">
        <v>100</v>
      </c>
      <c r="D102" s="239">
        <v>125</v>
      </c>
      <c r="E102" s="239">
        <f t="shared" si="14"/>
        <v>25</v>
      </c>
      <c r="F102" s="238">
        <f t="shared" si="15"/>
        <v>0.25</v>
      </c>
    </row>
    <row r="103" spans="1:7" ht="20.25" customHeight="1" x14ac:dyDescent="0.3">
      <c r="A103" s="235">
        <v>6</v>
      </c>
      <c r="B103" s="236" t="s">
        <v>372</v>
      </c>
      <c r="C103" s="239">
        <v>310</v>
      </c>
      <c r="D103" s="239">
        <v>325</v>
      </c>
      <c r="E103" s="239">
        <f t="shared" si="14"/>
        <v>15</v>
      </c>
      <c r="F103" s="238">
        <f t="shared" si="15"/>
        <v>4.8387096774193547E-2</v>
      </c>
    </row>
    <row r="104" spans="1:7" ht="20.25" customHeight="1" x14ac:dyDescent="0.3">
      <c r="A104" s="235">
        <v>7</v>
      </c>
      <c r="B104" s="236" t="s">
        <v>438</v>
      </c>
      <c r="C104" s="239">
        <v>437</v>
      </c>
      <c r="D104" s="239">
        <v>606</v>
      </c>
      <c r="E104" s="239">
        <f t="shared" si="14"/>
        <v>169</v>
      </c>
      <c r="F104" s="238">
        <f t="shared" si="15"/>
        <v>0.38672768878718533</v>
      </c>
    </row>
    <row r="105" spans="1:7" ht="20.25" customHeight="1" x14ac:dyDescent="0.3">
      <c r="A105" s="235">
        <v>8</v>
      </c>
      <c r="B105" s="236" t="s">
        <v>439</v>
      </c>
      <c r="C105" s="239">
        <v>1157</v>
      </c>
      <c r="D105" s="239">
        <v>1515</v>
      </c>
      <c r="E105" s="239">
        <f t="shared" si="14"/>
        <v>358</v>
      </c>
      <c r="F105" s="238">
        <f t="shared" si="15"/>
        <v>0.30942091616248918</v>
      </c>
    </row>
    <row r="106" spans="1:7" ht="20.25" customHeight="1" x14ac:dyDescent="0.3">
      <c r="A106" s="235">
        <v>9</v>
      </c>
      <c r="B106" s="236" t="s">
        <v>440</v>
      </c>
      <c r="C106" s="239">
        <v>92</v>
      </c>
      <c r="D106" s="239">
        <v>117</v>
      </c>
      <c r="E106" s="239">
        <f t="shared" si="14"/>
        <v>25</v>
      </c>
      <c r="F106" s="238">
        <f t="shared" si="15"/>
        <v>0.27173913043478259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3926183</v>
      </c>
      <c r="D107" s="243">
        <f>+D98+D100</f>
        <v>4609512</v>
      </c>
      <c r="E107" s="243">
        <f t="shared" si="14"/>
        <v>683329</v>
      </c>
      <c r="F107" s="244">
        <f t="shared" si="15"/>
        <v>0.17404410339507864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1093069</v>
      </c>
      <c r="D108" s="243">
        <f>+D99+D101</f>
        <v>1419963</v>
      </c>
      <c r="E108" s="243">
        <f t="shared" si="14"/>
        <v>326894</v>
      </c>
      <c r="F108" s="244">
        <f t="shared" si="15"/>
        <v>0.29906071803335382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22939250</v>
      </c>
      <c r="D112" s="243">
        <f t="shared" si="16"/>
        <v>24622008</v>
      </c>
      <c r="E112" s="243">
        <f t="shared" ref="E112:E122" si="17">D112-C112</f>
        <v>1682758</v>
      </c>
      <c r="F112" s="244">
        <f t="shared" ref="F112:F122" si="18">IF(C112=0,0,E112/C112)</f>
        <v>7.3357149863225696E-2</v>
      </c>
    </row>
    <row r="113" spans="1:6" ht="20.25" customHeight="1" x14ac:dyDescent="0.3">
      <c r="A113" s="249"/>
      <c r="B113" s="250" t="s">
        <v>461</v>
      </c>
      <c r="C113" s="243">
        <f t="shared" si="16"/>
        <v>7613551</v>
      </c>
      <c r="D113" s="243">
        <f t="shared" si="16"/>
        <v>8746883</v>
      </c>
      <c r="E113" s="243">
        <f t="shared" si="17"/>
        <v>1133332</v>
      </c>
      <c r="F113" s="244">
        <f t="shared" si="18"/>
        <v>0.14885721524686707</v>
      </c>
    </row>
    <row r="114" spans="1:6" ht="20.25" customHeight="1" x14ac:dyDescent="0.3">
      <c r="A114" s="249"/>
      <c r="B114" s="250" t="s">
        <v>462</v>
      </c>
      <c r="C114" s="243">
        <f t="shared" si="16"/>
        <v>41780362</v>
      </c>
      <c r="D114" s="243">
        <f t="shared" si="16"/>
        <v>45485258</v>
      </c>
      <c r="E114" s="243">
        <f t="shared" si="17"/>
        <v>3704896</v>
      </c>
      <c r="F114" s="244">
        <f t="shared" si="18"/>
        <v>8.8675536128672128E-2</v>
      </c>
    </row>
    <row r="115" spans="1:6" ht="20.25" customHeight="1" x14ac:dyDescent="0.3">
      <c r="A115" s="249"/>
      <c r="B115" s="250" t="s">
        <v>463</v>
      </c>
      <c r="C115" s="243">
        <f t="shared" si="16"/>
        <v>15646550</v>
      </c>
      <c r="D115" s="243">
        <f t="shared" si="16"/>
        <v>20482012</v>
      </c>
      <c r="E115" s="243">
        <f t="shared" si="17"/>
        <v>4835462</v>
      </c>
      <c r="F115" s="244">
        <f t="shared" si="18"/>
        <v>0.30904333543177248</v>
      </c>
    </row>
    <row r="116" spans="1:6" ht="20.25" customHeight="1" x14ac:dyDescent="0.3">
      <c r="A116" s="249"/>
      <c r="B116" s="250" t="s">
        <v>464</v>
      </c>
      <c r="C116" s="252">
        <f t="shared" si="16"/>
        <v>1935</v>
      </c>
      <c r="D116" s="252">
        <f t="shared" si="16"/>
        <v>2410</v>
      </c>
      <c r="E116" s="252">
        <f t="shared" si="17"/>
        <v>475</v>
      </c>
      <c r="F116" s="244">
        <f t="shared" si="18"/>
        <v>0.2454780361757106</v>
      </c>
    </row>
    <row r="117" spans="1:6" ht="20.25" customHeight="1" x14ac:dyDescent="0.3">
      <c r="A117" s="249"/>
      <c r="B117" s="250" t="s">
        <v>465</v>
      </c>
      <c r="C117" s="252">
        <f t="shared" si="16"/>
        <v>5915</v>
      </c>
      <c r="D117" s="252">
        <f t="shared" si="16"/>
        <v>6639</v>
      </c>
      <c r="E117" s="252">
        <f t="shared" si="17"/>
        <v>724</v>
      </c>
      <c r="F117" s="244">
        <f t="shared" si="18"/>
        <v>0.1224006762468301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9086</v>
      </c>
      <c r="D118" s="252">
        <f t="shared" si="16"/>
        <v>11123</v>
      </c>
      <c r="E118" s="252">
        <f t="shared" si="17"/>
        <v>2037</v>
      </c>
      <c r="F118" s="244">
        <f t="shared" si="18"/>
        <v>0.22419106317411402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24051</v>
      </c>
      <c r="D119" s="252">
        <f t="shared" si="16"/>
        <v>27812</v>
      </c>
      <c r="E119" s="252">
        <f t="shared" si="17"/>
        <v>3761</v>
      </c>
      <c r="F119" s="244">
        <f t="shared" si="18"/>
        <v>0.15637603426052971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1906</v>
      </c>
      <c r="D120" s="252">
        <f t="shared" si="16"/>
        <v>2143</v>
      </c>
      <c r="E120" s="252">
        <f t="shared" si="17"/>
        <v>237</v>
      </c>
      <c r="F120" s="244">
        <f t="shared" si="18"/>
        <v>0.12434417628541448</v>
      </c>
    </row>
    <row r="121" spans="1:6" ht="39.950000000000003" customHeight="1" x14ac:dyDescent="0.3">
      <c r="A121" s="249"/>
      <c r="B121" s="242" t="s">
        <v>441</v>
      </c>
      <c r="C121" s="243">
        <f>+C112+C114</f>
        <v>64719612</v>
      </c>
      <c r="D121" s="243">
        <f>+D112+D114</f>
        <v>70107266</v>
      </c>
      <c r="E121" s="243">
        <f t="shared" si="17"/>
        <v>5387654</v>
      </c>
      <c r="F121" s="244">
        <f t="shared" si="18"/>
        <v>8.3246080029033553E-2</v>
      </c>
    </row>
    <row r="122" spans="1:6" ht="39.950000000000003" customHeight="1" x14ac:dyDescent="0.3">
      <c r="A122" s="249"/>
      <c r="B122" s="242" t="s">
        <v>470</v>
      </c>
      <c r="C122" s="243">
        <f>+C113+C115</f>
        <v>23260101</v>
      </c>
      <c r="D122" s="243">
        <f>+D113+D115</f>
        <v>29228895</v>
      </c>
      <c r="E122" s="243">
        <f t="shared" si="17"/>
        <v>5968794</v>
      </c>
      <c r="F122" s="244">
        <f t="shared" si="18"/>
        <v>0.25661083758836645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36164805</v>
      </c>
      <c r="D13" s="23">
        <v>43866837</v>
      </c>
      <c r="E13" s="23">
        <f t="shared" ref="E13:E22" si="0">D13-C13</f>
        <v>7702032</v>
      </c>
      <c r="F13" s="24">
        <f t="shared" ref="F13:F22" si="1">IF(C13=0,0,E13/C13)</f>
        <v>0.21297037271457706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40346696</v>
      </c>
      <c r="D15" s="23">
        <v>40669114</v>
      </c>
      <c r="E15" s="23">
        <f t="shared" si="0"/>
        <v>322418</v>
      </c>
      <c r="F15" s="24">
        <f t="shared" si="1"/>
        <v>7.991187184199668E-3</v>
      </c>
    </row>
    <row r="16" spans="1:8" ht="35.1" customHeight="1" x14ac:dyDescent="0.2">
      <c r="A16" s="21">
        <v>4</v>
      </c>
      <c r="B16" s="22" t="s">
        <v>19</v>
      </c>
      <c r="C16" s="23">
        <v>244058</v>
      </c>
      <c r="D16" s="23">
        <v>160737</v>
      </c>
      <c r="E16" s="23">
        <f t="shared" si="0"/>
        <v>-83321</v>
      </c>
      <c r="F16" s="24">
        <f t="shared" si="1"/>
        <v>-0.34139835612846126</v>
      </c>
    </row>
    <row r="17" spans="1:11" ht="24" customHeight="1" x14ac:dyDescent="0.2">
      <c r="A17" s="21">
        <v>5</v>
      </c>
      <c r="B17" s="22" t="s">
        <v>20</v>
      </c>
      <c r="C17" s="23">
        <v>159847</v>
      </c>
      <c r="D17" s="23">
        <v>148183</v>
      </c>
      <c r="E17" s="23">
        <f t="shared" si="0"/>
        <v>-11664</v>
      </c>
      <c r="F17" s="24">
        <f t="shared" si="1"/>
        <v>-7.2969777349590551E-2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5041656</v>
      </c>
      <c r="D19" s="23">
        <v>4888973</v>
      </c>
      <c r="E19" s="23">
        <f t="shared" si="0"/>
        <v>-152683</v>
      </c>
      <c r="F19" s="24">
        <f t="shared" si="1"/>
        <v>-3.0284295477517705E-2</v>
      </c>
    </row>
    <row r="20" spans="1:11" ht="24" customHeight="1" x14ac:dyDescent="0.2">
      <c r="A20" s="21">
        <v>8</v>
      </c>
      <c r="B20" s="22" t="s">
        <v>23</v>
      </c>
      <c r="C20" s="23">
        <v>2755118</v>
      </c>
      <c r="D20" s="23">
        <v>4045580</v>
      </c>
      <c r="E20" s="23">
        <f t="shared" si="0"/>
        <v>1290462</v>
      </c>
      <c r="F20" s="24">
        <f t="shared" si="1"/>
        <v>0.46838719793489791</v>
      </c>
    </row>
    <row r="21" spans="1:11" ht="24" customHeight="1" x14ac:dyDescent="0.2">
      <c r="A21" s="21">
        <v>9</v>
      </c>
      <c r="B21" s="22" t="s">
        <v>24</v>
      </c>
      <c r="C21" s="23">
        <v>11333438</v>
      </c>
      <c r="D21" s="23">
        <v>10197055</v>
      </c>
      <c r="E21" s="23">
        <f t="shared" si="0"/>
        <v>-1136383</v>
      </c>
      <c r="F21" s="24">
        <f t="shared" si="1"/>
        <v>-0.10026816222932529</v>
      </c>
    </row>
    <row r="22" spans="1:11" ht="24" customHeight="1" x14ac:dyDescent="0.25">
      <c r="A22" s="25"/>
      <c r="B22" s="26" t="s">
        <v>25</v>
      </c>
      <c r="C22" s="27">
        <f>SUM(C13:C21)</f>
        <v>96045618</v>
      </c>
      <c r="D22" s="27">
        <f>SUM(D13:D21)</f>
        <v>103976479</v>
      </c>
      <c r="E22" s="27">
        <f t="shared" si="0"/>
        <v>7930861</v>
      </c>
      <c r="F22" s="28">
        <f t="shared" si="1"/>
        <v>8.2573897332827828E-2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13240758</v>
      </c>
      <c r="D25" s="23">
        <v>14040818</v>
      </c>
      <c r="E25" s="23">
        <f>D25-C25</f>
        <v>800060</v>
      </c>
      <c r="F25" s="24">
        <f>IF(C25=0,0,E25/C25)</f>
        <v>6.042403312559598E-2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1403892</v>
      </c>
      <c r="D27" s="23">
        <v>1396043</v>
      </c>
      <c r="E27" s="23">
        <f>D27-C27</f>
        <v>-7849</v>
      </c>
      <c r="F27" s="24">
        <f>IF(C27=0,0,E27/C27)</f>
        <v>-5.5908859086026561E-3</v>
      </c>
    </row>
    <row r="28" spans="1:11" ht="35.1" customHeight="1" x14ac:dyDescent="0.2">
      <c r="A28" s="21">
        <v>4</v>
      </c>
      <c r="B28" s="22" t="s">
        <v>31</v>
      </c>
      <c r="C28" s="23">
        <v>22000012</v>
      </c>
      <c r="D28" s="23">
        <v>23353986</v>
      </c>
      <c r="E28" s="23">
        <f>D28-C28</f>
        <v>1353974</v>
      </c>
      <c r="F28" s="24">
        <f>IF(C28=0,0,E28/C28)</f>
        <v>6.1544239157687732E-2</v>
      </c>
    </row>
    <row r="29" spans="1:11" ht="35.1" customHeight="1" x14ac:dyDescent="0.25">
      <c r="A29" s="25"/>
      <c r="B29" s="26" t="s">
        <v>32</v>
      </c>
      <c r="C29" s="27">
        <f>SUM(C25:C28)</f>
        <v>36644662</v>
      </c>
      <c r="D29" s="27">
        <f>SUM(D25:D28)</f>
        <v>38790847</v>
      </c>
      <c r="E29" s="27">
        <f>D29-C29</f>
        <v>2146185</v>
      </c>
      <c r="F29" s="28">
        <f>IF(C29=0,0,E29/C29)</f>
        <v>5.8567466115528641E-2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110200835</v>
      </c>
      <c r="D32" s="23">
        <v>123374913</v>
      </c>
      <c r="E32" s="23">
        <f>D32-C32</f>
        <v>13174078</v>
      </c>
      <c r="F32" s="24">
        <f>IF(C32=0,0,E32/C32)</f>
        <v>0.11954608147932817</v>
      </c>
    </row>
    <row r="33" spans="1:8" ht="24" customHeight="1" x14ac:dyDescent="0.2">
      <c r="A33" s="21">
        <v>7</v>
      </c>
      <c r="B33" s="22" t="s">
        <v>35</v>
      </c>
      <c r="C33" s="23">
        <v>7005103</v>
      </c>
      <c r="D33" s="23">
        <v>5469393</v>
      </c>
      <c r="E33" s="23">
        <f>D33-C33</f>
        <v>-1535710</v>
      </c>
      <c r="F33" s="24">
        <f>IF(C33=0,0,E33/C33)</f>
        <v>-0.21922732613638943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399858057</v>
      </c>
      <c r="D36" s="23">
        <v>414566007</v>
      </c>
      <c r="E36" s="23">
        <f>D36-C36</f>
        <v>14707950</v>
      </c>
      <c r="F36" s="24">
        <f>IF(C36=0,0,E36/C36)</f>
        <v>3.6782927697765512E-2</v>
      </c>
    </row>
    <row r="37" spans="1:8" ht="24" customHeight="1" x14ac:dyDescent="0.2">
      <c r="A37" s="21">
        <v>2</v>
      </c>
      <c r="B37" s="22" t="s">
        <v>39</v>
      </c>
      <c r="C37" s="23">
        <v>253861457</v>
      </c>
      <c r="D37" s="23">
        <v>268873447</v>
      </c>
      <c r="E37" s="23">
        <f>D37-C37</f>
        <v>15011990</v>
      </c>
      <c r="F37" s="23">
        <f>IF(C37=0,0,E37/C37)</f>
        <v>5.9134577487278822E-2</v>
      </c>
    </row>
    <row r="38" spans="1:8" ht="24" customHeight="1" x14ac:dyDescent="0.25">
      <c r="A38" s="25"/>
      <c r="B38" s="26" t="s">
        <v>40</v>
      </c>
      <c r="C38" s="27">
        <f>C36-C37</f>
        <v>145996600</v>
      </c>
      <c r="D38" s="27">
        <f>D36-D37</f>
        <v>145692560</v>
      </c>
      <c r="E38" s="27">
        <f>D38-C38</f>
        <v>-304040</v>
      </c>
      <c r="F38" s="28">
        <f>IF(C38=0,0,E38/C38)</f>
        <v>-2.082514250331857E-3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4225780</v>
      </c>
      <c r="D40" s="23">
        <v>3403411</v>
      </c>
      <c r="E40" s="23">
        <f>D40-C40</f>
        <v>-822369</v>
      </c>
      <c r="F40" s="24">
        <f>IF(C40=0,0,E40/C40)</f>
        <v>-0.19460762273473772</v>
      </c>
    </row>
    <row r="41" spans="1:8" ht="24" customHeight="1" x14ac:dyDescent="0.25">
      <c r="A41" s="25"/>
      <c r="B41" s="26" t="s">
        <v>42</v>
      </c>
      <c r="C41" s="27">
        <f>+C38+C40</f>
        <v>150222380</v>
      </c>
      <c r="D41" s="27">
        <f>+D38+D40</f>
        <v>149095971</v>
      </c>
      <c r="E41" s="27">
        <f>D41-C41</f>
        <v>-1126409</v>
      </c>
      <c r="F41" s="28">
        <f>IF(C41=0,0,E41/C41)</f>
        <v>-7.4982768879044521E-3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400118598</v>
      </c>
      <c r="D43" s="27">
        <f>D22+D29+D31+D32+D33+D41</f>
        <v>420707603</v>
      </c>
      <c r="E43" s="27">
        <f>D43-C43</f>
        <v>20589005</v>
      </c>
      <c r="F43" s="28">
        <f>IF(C43=0,0,E43/C43)</f>
        <v>5.1457255680976866E-2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24304738</v>
      </c>
      <c r="D49" s="23">
        <v>27931108</v>
      </c>
      <c r="E49" s="23">
        <f t="shared" ref="E49:E56" si="2">D49-C49</f>
        <v>3626370</v>
      </c>
      <c r="F49" s="24">
        <f t="shared" ref="F49:F56" si="3">IF(C49=0,0,E49/C49)</f>
        <v>0.14920424157627207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16475784</v>
      </c>
      <c r="D50" s="23">
        <v>14564699</v>
      </c>
      <c r="E50" s="23">
        <f t="shared" si="2"/>
        <v>-1911085</v>
      </c>
      <c r="F50" s="24">
        <f t="shared" si="3"/>
        <v>-0.11599356971419388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15301884</v>
      </c>
      <c r="D51" s="23">
        <v>20263312</v>
      </c>
      <c r="E51" s="23">
        <f t="shared" si="2"/>
        <v>4961428</v>
      </c>
      <c r="F51" s="24">
        <f t="shared" si="3"/>
        <v>0.32423641428728645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4383372</v>
      </c>
      <c r="D53" s="23">
        <v>5155846</v>
      </c>
      <c r="E53" s="23">
        <f t="shared" si="2"/>
        <v>772474</v>
      </c>
      <c r="F53" s="24">
        <f t="shared" si="3"/>
        <v>0.176228255324896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26993910</v>
      </c>
      <c r="D55" s="23">
        <v>22438833</v>
      </c>
      <c r="E55" s="23">
        <f t="shared" si="2"/>
        <v>-4555077</v>
      </c>
      <c r="F55" s="24">
        <f t="shared" si="3"/>
        <v>-0.16874461684135422</v>
      </c>
    </row>
    <row r="56" spans="1:6" ht="24" customHeight="1" x14ac:dyDescent="0.25">
      <c r="A56" s="25"/>
      <c r="B56" s="26" t="s">
        <v>54</v>
      </c>
      <c r="C56" s="27">
        <f>SUM(C49:C55)</f>
        <v>87459688</v>
      </c>
      <c r="D56" s="27">
        <f>SUM(D49:D55)</f>
        <v>90353798</v>
      </c>
      <c r="E56" s="27">
        <f t="shared" si="2"/>
        <v>2894110</v>
      </c>
      <c r="F56" s="28">
        <f t="shared" si="3"/>
        <v>3.3090788066840578E-2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50018698</v>
      </c>
      <c r="D59" s="23">
        <v>47823695</v>
      </c>
      <c r="E59" s="23">
        <f>D59-C59</f>
        <v>-2195003</v>
      </c>
      <c r="F59" s="24">
        <f>IF(C59=0,0,E59/C59)</f>
        <v>-4.3883649270518799E-2</v>
      </c>
    </row>
    <row r="60" spans="1:6" ht="24" customHeight="1" x14ac:dyDescent="0.2">
      <c r="A60" s="21">
        <v>2</v>
      </c>
      <c r="B60" s="22" t="s">
        <v>57</v>
      </c>
      <c r="C60" s="23">
        <v>6939905</v>
      </c>
      <c r="D60" s="23">
        <v>7813315</v>
      </c>
      <c r="E60" s="23">
        <f>D60-C60</f>
        <v>873410</v>
      </c>
      <c r="F60" s="24">
        <f>IF(C60=0,0,E60/C60)</f>
        <v>0.12585330779023632</v>
      </c>
    </row>
    <row r="61" spans="1:6" ht="24" customHeight="1" x14ac:dyDescent="0.25">
      <c r="A61" s="25"/>
      <c r="B61" s="26" t="s">
        <v>58</v>
      </c>
      <c r="C61" s="27">
        <f>SUM(C59:C60)</f>
        <v>56958603</v>
      </c>
      <c r="D61" s="27">
        <f>SUM(D59:D60)</f>
        <v>55637010</v>
      </c>
      <c r="E61" s="27">
        <f>D61-C61</f>
        <v>-1321593</v>
      </c>
      <c r="F61" s="28">
        <f>IF(C61=0,0,E61/C61)</f>
        <v>-2.3202693366619263E-2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98090362</v>
      </c>
      <c r="D63" s="23">
        <v>95816944</v>
      </c>
      <c r="E63" s="23">
        <f>D63-C63</f>
        <v>-2273418</v>
      </c>
      <c r="F63" s="24">
        <f>IF(C63=0,0,E63/C63)</f>
        <v>-2.3176772453954244E-2</v>
      </c>
    </row>
    <row r="64" spans="1:6" ht="24" customHeight="1" x14ac:dyDescent="0.2">
      <c r="A64" s="21">
        <v>4</v>
      </c>
      <c r="B64" s="22" t="s">
        <v>60</v>
      </c>
      <c r="C64" s="23">
        <v>17555846</v>
      </c>
      <c r="D64" s="23">
        <v>23906033</v>
      </c>
      <c r="E64" s="23">
        <f>D64-C64</f>
        <v>6350187</v>
      </c>
      <c r="F64" s="24">
        <f>IF(C64=0,0,E64/C64)</f>
        <v>0.36171352835972703</v>
      </c>
    </row>
    <row r="65" spans="1:6" ht="24" customHeight="1" x14ac:dyDescent="0.25">
      <c r="A65" s="25"/>
      <c r="B65" s="26" t="s">
        <v>61</v>
      </c>
      <c r="C65" s="27">
        <f>SUM(C61:C64)</f>
        <v>172604811</v>
      </c>
      <c r="D65" s="27">
        <f>SUM(D61:D64)</f>
        <v>175359987</v>
      </c>
      <c r="E65" s="27">
        <f>D65-C65</f>
        <v>2755176</v>
      </c>
      <c r="F65" s="28">
        <f>IF(C65=0,0,E65/C65)</f>
        <v>1.5962336067214256E-2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104848599</v>
      </c>
      <c r="D70" s="23">
        <v>117892402</v>
      </c>
      <c r="E70" s="23">
        <f>D70-C70</f>
        <v>13043803</v>
      </c>
      <c r="F70" s="24">
        <f>IF(C70=0,0,E70/C70)</f>
        <v>0.12440607813939412</v>
      </c>
    </row>
    <row r="71" spans="1:6" ht="24" customHeight="1" x14ac:dyDescent="0.2">
      <c r="A71" s="21">
        <v>2</v>
      </c>
      <c r="B71" s="22" t="s">
        <v>65</v>
      </c>
      <c r="C71" s="23">
        <v>15281161</v>
      </c>
      <c r="D71" s="23">
        <v>16376223</v>
      </c>
      <c r="E71" s="23">
        <f>D71-C71</f>
        <v>1095062</v>
      </c>
      <c r="F71" s="24">
        <f>IF(C71=0,0,E71/C71)</f>
        <v>7.1660916340060804E-2</v>
      </c>
    </row>
    <row r="72" spans="1:6" ht="24" customHeight="1" x14ac:dyDescent="0.2">
      <c r="A72" s="21">
        <v>3</v>
      </c>
      <c r="B72" s="22" t="s">
        <v>66</v>
      </c>
      <c r="C72" s="23">
        <v>19924339</v>
      </c>
      <c r="D72" s="23">
        <v>20725193</v>
      </c>
      <c r="E72" s="23">
        <f>D72-C72</f>
        <v>800854</v>
      </c>
      <c r="F72" s="24">
        <f>IF(C72=0,0,E72/C72)</f>
        <v>4.0194758782211043E-2</v>
      </c>
    </row>
    <row r="73" spans="1:6" ht="24" customHeight="1" x14ac:dyDescent="0.25">
      <c r="A73" s="21"/>
      <c r="B73" s="26" t="s">
        <v>67</v>
      </c>
      <c r="C73" s="27">
        <f>SUM(C70:C72)</f>
        <v>140054099</v>
      </c>
      <c r="D73" s="27">
        <f>SUM(D70:D72)</f>
        <v>154993818</v>
      </c>
      <c r="E73" s="27">
        <f>D73-C73</f>
        <v>14939719</v>
      </c>
      <c r="F73" s="28">
        <f>IF(C73=0,0,E73/C73)</f>
        <v>0.10667105858858154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400118598</v>
      </c>
      <c r="D75" s="27">
        <f>D56+D65+D67+D73</f>
        <v>420707603</v>
      </c>
      <c r="E75" s="27">
        <f>D75-C75</f>
        <v>20589005</v>
      </c>
      <c r="F75" s="28">
        <f>IF(C75=0,0,E75/C75)</f>
        <v>5.1457255680976866E-2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FILING&amp;RCENTRAL CT HEALTH ALLIANCE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872997957</v>
      </c>
      <c r="D12" s="51">
        <v>840676112</v>
      </c>
      <c r="E12" s="51">
        <f t="shared" ref="E12:E19" si="0">D12-C12</f>
        <v>-32321845</v>
      </c>
      <c r="F12" s="70">
        <f t="shared" ref="F12:F19" si="1">IF(C12=0,0,E12/C12)</f>
        <v>-3.7023964077844917E-2</v>
      </c>
    </row>
    <row r="13" spans="1:8" ht="23.1" customHeight="1" x14ac:dyDescent="0.2">
      <c r="A13" s="25">
        <v>2</v>
      </c>
      <c r="B13" s="48" t="s">
        <v>72</v>
      </c>
      <c r="C13" s="51">
        <v>464208015</v>
      </c>
      <c r="D13" s="51">
        <v>442345826</v>
      </c>
      <c r="E13" s="51">
        <f t="shared" si="0"/>
        <v>-21862189</v>
      </c>
      <c r="F13" s="70">
        <f t="shared" si="1"/>
        <v>-4.7095673261910394E-2</v>
      </c>
    </row>
    <row r="14" spans="1:8" ht="23.1" customHeight="1" x14ac:dyDescent="0.2">
      <c r="A14" s="25">
        <v>3</v>
      </c>
      <c r="B14" s="48" t="s">
        <v>73</v>
      </c>
      <c r="C14" s="51">
        <v>7075484</v>
      </c>
      <c r="D14" s="51">
        <v>8420571</v>
      </c>
      <c r="E14" s="51">
        <f t="shared" si="0"/>
        <v>1345087</v>
      </c>
      <c r="F14" s="70">
        <f t="shared" si="1"/>
        <v>0.19010529880358715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401714458</v>
      </c>
      <c r="D16" s="27">
        <f>D12-D13-D14-D15</f>
        <v>389909715</v>
      </c>
      <c r="E16" s="27">
        <f t="shared" si="0"/>
        <v>-11804743</v>
      </c>
      <c r="F16" s="28">
        <f t="shared" si="1"/>
        <v>-2.9385905249145899E-2</v>
      </c>
    </row>
    <row r="17" spans="1:7" ht="23.1" customHeight="1" x14ac:dyDescent="0.2">
      <c r="A17" s="25">
        <v>5</v>
      </c>
      <c r="B17" s="48" t="s">
        <v>76</v>
      </c>
      <c r="C17" s="51">
        <v>61829100</v>
      </c>
      <c r="D17" s="51">
        <v>55840758</v>
      </c>
      <c r="E17" s="51">
        <f t="shared" si="0"/>
        <v>-5988342</v>
      </c>
      <c r="F17" s="70">
        <f t="shared" si="1"/>
        <v>-9.6853132262963562E-2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808135</v>
      </c>
      <c r="D18" s="51">
        <v>1168686</v>
      </c>
      <c r="E18" s="51">
        <f t="shared" si="0"/>
        <v>360551</v>
      </c>
      <c r="F18" s="70">
        <f t="shared" si="1"/>
        <v>0.44615194243536044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464351693</v>
      </c>
      <c r="D19" s="27">
        <f>SUM(D16:D18)</f>
        <v>446919159</v>
      </c>
      <c r="E19" s="27">
        <f t="shared" si="0"/>
        <v>-17432534</v>
      </c>
      <c r="F19" s="28">
        <f t="shared" si="1"/>
        <v>-3.754166133728299E-2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182546637</v>
      </c>
      <c r="D22" s="51">
        <v>179619949</v>
      </c>
      <c r="E22" s="51">
        <f t="shared" ref="E22:E31" si="2">D22-C22</f>
        <v>-2926688</v>
      </c>
      <c r="F22" s="70">
        <f t="shared" ref="F22:F31" si="3">IF(C22=0,0,E22/C22)</f>
        <v>-1.6032549534177393E-2</v>
      </c>
    </row>
    <row r="23" spans="1:7" ht="23.1" customHeight="1" x14ac:dyDescent="0.2">
      <c r="A23" s="25">
        <v>2</v>
      </c>
      <c r="B23" s="48" t="s">
        <v>81</v>
      </c>
      <c r="C23" s="51">
        <v>52211393</v>
      </c>
      <c r="D23" s="51">
        <v>53001473</v>
      </c>
      <c r="E23" s="51">
        <f t="shared" si="2"/>
        <v>790080</v>
      </c>
      <c r="F23" s="70">
        <f t="shared" si="3"/>
        <v>1.5132329451543268E-2</v>
      </c>
    </row>
    <row r="24" spans="1:7" ht="23.1" customHeight="1" x14ac:dyDescent="0.2">
      <c r="A24" s="25">
        <v>3</v>
      </c>
      <c r="B24" s="48" t="s">
        <v>82</v>
      </c>
      <c r="C24" s="51">
        <v>8591910</v>
      </c>
      <c r="D24" s="51">
        <v>8591910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56574526</v>
      </c>
      <c r="D25" s="51">
        <v>56898230</v>
      </c>
      <c r="E25" s="51">
        <f t="shared" si="2"/>
        <v>323704</v>
      </c>
      <c r="F25" s="70">
        <f t="shared" si="3"/>
        <v>5.7217271250315027E-3</v>
      </c>
    </row>
    <row r="26" spans="1:7" ht="23.1" customHeight="1" x14ac:dyDescent="0.2">
      <c r="A26" s="25">
        <v>5</v>
      </c>
      <c r="B26" s="48" t="s">
        <v>84</v>
      </c>
      <c r="C26" s="51">
        <v>20163043</v>
      </c>
      <c r="D26" s="51">
        <v>20667840</v>
      </c>
      <c r="E26" s="51">
        <f t="shared" si="2"/>
        <v>504797</v>
      </c>
      <c r="F26" s="70">
        <f t="shared" si="3"/>
        <v>2.503575477173758E-2</v>
      </c>
    </row>
    <row r="27" spans="1:7" ht="23.1" customHeight="1" x14ac:dyDescent="0.2">
      <c r="A27" s="25">
        <v>6</v>
      </c>
      <c r="B27" s="48" t="s">
        <v>85</v>
      </c>
      <c r="C27" s="51">
        <v>17994214</v>
      </c>
      <c r="D27" s="51">
        <v>17918331</v>
      </c>
      <c r="E27" s="51">
        <f t="shared" si="2"/>
        <v>-75883</v>
      </c>
      <c r="F27" s="70">
        <f t="shared" si="3"/>
        <v>-4.2170777784458942E-3</v>
      </c>
    </row>
    <row r="28" spans="1:7" ht="23.1" customHeight="1" x14ac:dyDescent="0.2">
      <c r="A28" s="25">
        <v>7</v>
      </c>
      <c r="B28" s="48" t="s">
        <v>86</v>
      </c>
      <c r="C28" s="51">
        <v>2819751</v>
      </c>
      <c r="D28" s="51">
        <v>3025673</v>
      </c>
      <c r="E28" s="51">
        <f t="shared" si="2"/>
        <v>205922</v>
      </c>
      <c r="F28" s="70">
        <f t="shared" si="3"/>
        <v>7.3028434070951651E-2</v>
      </c>
    </row>
    <row r="29" spans="1:7" ht="23.1" customHeight="1" x14ac:dyDescent="0.2">
      <c r="A29" s="25">
        <v>8</v>
      </c>
      <c r="B29" s="48" t="s">
        <v>87</v>
      </c>
      <c r="C29" s="51">
        <v>7902927</v>
      </c>
      <c r="D29" s="51">
        <v>7784175</v>
      </c>
      <c r="E29" s="51">
        <f t="shared" si="2"/>
        <v>-118752</v>
      </c>
      <c r="F29" s="70">
        <f t="shared" si="3"/>
        <v>-1.5026331383296341E-2</v>
      </c>
    </row>
    <row r="30" spans="1:7" ht="23.1" customHeight="1" x14ac:dyDescent="0.2">
      <c r="A30" s="25">
        <v>9</v>
      </c>
      <c r="B30" s="48" t="s">
        <v>88</v>
      </c>
      <c r="C30" s="51">
        <v>103346287</v>
      </c>
      <c r="D30" s="51">
        <v>99693634</v>
      </c>
      <c r="E30" s="51">
        <f t="shared" si="2"/>
        <v>-3652653</v>
      </c>
      <c r="F30" s="70">
        <f t="shared" si="3"/>
        <v>-3.5343824205314699E-2</v>
      </c>
    </row>
    <row r="31" spans="1:7" ht="23.1" customHeight="1" x14ac:dyDescent="0.25">
      <c r="A31" s="29"/>
      <c r="B31" s="71" t="s">
        <v>89</v>
      </c>
      <c r="C31" s="27">
        <f>SUM(C22:C30)</f>
        <v>452150688</v>
      </c>
      <c r="D31" s="27">
        <f>SUM(D22:D30)</f>
        <v>447201215</v>
      </c>
      <c r="E31" s="27">
        <f t="shared" si="2"/>
        <v>-4949473</v>
      </c>
      <c r="F31" s="28">
        <f t="shared" si="3"/>
        <v>-1.0946512150391774E-2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12201005</v>
      </c>
      <c r="D33" s="27">
        <f>+D19-D31</f>
        <v>-282056</v>
      </c>
      <c r="E33" s="27">
        <f>D33-C33</f>
        <v>-12483061</v>
      </c>
      <c r="F33" s="28">
        <f>IF(C33=0,0,E33/C33)</f>
        <v>-1.0231174399158103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3918825</v>
      </c>
      <c r="D36" s="51">
        <v>7573422</v>
      </c>
      <c r="E36" s="51">
        <f>D36-C36</f>
        <v>3654597</v>
      </c>
      <c r="F36" s="70">
        <f>IF(C36=0,0,E36/C36)</f>
        <v>0.93257468756578821</v>
      </c>
    </row>
    <row r="37" spans="1:6" ht="23.1" customHeight="1" x14ac:dyDescent="0.2">
      <c r="A37" s="44">
        <v>2</v>
      </c>
      <c r="B37" s="48" t="s">
        <v>93</v>
      </c>
      <c r="C37" s="51">
        <v>1177281</v>
      </c>
      <c r="D37" s="51">
        <v>1373265</v>
      </c>
      <c r="E37" s="51">
        <f>D37-C37</f>
        <v>195984</v>
      </c>
      <c r="F37" s="70">
        <f>IF(C37=0,0,E37/C37)</f>
        <v>0.16647172595157825</v>
      </c>
    </row>
    <row r="38" spans="1:6" ht="23.1" customHeight="1" x14ac:dyDescent="0.2">
      <c r="A38" s="44">
        <v>3</v>
      </c>
      <c r="B38" s="48" t="s">
        <v>94</v>
      </c>
      <c r="C38" s="51">
        <v>-3083551</v>
      </c>
      <c r="D38" s="51">
        <v>-2195366</v>
      </c>
      <c r="E38" s="51">
        <f>D38-C38</f>
        <v>888185</v>
      </c>
      <c r="F38" s="70">
        <f>IF(C38=0,0,E38/C38)</f>
        <v>-0.28803966595655461</v>
      </c>
    </row>
    <row r="39" spans="1:6" ht="23.1" customHeight="1" x14ac:dyDescent="0.25">
      <c r="A39" s="20"/>
      <c r="B39" s="71" t="s">
        <v>95</v>
      </c>
      <c r="C39" s="27">
        <f>SUM(C36:C38)</f>
        <v>2012555</v>
      </c>
      <c r="D39" s="27">
        <f>SUM(D36:D38)</f>
        <v>6751321</v>
      </c>
      <c r="E39" s="27">
        <f>D39-C39</f>
        <v>4738766</v>
      </c>
      <c r="F39" s="28">
        <f>IF(C39=0,0,E39/C39)</f>
        <v>2.3546019860326797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14213560</v>
      </c>
      <c r="D41" s="27">
        <f>D33+D39</f>
        <v>6469265</v>
      </c>
      <c r="E41" s="27">
        <f>D41-C41</f>
        <v>-7744295</v>
      </c>
      <c r="F41" s="28">
        <f>IF(C41=0,0,E41/C41)</f>
        <v>-0.54485259146899157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14213560</v>
      </c>
      <c r="D48" s="27">
        <f>D41+D46</f>
        <v>6469265</v>
      </c>
      <c r="E48" s="27">
        <f>D48-C48</f>
        <v>-7744295</v>
      </c>
      <c r="F48" s="28">
        <f>IF(C48=0,0,E48/C48)</f>
        <v>-0.54485259146899157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FILING&amp;R&amp;8CENTRAL CT HEALTH ALLIANCE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2011-07-27T13:41:16Z</cp:lastPrinted>
  <dcterms:created xsi:type="dcterms:W3CDTF">2006-08-03T13:49:12Z</dcterms:created>
  <dcterms:modified xsi:type="dcterms:W3CDTF">2011-08-08T12:52:43Z</dcterms:modified>
</cp:coreProperties>
</file>