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 firstSheet="6" activeTab="18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Report485!$A$11:$F$29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D83" i="22"/>
  <c r="D102" i="22"/>
  <c r="C83" i="22"/>
  <c r="C101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D34" i="22"/>
  <c r="C12" i="22"/>
  <c r="C33" i="22"/>
  <c r="D21" i="21"/>
  <c r="E21" i="21"/>
  <c r="F21" i="21"/>
  <c r="C21" i="21"/>
  <c r="D19" i="21"/>
  <c r="E19" i="21"/>
  <c r="F19" i="21"/>
  <c r="C19" i="21"/>
  <c r="F17" i="21"/>
  <c r="E17" i="21"/>
  <c r="F15" i="21"/>
  <c r="E15" i="21"/>
  <c r="D45" i="20"/>
  <c r="E45" i="20"/>
  <c r="F45" i="20"/>
  <c r="C45" i="20"/>
  <c r="D44" i="20"/>
  <c r="E44" i="20"/>
  <c r="F44" i="20"/>
  <c r="C44" i="20"/>
  <c r="D43" i="20"/>
  <c r="D46" i="20"/>
  <c r="C43" i="20"/>
  <c r="C46" i="20"/>
  <c r="D36" i="20"/>
  <c r="D40" i="20"/>
  <c r="E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D20" i="20"/>
  <c r="E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37" i="19"/>
  <c r="C139" i="19"/>
  <c r="C143" i="19"/>
  <c r="C115" i="19"/>
  <c r="C105" i="19"/>
  <c r="C96" i="19"/>
  <c r="C95" i="19"/>
  <c r="C89" i="19"/>
  <c r="C88" i="19"/>
  <c r="C83" i="19"/>
  <c r="C77" i="19"/>
  <c r="C78" i="19"/>
  <c r="C64" i="19"/>
  <c r="C63" i="19"/>
  <c r="C65" i="19"/>
  <c r="C114" i="19"/>
  <c r="C116" i="19"/>
  <c r="C119" i="19"/>
  <c r="C123" i="19"/>
  <c r="C60" i="19"/>
  <c r="C59" i="19"/>
  <c r="C49" i="19"/>
  <c r="C48" i="19"/>
  <c r="C36" i="19"/>
  <c r="C32" i="19"/>
  <c r="C33" i="19"/>
  <c r="C21" i="19"/>
  <c r="C37" i="19"/>
  <c r="E328" i="18"/>
  <c r="E325" i="18"/>
  <c r="D324" i="18"/>
  <c r="D326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D303" i="18"/>
  <c r="C301" i="18"/>
  <c r="D293" i="18"/>
  <c r="E293" i="18"/>
  <c r="C293" i="18"/>
  <c r="D292" i="18"/>
  <c r="C292" i="18"/>
  <c r="E292" i="18"/>
  <c r="D291" i="18"/>
  <c r="E291" i="18"/>
  <c r="C291" i="18"/>
  <c r="D290" i="18"/>
  <c r="C290" i="18"/>
  <c r="E290" i="18"/>
  <c r="D288" i="18"/>
  <c r="C288" i="18"/>
  <c r="E288" i="18"/>
  <c r="D287" i="18"/>
  <c r="E287" i="18"/>
  <c r="C287" i="18"/>
  <c r="D282" i="18"/>
  <c r="C282" i="18"/>
  <c r="E282" i="18"/>
  <c r="D281" i="18"/>
  <c r="E281" i="18"/>
  <c r="C281" i="18"/>
  <c r="D280" i="18"/>
  <c r="C280" i="18"/>
  <c r="E280" i="18"/>
  <c r="D279" i="18"/>
  <c r="E279" i="18"/>
  <c r="C279" i="18"/>
  <c r="D278" i="18"/>
  <c r="C278" i="18"/>
  <c r="E278" i="18"/>
  <c r="D277" i="18"/>
  <c r="E277" i="18"/>
  <c r="C277" i="18"/>
  <c r="D276" i="18"/>
  <c r="C276" i="18"/>
  <c r="E276" i="18"/>
  <c r="E270" i="18"/>
  <c r="D265" i="18"/>
  <c r="D302" i="18"/>
  <c r="C265" i="18"/>
  <c r="C302" i="18"/>
  <c r="D262" i="18"/>
  <c r="C262" i="18"/>
  <c r="E262" i="18"/>
  <c r="D251" i="18"/>
  <c r="C251" i="18"/>
  <c r="E251" i="18"/>
  <c r="D233" i="18"/>
  <c r="C233" i="18"/>
  <c r="D232" i="18"/>
  <c r="E232" i="18"/>
  <c r="C232" i="18"/>
  <c r="D231" i="18"/>
  <c r="C231" i="18"/>
  <c r="E231" i="18"/>
  <c r="D230" i="18"/>
  <c r="E230" i="18"/>
  <c r="C230" i="18"/>
  <c r="D228" i="18"/>
  <c r="E228" i="18"/>
  <c r="C228" i="18"/>
  <c r="D227" i="18"/>
  <c r="C227" i="18"/>
  <c r="E227" i="18"/>
  <c r="D221" i="18"/>
  <c r="D245" i="18"/>
  <c r="C221" i="18"/>
  <c r="C245" i="18"/>
  <c r="D220" i="18"/>
  <c r="D244" i="18"/>
  <c r="C220" i="18"/>
  <c r="C244" i="18"/>
  <c r="D219" i="18"/>
  <c r="D243" i="18"/>
  <c r="C219" i="18"/>
  <c r="C243" i="18"/>
  <c r="D218" i="18"/>
  <c r="D242" i="18"/>
  <c r="C218" i="18"/>
  <c r="C242" i="18"/>
  <c r="D217" i="18"/>
  <c r="D216" i="18"/>
  <c r="D240" i="18"/>
  <c r="E240" i="18"/>
  <c r="C216" i="18"/>
  <c r="C240" i="18"/>
  <c r="D215" i="18"/>
  <c r="C215" i="18"/>
  <c r="C239" i="18"/>
  <c r="D210" i="18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C179" i="18"/>
  <c r="E179" i="18"/>
  <c r="D178" i="18"/>
  <c r="E178" i="18"/>
  <c r="C178" i="18"/>
  <c r="D177" i="18"/>
  <c r="C177" i="18"/>
  <c r="E177" i="18"/>
  <c r="D176" i="18"/>
  <c r="E176" i="18"/>
  <c r="C176" i="18"/>
  <c r="D174" i="18"/>
  <c r="E174" i="18"/>
  <c r="C174" i="18"/>
  <c r="D173" i="18"/>
  <c r="C173" i="18"/>
  <c r="E173" i="18"/>
  <c r="D167" i="18"/>
  <c r="E167" i="18"/>
  <c r="C167" i="18"/>
  <c r="D166" i="18"/>
  <c r="C166" i="18"/>
  <c r="E166" i="18"/>
  <c r="D165" i="18"/>
  <c r="E165" i="18"/>
  <c r="C165" i="18"/>
  <c r="D164" i="18"/>
  <c r="C164" i="18"/>
  <c r="E164" i="18"/>
  <c r="D162" i="18"/>
  <c r="C162" i="18"/>
  <c r="E162" i="18"/>
  <c r="D161" i="18"/>
  <c r="E161" i="18"/>
  <c r="C161" i="18"/>
  <c r="D156" i="18"/>
  <c r="D157" i="18"/>
  <c r="E155" i="18"/>
  <c r="E154" i="18"/>
  <c r="E153" i="18"/>
  <c r="E152" i="18"/>
  <c r="D151" i="18"/>
  <c r="C151" i="18"/>
  <c r="E151" i="18"/>
  <c r="E150" i="18"/>
  <c r="E149" i="18"/>
  <c r="C144" i="18"/>
  <c r="E143" i="18"/>
  <c r="E142" i="18"/>
  <c r="E141" i="18"/>
  <c r="E140" i="18"/>
  <c r="D139" i="18"/>
  <c r="D163" i="18"/>
  <c r="C139" i="18"/>
  <c r="C175" i="18"/>
  <c r="E138" i="18"/>
  <c r="E137" i="18"/>
  <c r="D75" i="18"/>
  <c r="C75" i="18"/>
  <c r="E75" i="18"/>
  <c r="D74" i="18"/>
  <c r="E74" i="18"/>
  <c r="C74" i="18"/>
  <c r="D73" i="18"/>
  <c r="C73" i="18"/>
  <c r="E73" i="18"/>
  <c r="D72" i="18"/>
  <c r="E72" i="18"/>
  <c r="C72" i="18"/>
  <c r="C71" i="18"/>
  <c r="D70" i="18"/>
  <c r="C70" i="18"/>
  <c r="C76" i="18"/>
  <c r="D69" i="18"/>
  <c r="C69" i="18"/>
  <c r="C65" i="18"/>
  <c r="C66" i="18"/>
  <c r="E64" i="18"/>
  <c r="E63" i="18"/>
  <c r="E62" i="18"/>
  <c r="E61" i="18"/>
  <c r="D60" i="18"/>
  <c r="C60" i="18"/>
  <c r="C289" i="18"/>
  <c r="E59" i="18"/>
  <c r="E58" i="18"/>
  <c r="C55" i="18"/>
  <c r="D54" i="18"/>
  <c r="C54" i="18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C40" i="18"/>
  <c r="E40" i="18"/>
  <c r="D39" i="18"/>
  <c r="E39" i="18"/>
  <c r="C39" i="18"/>
  <c r="D38" i="18"/>
  <c r="C38" i="18"/>
  <c r="E38" i="18"/>
  <c r="D37" i="18"/>
  <c r="D43" i="18"/>
  <c r="C37" i="18"/>
  <c r="C43" i="18"/>
  <c r="C259" i="18"/>
  <c r="D36" i="18"/>
  <c r="D44" i="18"/>
  <c r="C36" i="18"/>
  <c r="C44" i="18"/>
  <c r="D33" i="18"/>
  <c r="D32" i="18"/>
  <c r="C32" i="18"/>
  <c r="C294" i="18"/>
  <c r="E31" i="18"/>
  <c r="E30" i="18"/>
  <c r="E29" i="18"/>
  <c r="E28" i="18"/>
  <c r="E27" i="18"/>
  <c r="E26" i="18"/>
  <c r="E25" i="18"/>
  <c r="C22" i="18"/>
  <c r="C284" i="18"/>
  <c r="D21" i="18"/>
  <c r="D283" i="18"/>
  <c r="E283" i="18"/>
  <c r="C21" i="18"/>
  <c r="C283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F308" i="17"/>
  <c r="E308" i="17"/>
  <c r="D307" i="17"/>
  <c r="E307" i="17"/>
  <c r="F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E306" i="17"/>
  <c r="C250" i="17"/>
  <c r="C306" i="17"/>
  <c r="F249" i="17"/>
  <c r="E249" i="17"/>
  <c r="F248" i="17"/>
  <c r="E248" i="17"/>
  <c r="F245" i="17"/>
  <c r="E245" i="17"/>
  <c r="F244" i="17"/>
  <c r="E244" i="17"/>
  <c r="F243" i="17"/>
  <c r="E243" i="17"/>
  <c r="D238" i="17"/>
  <c r="E238" i="17"/>
  <c r="F238" i="17"/>
  <c r="C238" i="17"/>
  <c r="D237" i="17"/>
  <c r="D239" i="17"/>
  <c r="C237" i="17"/>
  <c r="C239" i="17"/>
  <c r="F234" i="17"/>
  <c r="E234" i="17"/>
  <c r="F233" i="17"/>
  <c r="E233" i="17"/>
  <c r="D230" i="17"/>
  <c r="E230" i="17"/>
  <c r="F230" i="17"/>
  <c r="C230" i="17"/>
  <c r="D229" i="17"/>
  <c r="E229" i="17"/>
  <c r="F229" i="17"/>
  <c r="C229" i="17"/>
  <c r="F228" i="17"/>
  <c r="E228" i="17"/>
  <c r="D226" i="17"/>
  <c r="D227" i="17"/>
  <c r="C226" i="17"/>
  <c r="C227" i="17"/>
  <c r="F225" i="17"/>
  <c r="E225" i="17"/>
  <c r="F224" i="17"/>
  <c r="E224" i="17"/>
  <c r="D223" i="17"/>
  <c r="E223" i="17"/>
  <c r="F223" i="17"/>
  <c r="C223" i="17"/>
  <c r="F222" i="17"/>
  <c r="E222" i="17"/>
  <c r="F221" i="17"/>
  <c r="E221" i="17"/>
  <c r="D204" i="17"/>
  <c r="E204" i="17"/>
  <c r="F204" i="17"/>
  <c r="C204" i="17"/>
  <c r="C285" i="17"/>
  <c r="D203" i="17"/>
  <c r="E203" i="17"/>
  <c r="F203" i="17"/>
  <c r="C203" i="17"/>
  <c r="C283" i="17"/>
  <c r="D198" i="17"/>
  <c r="E198" i="17"/>
  <c r="F198" i="17"/>
  <c r="C198" i="17"/>
  <c r="C290" i="17"/>
  <c r="D191" i="17"/>
  <c r="C191" i="17"/>
  <c r="C280" i="17"/>
  <c r="D189" i="17"/>
  <c r="C189" i="17"/>
  <c r="C278" i="17"/>
  <c r="D188" i="17"/>
  <c r="D190" i="17"/>
  <c r="C188" i="17"/>
  <c r="C277" i="17"/>
  <c r="F180" i="17"/>
  <c r="D180" i="17"/>
  <c r="E180" i="17"/>
  <c r="C180" i="17"/>
  <c r="D179" i="17"/>
  <c r="E179" i="17"/>
  <c r="F179" i="17"/>
  <c r="C179" i="17"/>
  <c r="C181" i="17"/>
  <c r="D171" i="17"/>
  <c r="E171" i="17"/>
  <c r="F171" i="17"/>
  <c r="C171" i="17"/>
  <c r="C172" i="17"/>
  <c r="C173" i="17"/>
  <c r="D170" i="17"/>
  <c r="E170" i="17"/>
  <c r="F170" i="17"/>
  <c r="C170" i="17"/>
  <c r="E169" i="17"/>
  <c r="F169" i="17"/>
  <c r="E168" i="17"/>
  <c r="F168" i="17"/>
  <c r="D165" i="17"/>
  <c r="E165" i="17"/>
  <c r="F165" i="17"/>
  <c r="C165" i="17"/>
  <c r="D164" i="17"/>
  <c r="E164" i="17"/>
  <c r="F164" i="17"/>
  <c r="C164" i="17"/>
  <c r="E163" i="17"/>
  <c r="F163" i="17"/>
  <c r="D158" i="17"/>
  <c r="E158" i="17"/>
  <c r="F158" i="17"/>
  <c r="C158" i="17"/>
  <c r="C159" i="17"/>
  <c r="E157" i="17"/>
  <c r="F157" i="17"/>
  <c r="E156" i="17"/>
  <c r="F156" i="17"/>
  <c r="D155" i="17"/>
  <c r="E155" i="17"/>
  <c r="F155" i="17"/>
  <c r="C155" i="17"/>
  <c r="E154" i="17"/>
  <c r="F154" i="17"/>
  <c r="E153" i="17"/>
  <c r="F153" i="17"/>
  <c r="D145" i="17"/>
  <c r="E145" i="17"/>
  <c r="F145" i="17"/>
  <c r="C145" i="17"/>
  <c r="D144" i="17"/>
  <c r="E144" i="17"/>
  <c r="F144" i="17"/>
  <c r="C144" i="17"/>
  <c r="C146" i="17"/>
  <c r="D136" i="17"/>
  <c r="E136" i="17"/>
  <c r="F136" i="17"/>
  <c r="C136" i="17"/>
  <c r="C137" i="17"/>
  <c r="D135" i="17"/>
  <c r="E135" i="17"/>
  <c r="F135" i="17"/>
  <c r="C135" i="17"/>
  <c r="F134" i="17"/>
  <c r="E134" i="17"/>
  <c r="F133" i="17"/>
  <c r="E133" i="17"/>
  <c r="F130" i="17"/>
  <c r="D130" i="17"/>
  <c r="E130" i="17"/>
  <c r="C130" i="17"/>
  <c r="D129" i="17"/>
  <c r="E129" i="17"/>
  <c r="F129" i="17"/>
  <c r="C129" i="17"/>
  <c r="E128" i="17"/>
  <c r="F128" i="17"/>
  <c r="D123" i="17"/>
  <c r="C123" i="17"/>
  <c r="C193" i="17"/>
  <c r="E122" i="17"/>
  <c r="F122" i="17"/>
  <c r="E121" i="17"/>
  <c r="F121" i="17"/>
  <c r="D120" i="17"/>
  <c r="E120" i="17"/>
  <c r="F120" i="17"/>
  <c r="C120" i="17"/>
  <c r="E119" i="17"/>
  <c r="F119" i="17"/>
  <c r="E118" i="17"/>
  <c r="F118" i="17"/>
  <c r="D110" i="17"/>
  <c r="E110" i="17"/>
  <c r="F110" i="17"/>
  <c r="C110" i="17"/>
  <c r="D109" i="17"/>
  <c r="E109" i="17"/>
  <c r="F109" i="17"/>
  <c r="C109" i="17"/>
  <c r="C111" i="17"/>
  <c r="F101" i="17"/>
  <c r="D101" i="17"/>
  <c r="E101" i="17"/>
  <c r="C101" i="17"/>
  <c r="C102" i="17"/>
  <c r="C103" i="17"/>
  <c r="D100" i="17"/>
  <c r="E100" i="17"/>
  <c r="F100" i="17"/>
  <c r="C100" i="17"/>
  <c r="E99" i="17"/>
  <c r="F99" i="17"/>
  <c r="E98" i="17"/>
  <c r="F98" i="17"/>
  <c r="D95" i="17"/>
  <c r="E95" i="17"/>
  <c r="F95" i="17"/>
  <c r="C95" i="17"/>
  <c r="D94" i="17"/>
  <c r="E94" i="17"/>
  <c r="F94" i="17"/>
  <c r="C94" i="17"/>
  <c r="E93" i="17"/>
  <c r="F93" i="17"/>
  <c r="D88" i="17"/>
  <c r="D89" i="17"/>
  <c r="C88" i="17"/>
  <c r="C89" i="17"/>
  <c r="E87" i="17"/>
  <c r="F87" i="17"/>
  <c r="E86" i="17"/>
  <c r="F86" i="17"/>
  <c r="D85" i="17"/>
  <c r="C85" i="17"/>
  <c r="E84" i="17"/>
  <c r="F84" i="17"/>
  <c r="E83" i="17"/>
  <c r="F83" i="17"/>
  <c r="D76" i="17"/>
  <c r="D77" i="17"/>
  <c r="C76" i="17"/>
  <c r="C77" i="17"/>
  <c r="F74" i="17"/>
  <c r="E74" i="17"/>
  <c r="F73" i="17"/>
  <c r="E73" i="17"/>
  <c r="D67" i="17"/>
  <c r="E67" i="17"/>
  <c r="F67" i="17"/>
  <c r="C67" i="17"/>
  <c r="D66" i="17"/>
  <c r="D68" i="17"/>
  <c r="C66" i="17"/>
  <c r="C68" i="17"/>
  <c r="D59" i="17"/>
  <c r="D60" i="17"/>
  <c r="C59" i="17"/>
  <c r="C60" i="17"/>
  <c r="D58" i="17"/>
  <c r="E58" i="17"/>
  <c r="F58" i="17"/>
  <c r="C58" i="17"/>
  <c r="E57" i="17"/>
  <c r="F57" i="17"/>
  <c r="E56" i="17"/>
  <c r="F56" i="17"/>
  <c r="D53" i="17"/>
  <c r="E53" i="17"/>
  <c r="F53" i="17"/>
  <c r="C53" i="17"/>
  <c r="D52" i="17"/>
  <c r="E52" i="17"/>
  <c r="F52" i="17"/>
  <c r="C52" i="17"/>
  <c r="E51" i="17"/>
  <c r="F51" i="17"/>
  <c r="D47" i="17"/>
  <c r="D48" i="17"/>
  <c r="C47" i="17"/>
  <c r="C48" i="17"/>
  <c r="E46" i="17"/>
  <c r="F46" i="17"/>
  <c r="E45" i="17"/>
  <c r="F45" i="17"/>
  <c r="D44" i="17"/>
  <c r="E44" i="17"/>
  <c r="F44" i="17"/>
  <c r="C44" i="17"/>
  <c r="E43" i="17"/>
  <c r="F43" i="17"/>
  <c r="E42" i="17"/>
  <c r="F42" i="17"/>
  <c r="D36" i="17"/>
  <c r="E36" i="17"/>
  <c r="F36" i="17"/>
  <c r="C36" i="17"/>
  <c r="D35" i="17"/>
  <c r="D37" i="17"/>
  <c r="C35" i="17"/>
  <c r="D30" i="17"/>
  <c r="D31" i="17"/>
  <c r="C30" i="17"/>
  <c r="C31" i="17"/>
  <c r="D29" i="17"/>
  <c r="E29" i="17"/>
  <c r="F29" i="17"/>
  <c r="C29" i="17"/>
  <c r="E28" i="17"/>
  <c r="F28" i="17"/>
  <c r="E27" i="17"/>
  <c r="F27" i="17"/>
  <c r="D24" i="17"/>
  <c r="E24" i="17"/>
  <c r="F24" i="17"/>
  <c r="C24" i="17"/>
  <c r="D23" i="17"/>
  <c r="E23" i="17"/>
  <c r="F23" i="17"/>
  <c r="C23" i="17"/>
  <c r="E22" i="17"/>
  <c r="F22" i="17"/>
  <c r="D20" i="17"/>
  <c r="C20" i="17"/>
  <c r="E19" i="17"/>
  <c r="F19" i="17"/>
  <c r="E18" i="17"/>
  <c r="F18" i="17"/>
  <c r="D17" i="17"/>
  <c r="E17" i="17"/>
  <c r="F17" i="17"/>
  <c r="C17" i="17"/>
  <c r="E16" i="17"/>
  <c r="F16" i="17"/>
  <c r="E15" i="17"/>
  <c r="F15" i="17"/>
  <c r="D22" i="16"/>
  <c r="E22" i="16"/>
  <c r="C22" i="16"/>
  <c r="F21" i="16"/>
  <c r="E21" i="16"/>
  <c r="F20" i="16"/>
  <c r="E20" i="16"/>
  <c r="D17" i="16"/>
  <c r="E17" i="16"/>
  <c r="F17" i="16"/>
  <c r="C17" i="16"/>
  <c r="F16" i="16"/>
  <c r="E16" i="16"/>
  <c r="D13" i="16"/>
  <c r="E13" i="16"/>
  <c r="F13" i="16"/>
  <c r="C13" i="16"/>
  <c r="F12" i="16"/>
  <c r="E12" i="16"/>
  <c r="D107" i="15"/>
  <c r="E107" i="15"/>
  <c r="F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F68" i="15"/>
  <c r="E68" i="15"/>
  <c r="D65" i="15"/>
  <c r="E65" i="15"/>
  <c r="F65" i="15"/>
  <c r="C65" i="15"/>
  <c r="F64" i="15"/>
  <c r="E64" i="15"/>
  <c r="F63" i="15"/>
  <c r="E63" i="15"/>
  <c r="D60" i="15"/>
  <c r="C60" i="15"/>
  <c r="F59" i="15"/>
  <c r="E59" i="15"/>
  <c r="F58" i="15"/>
  <c r="E58" i="15"/>
  <c r="E60" i="15"/>
  <c r="F60" i="15"/>
  <c r="F55" i="15"/>
  <c r="D55" i="15"/>
  <c r="E55" i="15"/>
  <c r="C55" i="15"/>
  <c r="F54" i="15"/>
  <c r="E54" i="15"/>
  <c r="F53" i="15"/>
  <c r="E53" i="15"/>
  <c r="F50" i="15"/>
  <c r="D50" i="15"/>
  <c r="E50" i="15"/>
  <c r="C50" i="15"/>
  <c r="F49" i="15"/>
  <c r="E49" i="15"/>
  <c r="F48" i="15"/>
  <c r="E48" i="15"/>
  <c r="D45" i="15"/>
  <c r="E45" i="15"/>
  <c r="F45" i="15"/>
  <c r="C45" i="15"/>
  <c r="F44" i="15"/>
  <c r="E44" i="15"/>
  <c r="F43" i="15"/>
  <c r="E43" i="15"/>
  <c r="F37" i="15"/>
  <c r="D37" i="15"/>
  <c r="E37" i="15"/>
  <c r="C37" i="15"/>
  <c r="F36" i="15"/>
  <c r="E36" i="15"/>
  <c r="F35" i="15"/>
  <c r="E35" i="15"/>
  <c r="F34" i="15"/>
  <c r="E34" i="15"/>
  <c r="F33" i="15"/>
  <c r="E33" i="15"/>
  <c r="D30" i="15"/>
  <c r="E30" i="15"/>
  <c r="F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C75" i="13"/>
  <c r="E73" i="13"/>
  <c r="D73" i="13"/>
  <c r="D75" i="13"/>
  <c r="C73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E48" i="13"/>
  <c r="E42" i="13"/>
  <c r="C48" i="13"/>
  <c r="C42" i="13"/>
  <c r="E46" i="13"/>
  <c r="E59" i="13"/>
  <c r="E61" i="13"/>
  <c r="E57" i="13"/>
  <c r="D46" i="13"/>
  <c r="D59" i="13"/>
  <c r="D61" i="13"/>
  <c r="D57" i="13"/>
  <c r="C46" i="13"/>
  <c r="C59" i="13"/>
  <c r="C61" i="13"/>
  <c r="C57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25" i="13"/>
  <c r="E27" i="13"/>
  <c r="C25" i="13"/>
  <c r="C27" i="13"/>
  <c r="E15" i="13"/>
  <c r="E24" i="13"/>
  <c r="C15" i="13"/>
  <c r="C24" i="13"/>
  <c r="E13" i="13"/>
  <c r="D13" i="13"/>
  <c r="D25" i="13"/>
  <c r="D27" i="13"/>
  <c r="C13" i="13"/>
  <c r="F47" i="12"/>
  <c r="D47" i="12"/>
  <c r="E47" i="12"/>
  <c r="C47" i="12"/>
  <c r="F46" i="12"/>
  <c r="E46" i="12"/>
  <c r="F45" i="12"/>
  <c r="E45" i="12"/>
  <c r="D40" i="12"/>
  <c r="E40" i="12"/>
  <c r="F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F12" i="12"/>
  <c r="E12" i="12"/>
  <c r="F11" i="12"/>
  <c r="E11" i="12"/>
  <c r="D73" i="11"/>
  <c r="E73" i="11"/>
  <c r="F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F61" i="11"/>
  <c r="D61" i="11"/>
  <c r="D65" i="11"/>
  <c r="C61" i="11"/>
  <c r="C65" i="11"/>
  <c r="F60" i="11"/>
  <c r="E60" i="11"/>
  <c r="F59" i="11"/>
  <c r="E59" i="11"/>
  <c r="D56" i="11"/>
  <c r="D75" i="11"/>
  <c r="C56" i="11"/>
  <c r="C75" i="11"/>
  <c r="F55" i="11"/>
  <c r="E55" i="11"/>
  <c r="F54" i="11"/>
  <c r="E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E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D43" i="11"/>
  <c r="E43" i="11"/>
  <c r="C22" i="11"/>
  <c r="C43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0" i="10"/>
  <c r="D120" i="10"/>
  <c r="E120" i="10"/>
  <c r="C120" i="10"/>
  <c r="F119" i="10"/>
  <c r="D119" i="10"/>
  <c r="E119" i="10"/>
  <c r="C119" i="10"/>
  <c r="F118" i="10"/>
  <c r="D118" i="10"/>
  <c r="E118" i="10"/>
  <c r="C118" i="10"/>
  <c r="F117" i="10"/>
  <c r="D117" i="10"/>
  <c r="E117" i="10"/>
  <c r="C117" i="10"/>
  <c r="F116" i="10"/>
  <c r="D116" i="10"/>
  <c r="E116" i="10"/>
  <c r="C116" i="10"/>
  <c r="F115" i="10"/>
  <c r="D115" i="10"/>
  <c r="E115" i="10"/>
  <c r="C115" i="10"/>
  <c r="F114" i="10"/>
  <c r="D114" i="10"/>
  <c r="E114" i="10"/>
  <c r="C114" i="10"/>
  <c r="F113" i="10"/>
  <c r="D113" i="10"/>
  <c r="D122" i="10"/>
  <c r="E122" i="10"/>
  <c r="C113" i="10"/>
  <c r="C122" i="10"/>
  <c r="F122" i="10"/>
  <c r="F112" i="10"/>
  <c r="D112" i="10"/>
  <c r="D121" i="10"/>
  <c r="C112" i="10"/>
  <c r="C121" i="10"/>
  <c r="F121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D205" i="9"/>
  <c r="E205" i="9"/>
  <c r="C205" i="9"/>
  <c r="D204" i="9"/>
  <c r="E204" i="9"/>
  <c r="C204" i="9"/>
  <c r="D203" i="9"/>
  <c r="E203" i="9"/>
  <c r="C203" i="9"/>
  <c r="D202" i="9"/>
  <c r="E202" i="9"/>
  <c r="C202" i="9"/>
  <c r="D201" i="9"/>
  <c r="E201" i="9"/>
  <c r="C201" i="9"/>
  <c r="D200" i="9"/>
  <c r="E200" i="9"/>
  <c r="C200" i="9"/>
  <c r="D199" i="9"/>
  <c r="D208" i="9"/>
  <c r="C199" i="9"/>
  <c r="D198" i="9"/>
  <c r="D207" i="9"/>
  <c r="C198" i="9"/>
  <c r="F193" i="9"/>
  <c r="D193" i="9"/>
  <c r="E193" i="9"/>
  <c r="C193" i="9"/>
  <c r="F192" i="9"/>
  <c r="D192" i="9"/>
  <c r="E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E141" i="9"/>
  <c r="C141" i="9"/>
  <c r="F140" i="9"/>
  <c r="D140" i="9"/>
  <c r="E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F115" i="9"/>
  <c r="D115" i="9"/>
  <c r="E115" i="9"/>
  <c r="C115" i="9"/>
  <c r="F114" i="9"/>
  <c r="D114" i="9"/>
  <c r="E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/>
  <c r="F102" i="9"/>
  <c r="C102" i="9"/>
  <c r="D101" i="9"/>
  <c r="E101" i="9"/>
  <c r="F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/>
  <c r="C76" i="9"/>
  <c r="D75" i="9"/>
  <c r="E75" i="9"/>
  <c r="F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/>
  <c r="D166" i="8"/>
  <c r="C164" i="8"/>
  <c r="E162" i="8"/>
  <c r="D162" i="8"/>
  <c r="C162" i="8"/>
  <c r="E161" i="8"/>
  <c r="D161" i="8"/>
  <c r="C161" i="8"/>
  <c r="E160" i="8"/>
  <c r="E166" i="8"/>
  <c r="C160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4" i="8"/>
  <c r="C104" i="8"/>
  <c r="E102" i="8"/>
  <c r="D102" i="8"/>
  <c r="D104" i="8"/>
  <c r="C102" i="8"/>
  <c r="E100" i="8"/>
  <c r="D100" i="8"/>
  <c r="C100" i="8"/>
  <c r="E95" i="8"/>
  <c r="E94" i="8"/>
  <c r="D95" i="8"/>
  <c r="C95" i="8"/>
  <c r="C94" i="8"/>
  <c r="D94" i="8"/>
  <c r="E89" i="8"/>
  <c r="D89" i="8"/>
  <c r="C89" i="8"/>
  <c r="C88" i="8"/>
  <c r="C90" i="8"/>
  <c r="C86" i="8"/>
  <c r="E87" i="8"/>
  <c r="D87" i="8"/>
  <c r="C87" i="8"/>
  <c r="E84" i="8"/>
  <c r="D84" i="8"/>
  <c r="C84" i="8"/>
  <c r="E83" i="8"/>
  <c r="E79" i="8"/>
  <c r="D83" i="8"/>
  <c r="C83" i="8"/>
  <c r="C79" i="8"/>
  <c r="D79" i="8"/>
  <c r="E77" i="8"/>
  <c r="E71" i="8"/>
  <c r="C77" i="8"/>
  <c r="C71" i="8"/>
  <c r="E75" i="8"/>
  <c r="E88" i="8"/>
  <c r="E90" i="8"/>
  <c r="E86" i="8"/>
  <c r="D75" i="8"/>
  <c r="D88" i="8"/>
  <c r="D90" i="8"/>
  <c r="D86" i="8"/>
  <c r="C75" i="8"/>
  <c r="E74" i="8"/>
  <c r="D74" i="8"/>
  <c r="C74" i="8"/>
  <c r="E67" i="8"/>
  <c r="D67" i="8"/>
  <c r="C67" i="8"/>
  <c r="D53" i="8"/>
  <c r="D43" i="8"/>
  <c r="E38" i="8"/>
  <c r="E57" i="8"/>
  <c r="E62" i="8"/>
  <c r="D38" i="8"/>
  <c r="D57" i="8"/>
  <c r="D62" i="8"/>
  <c r="C38" i="8"/>
  <c r="C57" i="8"/>
  <c r="C62" i="8"/>
  <c r="E33" i="8"/>
  <c r="E34" i="8"/>
  <c r="D33" i="8"/>
  <c r="D34" i="8"/>
  <c r="E26" i="8"/>
  <c r="D26" i="8"/>
  <c r="C26" i="8"/>
  <c r="E25" i="8"/>
  <c r="E27" i="8"/>
  <c r="C25" i="8"/>
  <c r="C27" i="8"/>
  <c r="E15" i="8"/>
  <c r="E24" i="8"/>
  <c r="C15" i="8"/>
  <c r="C24" i="8"/>
  <c r="E13" i="8"/>
  <c r="D13" i="8"/>
  <c r="D25" i="8"/>
  <c r="D27" i="8"/>
  <c r="C13" i="8"/>
  <c r="F186" i="7"/>
  <c r="E186" i="7"/>
  <c r="D183" i="7"/>
  <c r="D188" i="7"/>
  <c r="E188" i="7"/>
  <c r="C183" i="7"/>
  <c r="C188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E167" i="7"/>
  <c r="F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D130" i="7"/>
  <c r="E130" i="7"/>
  <c r="F130" i="7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/>
  <c r="F121" i="7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D95" i="7"/>
  <c r="E95" i="7"/>
  <c r="C90" i="7"/>
  <c r="C95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F39" i="7"/>
  <c r="E39" i="7"/>
  <c r="F38" i="7"/>
  <c r="E38" i="7"/>
  <c r="D35" i="7"/>
  <c r="E35" i="7"/>
  <c r="F35" i="7"/>
  <c r="C35" i="7"/>
  <c r="F34" i="7"/>
  <c r="E34" i="7"/>
  <c r="F33" i="7"/>
  <c r="E33" i="7"/>
  <c r="D30" i="7"/>
  <c r="E30" i="7"/>
  <c r="F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F15" i="7"/>
  <c r="E15" i="7"/>
  <c r="D179" i="6"/>
  <c r="E179" i="6"/>
  <c r="F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D94" i="6"/>
  <c r="E94" i="6"/>
  <c r="F94" i="6"/>
  <c r="C94" i="6"/>
  <c r="F93" i="6"/>
  <c r="D93" i="6"/>
  <c r="E93" i="6"/>
  <c r="C93" i="6"/>
  <c r="D92" i="6"/>
  <c r="E92" i="6"/>
  <c r="F92" i="6"/>
  <c r="C92" i="6"/>
  <c r="D91" i="6"/>
  <c r="E91" i="6"/>
  <c r="F91" i="6"/>
  <c r="C91" i="6"/>
  <c r="D90" i="6"/>
  <c r="E90" i="6"/>
  <c r="F90" i="6"/>
  <c r="C90" i="6"/>
  <c r="D89" i="6"/>
  <c r="E89" i="6"/>
  <c r="F89" i="6"/>
  <c r="C89" i="6"/>
  <c r="D88" i="6"/>
  <c r="E88" i="6"/>
  <c r="F88" i="6"/>
  <c r="C88" i="6"/>
  <c r="F87" i="6"/>
  <c r="D87" i="6"/>
  <c r="E87" i="6"/>
  <c r="C87" i="6"/>
  <c r="D86" i="6"/>
  <c r="E86" i="6"/>
  <c r="F86" i="6"/>
  <c r="C86" i="6"/>
  <c r="D85" i="6"/>
  <c r="E85" i="6"/>
  <c r="F85" i="6"/>
  <c r="C85" i="6"/>
  <c r="D84" i="6"/>
  <c r="D95" i="6"/>
  <c r="E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D51" i="6"/>
  <c r="E51" i="6"/>
  <c r="F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E41" i="6"/>
  <c r="F41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F48" i="5"/>
  <c r="D48" i="5"/>
  <c r="E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E16" i="5"/>
  <c r="F16" i="5"/>
  <c r="C16" i="5"/>
  <c r="C18" i="5"/>
  <c r="F15" i="5"/>
  <c r="E15" i="5"/>
  <c r="F14" i="5"/>
  <c r="E14" i="5"/>
  <c r="F13" i="5"/>
  <c r="E13" i="5"/>
  <c r="F12" i="5"/>
  <c r="E12" i="5"/>
  <c r="D73" i="4"/>
  <c r="E73" i="4"/>
  <c r="F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F61" i="4"/>
  <c r="D61" i="4"/>
  <c r="E61" i="4"/>
  <c r="C61" i="4"/>
  <c r="C65" i="4"/>
  <c r="F60" i="4"/>
  <c r="E60" i="4"/>
  <c r="F59" i="4"/>
  <c r="E59" i="4"/>
  <c r="D56" i="4"/>
  <c r="E56" i="4"/>
  <c r="F56" i="4"/>
  <c r="C56" i="4"/>
  <c r="C75" i="4"/>
  <c r="F55" i="4"/>
  <c r="E55" i="4"/>
  <c r="F54" i="4"/>
  <c r="E54" i="4"/>
  <c r="F53" i="4"/>
  <c r="E53" i="4"/>
  <c r="F52" i="4"/>
  <c r="E52" i="4"/>
  <c r="F51" i="4"/>
  <c r="E51" i="4"/>
  <c r="A51" i="4"/>
  <c r="A52" i="4"/>
  <c r="A53" i="4"/>
  <c r="A54" i="4"/>
  <c r="A55" i="4"/>
  <c r="E50" i="4"/>
  <c r="F50" i="4"/>
  <c r="A50" i="4"/>
  <c r="F49" i="4"/>
  <c r="E49" i="4"/>
  <c r="F40" i="4"/>
  <c r="E40" i="4"/>
  <c r="D38" i="4"/>
  <c r="E38" i="4"/>
  <c r="F38" i="4"/>
  <c r="C38" i="4"/>
  <c r="C41" i="4"/>
  <c r="F37" i="4"/>
  <c r="E37" i="4"/>
  <c r="F36" i="4"/>
  <c r="E36" i="4"/>
  <c r="F33" i="4"/>
  <c r="E33" i="4"/>
  <c r="F32" i="4"/>
  <c r="E32" i="4"/>
  <c r="F31" i="4"/>
  <c r="E31" i="4"/>
  <c r="D29" i="4"/>
  <c r="E29" i="4"/>
  <c r="F29" i="4"/>
  <c r="C29" i="4"/>
  <c r="F28" i="4"/>
  <c r="E28" i="4"/>
  <c r="F27" i="4"/>
  <c r="E27" i="4"/>
  <c r="F26" i="4"/>
  <c r="E26" i="4"/>
  <c r="F25" i="4"/>
  <c r="E25" i="4"/>
  <c r="D22" i="4"/>
  <c r="E22" i="4"/>
  <c r="F22" i="4"/>
  <c r="C22" i="4"/>
  <c r="C43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D108" i="22"/>
  <c r="D109" i="22"/>
  <c r="C109" i="22"/>
  <c r="C108" i="22"/>
  <c r="E109" i="22"/>
  <c r="E108" i="22"/>
  <c r="C103" i="22"/>
  <c r="D22" i="22"/>
  <c r="C23" i="22"/>
  <c r="E23" i="22"/>
  <c r="D33" i="22"/>
  <c r="C34" i="22"/>
  <c r="E34" i="22"/>
  <c r="D101" i="22"/>
  <c r="D103" i="22"/>
  <c r="C102" i="22"/>
  <c r="E102" i="22"/>
  <c r="E103" i="22"/>
  <c r="C22" i="22"/>
  <c r="E22" i="22"/>
  <c r="D23" i="22"/>
  <c r="F20" i="20"/>
  <c r="C41" i="20"/>
  <c r="F40" i="20"/>
  <c r="D41" i="20"/>
  <c r="E39" i="20"/>
  <c r="E41" i="20"/>
  <c r="E19" i="20"/>
  <c r="F19" i="20"/>
  <c r="E43" i="20"/>
  <c r="C38" i="19"/>
  <c r="C127" i="19"/>
  <c r="C129" i="19"/>
  <c r="C133" i="19"/>
  <c r="E294" i="17"/>
  <c r="E295" i="17"/>
  <c r="E296" i="17"/>
  <c r="E297" i="17"/>
  <c r="E298" i="17"/>
  <c r="E299" i="17"/>
  <c r="C22" i="19"/>
  <c r="D258" i="18"/>
  <c r="D100" i="18"/>
  <c r="D98" i="18"/>
  <c r="D96" i="18"/>
  <c r="D89" i="18"/>
  <c r="D87" i="18"/>
  <c r="D85" i="18"/>
  <c r="D83" i="18"/>
  <c r="D101" i="18"/>
  <c r="D99" i="18"/>
  <c r="E99" i="18"/>
  <c r="D97" i="18"/>
  <c r="D95" i="18"/>
  <c r="D88" i="18"/>
  <c r="D86" i="18"/>
  <c r="E86" i="18"/>
  <c r="D84" i="18"/>
  <c r="E44" i="18"/>
  <c r="E43" i="18"/>
  <c r="C258" i="18"/>
  <c r="C101" i="18"/>
  <c r="C99" i="18"/>
  <c r="C97" i="18"/>
  <c r="C95" i="18"/>
  <c r="C88" i="18"/>
  <c r="C86" i="18"/>
  <c r="C84" i="18"/>
  <c r="C100" i="18"/>
  <c r="C98" i="18"/>
  <c r="C96" i="18"/>
  <c r="C89" i="18"/>
  <c r="C87" i="18"/>
  <c r="C85" i="18"/>
  <c r="C83" i="18"/>
  <c r="E21" i="18"/>
  <c r="D22" i="18"/>
  <c r="C33" i="18"/>
  <c r="C295" i="18"/>
  <c r="E37" i="18"/>
  <c r="D55" i="18"/>
  <c r="E55" i="18"/>
  <c r="E54" i="18"/>
  <c r="D289" i="18"/>
  <c r="E289" i="18"/>
  <c r="D71" i="18"/>
  <c r="E71" i="18"/>
  <c r="D65" i="18"/>
  <c r="D294" i="18"/>
  <c r="E294" i="18"/>
  <c r="E60" i="18"/>
  <c r="C77" i="18"/>
  <c r="E69" i="18"/>
  <c r="D76" i="18"/>
  <c r="E76" i="18"/>
  <c r="E70" i="18"/>
  <c r="E163" i="18"/>
  <c r="E85" i="17"/>
  <c r="F85" i="17"/>
  <c r="E32" i="18"/>
  <c r="E36" i="18"/>
  <c r="D77" i="18"/>
  <c r="E139" i="18"/>
  <c r="D144" i="18"/>
  <c r="C145" i="18"/>
  <c r="C156" i="18"/>
  <c r="C157" i="18"/>
  <c r="E157" i="18"/>
  <c r="E156" i="18"/>
  <c r="C163" i="18"/>
  <c r="D175" i="18"/>
  <c r="E175" i="18"/>
  <c r="E261" i="18"/>
  <c r="C229" i="18"/>
  <c r="C210" i="18"/>
  <c r="C180" i="18"/>
  <c r="E205" i="18"/>
  <c r="D241" i="18"/>
  <c r="E242" i="18"/>
  <c r="E243" i="18"/>
  <c r="E244" i="18"/>
  <c r="E245" i="18"/>
  <c r="D252" i="18"/>
  <c r="D253" i="18"/>
  <c r="E253" i="18"/>
  <c r="E302" i="18"/>
  <c r="C303" i="18"/>
  <c r="C306" i="18"/>
  <c r="C310" i="18"/>
  <c r="C261" i="18"/>
  <c r="C263" i="18"/>
  <c r="C189" i="18"/>
  <c r="E189" i="18"/>
  <c r="E188" i="18"/>
  <c r="D260" i="18"/>
  <c r="E195" i="18"/>
  <c r="E229" i="18"/>
  <c r="D234" i="18"/>
  <c r="D211" i="18"/>
  <c r="E210" i="18"/>
  <c r="D239" i="18"/>
  <c r="E239" i="18"/>
  <c r="E215" i="18"/>
  <c r="C253" i="18"/>
  <c r="E303" i="18"/>
  <c r="D306" i="18"/>
  <c r="D320" i="18"/>
  <c r="E320" i="18"/>
  <c r="E316" i="18"/>
  <c r="E326" i="18"/>
  <c r="D330" i="18"/>
  <c r="E330" i="18"/>
  <c r="C217" i="18"/>
  <c r="C241" i="18"/>
  <c r="E219" i="18"/>
  <c r="E221" i="18"/>
  <c r="D222" i="18"/>
  <c r="D223" i="18"/>
  <c r="C252" i="18"/>
  <c r="C254" i="18"/>
  <c r="E265" i="18"/>
  <c r="E314" i="18"/>
  <c r="E216" i="18"/>
  <c r="E218" i="18"/>
  <c r="E220" i="18"/>
  <c r="C222" i="18"/>
  <c r="C246" i="18"/>
  <c r="E233" i="18"/>
  <c r="E301" i="18"/>
  <c r="E324" i="18"/>
  <c r="D32" i="17"/>
  <c r="E31" i="17"/>
  <c r="D90" i="17"/>
  <c r="E48" i="17"/>
  <c r="D61" i="17"/>
  <c r="E60" i="17"/>
  <c r="F60" i="17"/>
  <c r="E68" i="17"/>
  <c r="F68" i="17"/>
  <c r="E77" i="17"/>
  <c r="E89" i="17"/>
  <c r="F89" i="17"/>
  <c r="E20" i="17"/>
  <c r="F20" i="17"/>
  <c r="D21" i="17"/>
  <c r="F31" i="17"/>
  <c r="C32" i="17"/>
  <c r="C160" i="17"/>
  <c r="C90" i="17"/>
  <c r="F48" i="17"/>
  <c r="C61" i="17"/>
  <c r="C282" i="17"/>
  <c r="C281" i="17"/>
  <c r="C266" i="17"/>
  <c r="C21" i="17"/>
  <c r="E30" i="17"/>
  <c r="F30" i="17"/>
  <c r="E35" i="17"/>
  <c r="F35" i="17"/>
  <c r="C37" i="17"/>
  <c r="E47" i="17"/>
  <c r="F47" i="17"/>
  <c r="E59" i="17"/>
  <c r="F59" i="17"/>
  <c r="E66" i="17"/>
  <c r="F66" i="17"/>
  <c r="E76" i="17"/>
  <c r="F76" i="17"/>
  <c r="D102" i="17"/>
  <c r="D111" i="17"/>
  <c r="E111" i="17"/>
  <c r="F111" i="17"/>
  <c r="D192" i="17"/>
  <c r="D193" i="17"/>
  <c r="E123" i="17"/>
  <c r="F123" i="17"/>
  <c r="D124" i="17"/>
  <c r="D137" i="17"/>
  <c r="D146" i="17"/>
  <c r="E146" i="17"/>
  <c r="F146" i="17"/>
  <c r="D159" i="17"/>
  <c r="E159" i="17"/>
  <c r="F159" i="17"/>
  <c r="D172" i="17"/>
  <c r="D181" i="17"/>
  <c r="E181" i="17"/>
  <c r="F181" i="17"/>
  <c r="C287" i="17"/>
  <c r="C284" i="17"/>
  <c r="C279" i="17"/>
  <c r="D278" i="17"/>
  <c r="D262" i="17"/>
  <c r="D215" i="17"/>
  <c r="E189" i="17"/>
  <c r="F189" i="17"/>
  <c r="E227" i="17"/>
  <c r="F227" i="17"/>
  <c r="E239" i="17"/>
  <c r="E88" i="17"/>
  <c r="F88" i="17"/>
  <c r="C194" i="17"/>
  <c r="C207" i="17"/>
  <c r="C138" i="17"/>
  <c r="D277" i="17"/>
  <c r="D261" i="17"/>
  <c r="D214" i="17"/>
  <c r="D206" i="17"/>
  <c r="E206" i="17"/>
  <c r="E188" i="17"/>
  <c r="F188" i="17"/>
  <c r="D280" i="17"/>
  <c r="D264" i="17"/>
  <c r="D200" i="17"/>
  <c r="E191" i="17"/>
  <c r="F191" i="17"/>
  <c r="F239" i="17"/>
  <c r="C124" i="17"/>
  <c r="C288" i="17"/>
  <c r="C190" i="17"/>
  <c r="C192" i="17"/>
  <c r="C199" i="17"/>
  <c r="C200" i="17"/>
  <c r="C286" i="17"/>
  <c r="C205" i="17"/>
  <c r="C206" i="17"/>
  <c r="C214" i="17"/>
  <c r="C215" i="17"/>
  <c r="E226" i="17"/>
  <c r="F226" i="17"/>
  <c r="E237" i="17"/>
  <c r="F237" i="17"/>
  <c r="E250" i="17"/>
  <c r="F250" i="17"/>
  <c r="C254" i="17"/>
  <c r="C255" i="17"/>
  <c r="C261" i="17"/>
  <c r="C262" i="17"/>
  <c r="C264" i="17"/>
  <c r="C267" i="17"/>
  <c r="C269" i="17"/>
  <c r="C274" i="17"/>
  <c r="D290" i="17"/>
  <c r="E290" i="17"/>
  <c r="F290" i="17"/>
  <c r="D274" i="17"/>
  <c r="E274" i="17"/>
  <c r="D199" i="17"/>
  <c r="E199" i="17"/>
  <c r="D283" i="17"/>
  <c r="D267" i="17"/>
  <c r="D285" i="17"/>
  <c r="E285" i="17"/>
  <c r="F285" i="17"/>
  <c r="D269" i="17"/>
  <c r="E269" i="17"/>
  <c r="D205" i="17"/>
  <c r="E205" i="17"/>
  <c r="F294" i="17"/>
  <c r="F295" i="17"/>
  <c r="F296" i="17"/>
  <c r="F297" i="17"/>
  <c r="F298" i="17"/>
  <c r="F299" i="17"/>
  <c r="F22" i="16"/>
  <c r="F36" i="14"/>
  <c r="F38" i="14"/>
  <c r="F40" i="14"/>
  <c r="I31" i="14"/>
  <c r="I17" i="14"/>
  <c r="D31" i="14"/>
  <c r="F31" i="14"/>
  <c r="H31" i="14"/>
  <c r="C33" i="14"/>
  <c r="C36" i="14"/>
  <c r="C38" i="14"/>
  <c r="C40" i="14"/>
  <c r="E33" i="14"/>
  <c r="E36" i="14"/>
  <c r="E38" i="14"/>
  <c r="E40" i="14"/>
  <c r="G33" i="14"/>
  <c r="H17" i="14"/>
  <c r="E20" i="13"/>
  <c r="E21" i="13"/>
  <c r="D21" i="13"/>
  <c r="C22" i="13"/>
  <c r="C20" i="13"/>
  <c r="C21" i="13"/>
  <c r="D15" i="13"/>
  <c r="C17" i="13"/>
  <c r="C28" i="13"/>
  <c r="C70" i="13"/>
  <c r="C72" i="13"/>
  <c r="C69" i="13"/>
  <c r="E17" i="13"/>
  <c r="E28" i="13"/>
  <c r="E70" i="13"/>
  <c r="E72" i="13"/>
  <c r="E69" i="13"/>
  <c r="D48" i="13"/>
  <c r="D42" i="13"/>
  <c r="D20" i="12"/>
  <c r="E17" i="12"/>
  <c r="F17" i="12"/>
  <c r="C20" i="12"/>
  <c r="E15" i="12"/>
  <c r="F15" i="12"/>
  <c r="F43" i="11"/>
  <c r="F41" i="11"/>
  <c r="E75" i="11"/>
  <c r="E65" i="11"/>
  <c r="F75" i="11"/>
  <c r="F65" i="11"/>
  <c r="E22" i="11"/>
  <c r="F22" i="11"/>
  <c r="E38" i="11"/>
  <c r="F38" i="11"/>
  <c r="E56" i="11"/>
  <c r="F56" i="11"/>
  <c r="E61" i="11"/>
  <c r="E121" i="10"/>
  <c r="E112" i="10"/>
  <c r="E113" i="10"/>
  <c r="F198" i="9"/>
  <c r="F200" i="9"/>
  <c r="F201" i="9"/>
  <c r="F202" i="9"/>
  <c r="F203" i="9"/>
  <c r="F204" i="9"/>
  <c r="F205" i="9"/>
  <c r="F206" i="9"/>
  <c r="E198" i="9"/>
  <c r="E199" i="9"/>
  <c r="F199" i="9"/>
  <c r="C207" i="9"/>
  <c r="C208" i="9"/>
  <c r="E20" i="8"/>
  <c r="E21" i="8"/>
  <c r="C140" i="8"/>
  <c r="C138" i="8"/>
  <c r="C136" i="8"/>
  <c r="C139" i="8"/>
  <c r="C137" i="8"/>
  <c r="C135" i="8"/>
  <c r="C141" i="8"/>
  <c r="E157" i="8"/>
  <c r="E155" i="8"/>
  <c r="E153" i="8"/>
  <c r="E156" i="8"/>
  <c r="E154" i="8"/>
  <c r="E152" i="8"/>
  <c r="E158" i="8"/>
  <c r="D156" i="8"/>
  <c r="D154" i="8"/>
  <c r="D152" i="8"/>
  <c r="D157" i="8"/>
  <c r="D155" i="8"/>
  <c r="D153" i="8"/>
  <c r="D21" i="8"/>
  <c r="C20" i="8"/>
  <c r="C21" i="8"/>
  <c r="E140" i="8"/>
  <c r="E138" i="8"/>
  <c r="E136" i="8"/>
  <c r="E139" i="8"/>
  <c r="E137" i="8"/>
  <c r="E135" i="8"/>
  <c r="D139" i="8"/>
  <c r="D137" i="8"/>
  <c r="D135" i="8"/>
  <c r="D141" i="8"/>
  <c r="D140" i="8"/>
  <c r="D138" i="8"/>
  <c r="D136" i="8"/>
  <c r="C157" i="8"/>
  <c r="C155" i="8"/>
  <c r="C153" i="8"/>
  <c r="C156" i="8"/>
  <c r="C154" i="8"/>
  <c r="C152" i="8"/>
  <c r="D15" i="8"/>
  <c r="C17" i="8"/>
  <c r="E17" i="8"/>
  <c r="C43" i="8"/>
  <c r="E43" i="8"/>
  <c r="D49" i="8"/>
  <c r="C53" i="8"/>
  <c r="E53" i="8"/>
  <c r="D77" i="8"/>
  <c r="D71" i="8"/>
  <c r="C49" i="8"/>
  <c r="E49" i="8"/>
  <c r="F95" i="7"/>
  <c r="F188" i="7"/>
  <c r="E90" i="7"/>
  <c r="F90" i="7"/>
  <c r="E183" i="7"/>
  <c r="F183" i="7"/>
  <c r="F95" i="6"/>
  <c r="D52" i="6"/>
  <c r="E52" i="6"/>
  <c r="F52" i="6"/>
  <c r="E84" i="6"/>
  <c r="F84" i="6"/>
  <c r="C21" i="5"/>
  <c r="D18" i="5"/>
  <c r="D41" i="4"/>
  <c r="E41" i="4"/>
  <c r="F41" i="4"/>
  <c r="D65" i="4"/>
  <c r="E65" i="4"/>
  <c r="F65" i="4"/>
  <c r="D54" i="22"/>
  <c r="D46" i="22"/>
  <c r="D40" i="22"/>
  <c r="D36" i="22"/>
  <c r="D30" i="22"/>
  <c r="D111" i="22"/>
  <c r="C53" i="22"/>
  <c r="C45" i="22"/>
  <c r="C39" i="22"/>
  <c r="C35" i="22"/>
  <c r="C29" i="22"/>
  <c r="C110" i="22"/>
  <c r="C111" i="22"/>
  <c r="C54" i="22"/>
  <c r="C46" i="22"/>
  <c r="C40" i="22"/>
  <c r="C36" i="22"/>
  <c r="C30" i="22"/>
  <c r="E53" i="22"/>
  <c r="E45" i="22"/>
  <c r="E39" i="22"/>
  <c r="E35" i="22"/>
  <c r="E29" i="22"/>
  <c r="E110" i="22"/>
  <c r="E111" i="22"/>
  <c r="E54" i="22"/>
  <c r="E46" i="22"/>
  <c r="E40" i="22"/>
  <c r="E36" i="22"/>
  <c r="E30" i="22"/>
  <c r="D110" i="22"/>
  <c r="D53" i="22"/>
  <c r="D45" i="22"/>
  <c r="D39" i="22"/>
  <c r="D35" i="22"/>
  <c r="D29" i="22"/>
  <c r="F39" i="20"/>
  <c r="F43" i="20"/>
  <c r="E46" i="20"/>
  <c r="F46" i="20"/>
  <c r="F41" i="20"/>
  <c r="C223" i="18"/>
  <c r="C247" i="18"/>
  <c r="E217" i="18"/>
  <c r="E306" i="18"/>
  <c r="D310" i="18"/>
  <c r="E310" i="18"/>
  <c r="D254" i="18"/>
  <c r="E254" i="18"/>
  <c r="E252" i="18"/>
  <c r="D180" i="18"/>
  <c r="E180" i="18"/>
  <c r="D145" i="18"/>
  <c r="E144" i="18"/>
  <c r="D168" i="18"/>
  <c r="E168" i="18"/>
  <c r="C168" i="18"/>
  <c r="C102" i="18"/>
  <c r="C103" i="18"/>
  <c r="C264" i="18"/>
  <c r="C266" i="18"/>
  <c r="C267" i="18"/>
  <c r="D259" i="18"/>
  <c r="E84" i="18"/>
  <c r="D90" i="18"/>
  <c r="E88" i="18"/>
  <c r="E97" i="18"/>
  <c r="E101" i="18"/>
  <c r="E85" i="18"/>
  <c r="E89" i="18"/>
  <c r="E98" i="18"/>
  <c r="E258" i="18"/>
  <c r="E222" i="18"/>
  <c r="D246" i="18"/>
  <c r="E246" i="18"/>
  <c r="D235" i="18"/>
  <c r="E211" i="18"/>
  <c r="E260" i="18"/>
  <c r="E241" i="18"/>
  <c r="C234" i="18"/>
  <c r="E234" i="18"/>
  <c r="C211" i="18"/>
  <c r="C235" i="18"/>
  <c r="C181" i="18"/>
  <c r="C169" i="18"/>
  <c r="D127" i="18"/>
  <c r="D125" i="18"/>
  <c r="D123" i="18"/>
  <c r="D121" i="18"/>
  <c r="D114" i="18"/>
  <c r="D112" i="18"/>
  <c r="D110" i="18"/>
  <c r="E77" i="18"/>
  <c r="D126" i="18"/>
  <c r="E126" i="18"/>
  <c r="D124" i="18"/>
  <c r="D122" i="18"/>
  <c r="D115" i="18"/>
  <c r="D113" i="18"/>
  <c r="E113" i="18"/>
  <c r="D111" i="18"/>
  <c r="D109" i="18"/>
  <c r="C126" i="18"/>
  <c r="C124" i="18"/>
  <c r="C122" i="18"/>
  <c r="C115" i="18"/>
  <c r="C113" i="18"/>
  <c r="C111" i="18"/>
  <c r="C109" i="18"/>
  <c r="C127" i="18"/>
  <c r="C125" i="18"/>
  <c r="C123" i="18"/>
  <c r="C121" i="18"/>
  <c r="C114" i="18"/>
  <c r="C112" i="18"/>
  <c r="C110" i="18"/>
  <c r="C116" i="18"/>
  <c r="D66" i="18"/>
  <c r="E65" i="18"/>
  <c r="D284" i="18"/>
  <c r="E284" i="18"/>
  <c r="E22" i="18"/>
  <c r="C90" i="18"/>
  <c r="C91" i="18"/>
  <c r="C105" i="18"/>
  <c r="E95" i="18"/>
  <c r="D91" i="18"/>
  <c r="E83" i="18"/>
  <c r="E87" i="18"/>
  <c r="D102" i="18"/>
  <c r="E102" i="18"/>
  <c r="E96" i="18"/>
  <c r="E100" i="18"/>
  <c r="E33" i="18"/>
  <c r="C270" i="17"/>
  <c r="C216" i="17"/>
  <c r="E200" i="17"/>
  <c r="F200" i="17"/>
  <c r="E280" i="17"/>
  <c r="F280" i="17"/>
  <c r="D271" i="17"/>
  <c r="D268" i="17"/>
  <c r="D263" i="17"/>
  <c r="E261" i="17"/>
  <c r="D270" i="17"/>
  <c r="E267" i="17"/>
  <c r="F267" i="17"/>
  <c r="F269" i="17"/>
  <c r="C300" i="17"/>
  <c r="C265" i="17"/>
  <c r="F261" i="17"/>
  <c r="C271" i="17"/>
  <c r="C268" i="17"/>
  <c r="C263" i="17"/>
  <c r="F206" i="17"/>
  <c r="F199" i="17"/>
  <c r="D194" i="17"/>
  <c r="E193" i="17"/>
  <c r="F193" i="17"/>
  <c r="D300" i="17"/>
  <c r="E264" i="17"/>
  <c r="F264" i="17"/>
  <c r="D254" i="17"/>
  <c r="D216" i="17"/>
  <c r="E214" i="17"/>
  <c r="F214" i="17"/>
  <c r="E277" i="17"/>
  <c r="F277" i="17"/>
  <c r="D287" i="17"/>
  <c r="D284" i="17"/>
  <c r="E284" i="17"/>
  <c r="D279" i="17"/>
  <c r="E279" i="17"/>
  <c r="F279" i="17"/>
  <c r="C208" i="17"/>
  <c r="D255" i="17"/>
  <c r="E255" i="17"/>
  <c r="F255" i="17"/>
  <c r="E215" i="17"/>
  <c r="F215" i="17"/>
  <c r="E278" i="17"/>
  <c r="F278" i="17"/>
  <c r="D288" i="17"/>
  <c r="E288" i="17"/>
  <c r="F288" i="17"/>
  <c r="C291" i="17"/>
  <c r="C289" i="17"/>
  <c r="E172" i="17"/>
  <c r="F172" i="17"/>
  <c r="D173" i="17"/>
  <c r="E173" i="17"/>
  <c r="F173" i="17"/>
  <c r="E124" i="17"/>
  <c r="F124" i="17"/>
  <c r="E192" i="17"/>
  <c r="F192" i="17"/>
  <c r="E102" i="17"/>
  <c r="F102" i="17"/>
  <c r="D103" i="17"/>
  <c r="E103" i="17"/>
  <c r="F103" i="17"/>
  <c r="C209" i="17"/>
  <c r="C174" i="17"/>
  <c r="C139" i="17"/>
  <c r="C104" i="17"/>
  <c r="C125" i="17"/>
  <c r="C195" i="17"/>
  <c r="D282" i="17"/>
  <c r="E282" i="17"/>
  <c r="F282" i="17"/>
  <c r="D125" i="17"/>
  <c r="E125" i="17"/>
  <c r="E283" i="17"/>
  <c r="F283" i="17"/>
  <c r="D286" i="17"/>
  <c r="E286" i="17"/>
  <c r="F286" i="17"/>
  <c r="F274" i="17"/>
  <c r="C272" i="17"/>
  <c r="F205" i="17"/>
  <c r="D272" i="17"/>
  <c r="E272" i="17"/>
  <c r="E262" i="17"/>
  <c r="F262" i="17"/>
  <c r="F284" i="17"/>
  <c r="D207" i="17"/>
  <c r="E137" i="17"/>
  <c r="F137" i="17"/>
  <c r="D138" i="17"/>
  <c r="E138" i="17"/>
  <c r="F138" i="17"/>
  <c r="C304" i="17"/>
  <c r="C196" i="17"/>
  <c r="C161" i="17"/>
  <c r="C126" i="17"/>
  <c r="C91" i="17"/>
  <c r="C49" i="17"/>
  <c r="C210" i="17"/>
  <c r="C175" i="17"/>
  <c r="C140" i="17"/>
  <c r="C105" i="17"/>
  <c r="C62" i="17"/>
  <c r="D196" i="17"/>
  <c r="D49" i="17"/>
  <c r="D161" i="17"/>
  <c r="D126" i="17"/>
  <c r="D91" i="17"/>
  <c r="E21" i="17"/>
  <c r="F21" i="17"/>
  <c r="D266" i="17"/>
  <c r="E266" i="17"/>
  <c r="F266" i="17"/>
  <c r="E190" i="17"/>
  <c r="F190" i="17"/>
  <c r="D139" i="17"/>
  <c r="E139" i="17"/>
  <c r="E61" i="17"/>
  <c r="F61" i="17"/>
  <c r="E90" i="17"/>
  <c r="F90" i="17"/>
  <c r="D160" i="17"/>
  <c r="E160" i="17"/>
  <c r="F160" i="17"/>
  <c r="E37" i="17"/>
  <c r="F37" i="17"/>
  <c r="D62" i="17"/>
  <c r="D175" i="17"/>
  <c r="D105" i="17"/>
  <c r="E32" i="17"/>
  <c r="F32" i="17"/>
  <c r="G36" i="14"/>
  <c r="G38" i="14"/>
  <c r="G40" i="14"/>
  <c r="I33" i="14"/>
  <c r="I36" i="14"/>
  <c r="I38" i="14"/>
  <c r="I40" i="14"/>
  <c r="H33" i="14"/>
  <c r="H36" i="14"/>
  <c r="H38" i="14"/>
  <c r="H40" i="14"/>
  <c r="D24" i="13"/>
  <c r="D20" i="13"/>
  <c r="D17" i="13"/>
  <c r="D28" i="13"/>
  <c r="E22" i="13"/>
  <c r="D34" i="12"/>
  <c r="E20" i="12"/>
  <c r="F20" i="12"/>
  <c r="C34" i="12"/>
  <c r="F208" i="9"/>
  <c r="E208" i="9"/>
  <c r="F207" i="9"/>
  <c r="E207" i="9"/>
  <c r="D24" i="8"/>
  <c r="D20" i="8"/>
  <c r="D17" i="8"/>
  <c r="C112" i="8"/>
  <c r="C111" i="8"/>
  <c r="C28" i="8"/>
  <c r="C158" i="8"/>
  <c r="E141" i="8"/>
  <c r="D158" i="8"/>
  <c r="E112" i="8"/>
  <c r="E111" i="8"/>
  <c r="E28" i="8"/>
  <c r="E18" i="5"/>
  <c r="F18" i="5"/>
  <c r="D21" i="5"/>
  <c r="C35" i="5"/>
  <c r="D75" i="4"/>
  <c r="E75" i="4"/>
  <c r="F75" i="4"/>
  <c r="D43" i="4"/>
  <c r="E43" i="4"/>
  <c r="F43" i="4"/>
  <c r="D112" i="22"/>
  <c r="D55" i="22"/>
  <c r="D47" i="22"/>
  <c r="D37" i="22"/>
  <c r="E113" i="22"/>
  <c r="E56" i="22"/>
  <c r="E48" i="22"/>
  <c r="E38" i="22"/>
  <c r="C113" i="22"/>
  <c r="C56" i="22"/>
  <c r="C48" i="22"/>
  <c r="C38" i="22"/>
  <c r="E55" i="22"/>
  <c r="E47" i="22"/>
  <c r="E37" i="22"/>
  <c r="E112" i="22"/>
  <c r="C55" i="22"/>
  <c r="C47" i="22"/>
  <c r="C37" i="22"/>
  <c r="C112" i="22"/>
  <c r="D56" i="22"/>
  <c r="D48" i="22"/>
  <c r="D38" i="22"/>
  <c r="D113" i="22"/>
  <c r="D103" i="18"/>
  <c r="E103" i="18"/>
  <c r="E66" i="18"/>
  <c r="D295" i="18"/>
  <c r="E295" i="18"/>
  <c r="C117" i="18"/>
  <c r="C128" i="18"/>
  <c r="C129" i="18"/>
  <c r="E111" i="18"/>
  <c r="E115" i="18"/>
  <c r="E124" i="18"/>
  <c r="E112" i="18"/>
  <c r="D129" i="18"/>
  <c r="E121" i="18"/>
  <c r="E125" i="18"/>
  <c r="E235" i="18"/>
  <c r="E90" i="18"/>
  <c r="D263" i="18"/>
  <c r="E259" i="18"/>
  <c r="E223" i="18"/>
  <c r="D105" i="18"/>
  <c r="E105" i="18"/>
  <c r="E91" i="18"/>
  <c r="E109" i="18"/>
  <c r="E122" i="18"/>
  <c r="D128" i="18"/>
  <c r="E128" i="18"/>
  <c r="D116" i="18"/>
  <c r="E116" i="18"/>
  <c r="E110" i="18"/>
  <c r="E114" i="18"/>
  <c r="E123" i="18"/>
  <c r="E127" i="18"/>
  <c r="C269" i="18"/>
  <c r="C268" i="18"/>
  <c r="C271" i="18"/>
  <c r="D169" i="18"/>
  <c r="E169" i="18"/>
  <c r="D181" i="18"/>
  <c r="E181" i="18"/>
  <c r="E145" i="18"/>
  <c r="D247" i="18"/>
  <c r="E247" i="18"/>
  <c r="E175" i="17"/>
  <c r="D176" i="17"/>
  <c r="E91" i="17"/>
  <c r="D92" i="17"/>
  <c r="E161" i="17"/>
  <c r="D162" i="17"/>
  <c r="C162" i="17"/>
  <c r="F161" i="17"/>
  <c r="D208" i="17"/>
  <c r="E207" i="17"/>
  <c r="F207" i="17"/>
  <c r="C305" i="17"/>
  <c r="E287" i="17"/>
  <c r="F287" i="17"/>
  <c r="D291" i="17"/>
  <c r="D289" i="17"/>
  <c r="E289" i="17"/>
  <c r="F289" i="17"/>
  <c r="E254" i="17"/>
  <c r="F254" i="17"/>
  <c r="D140" i="17"/>
  <c r="D63" i="17"/>
  <c r="E63" i="17"/>
  <c r="E62" i="17"/>
  <c r="F62" i="17"/>
  <c r="D104" i="17"/>
  <c r="E104" i="17"/>
  <c r="F104" i="17"/>
  <c r="D174" i="17"/>
  <c r="E174" i="17"/>
  <c r="F174" i="17"/>
  <c r="E126" i="17"/>
  <c r="F126" i="17"/>
  <c r="D127" i="17"/>
  <c r="D50" i="17"/>
  <c r="E49" i="17"/>
  <c r="F49" i="17"/>
  <c r="C63" i="17"/>
  <c r="C106" i="17"/>
  <c r="C176" i="17"/>
  <c r="F175" i="17"/>
  <c r="C50" i="17"/>
  <c r="C127" i="17"/>
  <c r="F272" i="17"/>
  <c r="F125" i="17"/>
  <c r="E216" i="17"/>
  <c r="E300" i="17"/>
  <c r="E194" i="17"/>
  <c r="F194" i="17"/>
  <c r="D195" i="17"/>
  <c r="E195" i="17"/>
  <c r="F195" i="17"/>
  <c r="E270" i="17"/>
  <c r="F270" i="17"/>
  <c r="E268" i="17"/>
  <c r="F268" i="17"/>
  <c r="D281" i="17"/>
  <c r="E281" i="17"/>
  <c r="F281" i="17"/>
  <c r="E105" i="17"/>
  <c r="F105" i="17"/>
  <c r="D106" i="17"/>
  <c r="D197" i="17"/>
  <c r="E196" i="17"/>
  <c r="F196" i="17"/>
  <c r="C141" i="17"/>
  <c r="C92" i="17"/>
  <c r="F91" i="17"/>
  <c r="F139" i="17"/>
  <c r="D265" i="17"/>
  <c r="E265" i="17"/>
  <c r="F265" i="17"/>
  <c r="C273" i="17"/>
  <c r="F300" i="17"/>
  <c r="E263" i="17"/>
  <c r="F263" i="17"/>
  <c r="D304" i="17"/>
  <c r="D273" i="17"/>
  <c r="E273" i="17"/>
  <c r="E271" i="17"/>
  <c r="F271" i="17"/>
  <c r="F216" i="17"/>
  <c r="D70" i="13"/>
  <c r="D72" i="13"/>
  <c r="D69" i="13"/>
  <c r="D22" i="13"/>
  <c r="D42" i="12"/>
  <c r="E34" i="12"/>
  <c r="F34" i="12"/>
  <c r="C42" i="12"/>
  <c r="E99" i="8"/>
  <c r="E101" i="8"/>
  <c r="E98" i="8"/>
  <c r="E22" i="8"/>
  <c r="C99" i="8"/>
  <c r="C101" i="8"/>
  <c r="C98" i="8"/>
  <c r="C22" i="8"/>
  <c r="D28" i="8"/>
  <c r="D112" i="8"/>
  <c r="D111" i="8"/>
  <c r="C43" i="5"/>
  <c r="E21" i="5"/>
  <c r="F21" i="5"/>
  <c r="D35" i="5"/>
  <c r="D117" i="18"/>
  <c r="E263" i="18"/>
  <c r="D264" i="18"/>
  <c r="E129" i="18"/>
  <c r="C131" i="18"/>
  <c r="C324" i="17"/>
  <c r="C113" i="17"/>
  <c r="C322" i="17"/>
  <c r="C211" i="17"/>
  <c r="E304" i="17"/>
  <c r="F304" i="17"/>
  <c r="E106" i="17"/>
  <c r="F106" i="17"/>
  <c r="C70" i="17"/>
  <c r="F63" i="17"/>
  <c r="E127" i="17"/>
  <c r="E140" i="17"/>
  <c r="F140" i="17"/>
  <c r="D141" i="17"/>
  <c r="C323" i="17"/>
  <c r="C183" i="17"/>
  <c r="D323" i="17"/>
  <c r="E323" i="17"/>
  <c r="E162" i="17"/>
  <c r="F162" i="17"/>
  <c r="D183" i="17"/>
  <c r="E183" i="17"/>
  <c r="D324" i="17"/>
  <c r="E92" i="17"/>
  <c r="F92" i="17"/>
  <c r="D113" i="17"/>
  <c r="E113" i="17"/>
  <c r="E176" i="17"/>
  <c r="F176" i="17"/>
  <c r="F273" i="17"/>
  <c r="E197" i="17"/>
  <c r="C197" i="17"/>
  <c r="C148" i="17"/>
  <c r="F127" i="17"/>
  <c r="D70" i="17"/>
  <c r="E70" i="17"/>
  <c r="E50" i="17"/>
  <c r="F50" i="17"/>
  <c r="E291" i="17"/>
  <c r="F291" i="17"/>
  <c r="D305" i="17"/>
  <c r="C309" i="17"/>
  <c r="E208" i="17"/>
  <c r="F208" i="17"/>
  <c r="D210" i="17"/>
  <c r="D209" i="17"/>
  <c r="E209" i="17"/>
  <c r="F209" i="17"/>
  <c r="D49" i="12"/>
  <c r="E49" i="12"/>
  <c r="E42" i="12"/>
  <c r="F42" i="12"/>
  <c r="C49" i="12"/>
  <c r="D99" i="8"/>
  <c r="D101" i="8"/>
  <c r="D98" i="8"/>
  <c r="D22" i="8"/>
  <c r="C50" i="5"/>
  <c r="E35" i="5"/>
  <c r="F35" i="5"/>
  <c r="D43" i="5"/>
  <c r="E264" i="18"/>
  <c r="D266" i="18"/>
  <c r="E117" i="18"/>
  <c r="D131" i="18"/>
  <c r="E131" i="18"/>
  <c r="C310" i="17"/>
  <c r="D322" i="17"/>
  <c r="E322" i="17"/>
  <c r="E141" i="17"/>
  <c r="F141" i="17"/>
  <c r="D148" i="17"/>
  <c r="E148" i="17"/>
  <c r="D211" i="17"/>
  <c r="E211" i="17"/>
  <c r="F211" i="17"/>
  <c r="E210" i="17"/>
  <c r="F210" i="17"/>
  <c r="D309" i="17"/>
  <c r="E305" i="17"/>
  <c r="F305" i="17"/>
  <c r="F197" i="17"/>
  <c r="D325" i="17"/>
  <c r="E324" i="17"/>
  <c r="F324" i="17"/>
  <c r="F323" i="17"/>
  <c r="F70" i="17"/>
  <c r="F322" i="17"/>
  <c r="F113" i="17"/>
  <c r="F148" i="17"/>
  <c r="F183" i="17"/>
  <c r="C325" i="17"/>
  <c r="F49" i="12"/>
  <c r="E43" i="5"/>
  <c r="F43" i="5"/>
  <c r="D50" i="5"/>
  <c r="E50" i="5"/>
  <c r="F50" i="5"/>
  <c r="E266" i="18"/>
  <c r="D267" i="18"/>
  <c r="F325" i="17"/>
  <c r="E325" i="17"/>
  <c r="E309" i="17"/>
  <c r="F309" i="17"/>
  <c r="D310" i="17"/>
  <c r="C312" i="17"/>
  <c r="D269" i="18"/>
  <c r="E269" i="18"/>
  <c r="E267" i="18"/>
  <c r="D268" i="18"/>
  <c r="C313" i="17"/>
  <c r="D312" i="17"/>
  <c r="E310" i="17"/>
  <c r="F310" i="17"/>
  <c r="D271" i="18"/>
  <c r="E271" i="18"/>
  <c r="E268" i="18"/>
  <c r="E312" i="17"/>
  <c r="F312" i="17"/>
  <c r="D313" i="17"/>
  <c r="C314" i="17"/>
  <c r="C251" i="17"/>
  <c r="C315" i="17"/>
  <c r="C256" i="17"/>
  <c r="C318" i="17"/>
  <c r="D315" i="17"/>
  <c r="E315" i="17"/>
  <c r="F315" i="17"/>
  <c r="D314" i="17"/>
  <c r="E313" i="17"/>
  <c r="F313" i="17"/>
  <c r="D251" i="17"/>
  <c r="E251" i="17"/>
  <c r="F251" i="17"/>
  <c r="D256" i="17"/>
  <c r="C257" i="17"/>
  <c r="D318" i="17"/>
  <c r="E318" i="17"/>
  <c r="E314" i="17"/>
  <c r="F314" i="17"/>
  <c r="F318" i="17"/>
  <c r="D257" i="17"/>
  <c r="E257" i="17"/>
  <c r="F257" i="17"/>
  <c r="E256" i="17"/>
  <c r="F256" i="17"/>
</calcChain>
</file>

<file path=xl/sharedStrings.xml><?xml version="1.0" encoding="utf-8"?>
<sst xmlns="http://schemas.openxmlformats.org/spreadsheetml/2006/main" count="2334" uniqueCount="1009">
  <si>
    <t>CHARLOTTE HUNGERFORD HOSPITAL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</si>
  <si>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</si>
  <si>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</si>
  <si>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</si>
  <si>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</si>
  <si>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</si>
  <si>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</si>
  <si>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</si>
  <si>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</si>
  <si>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</si>
  <si>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</si>
  <si>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</si>
  <si>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</si>
  <si>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</si>
  <si>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</si>
  <si>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</si>
  <si>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</si>
  <si>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</si>
  <si>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</si>
  <si>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</si>
  <si>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</si>
  <si>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</si>
  <si>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</si>
  <si>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</si>
  <si>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</si>
  <si>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</si>
  <si>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</si>
  <si>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</si>
  <si>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</si>
  <si>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</si>
  <si>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</si>
  <si>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</si>
  <si>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</si>
  <si>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</si>
  <si>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</si>
  <si>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</si>
  <si>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</si>
  <si>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</si>
  <si>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</si>
  <si>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</si>
  <si>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</si>
  <si>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</si>
  <si>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</si>
  <si>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</si>
  <si>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</si>
  <si>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</si>
  <si>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</si>
  <si>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</si>
  <si>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</si>
  <si>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</si>
  <si>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</si>
  <si>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</si>
  <si>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</si>
  <si>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</si>
  <si>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</si>
  <si>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</si>
  <si>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</si>
  <si>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</si>
  <si>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</si>
  <si>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</si>
  <si>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</si>
  <si>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</si>
  <si>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</si>
  <si>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</si>
  <si>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</si>
  <si>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</si>
  <si>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</si>
  <si>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</si>
  <si>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</si>
  <si>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</si>
  <si>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</si>
  <si>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</si>
  <si>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</si>
  <si>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</si>
  <si>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</si>
  <si>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</si>
  <si>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</si>
  <si>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</si>
  <si>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</si>
  <si>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</si>
  <si>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</si>
  <si>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</si>
  <si>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</si>
  <si>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</si>
  <si>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</si>
  <si>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</si>
  <si>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</si>
  <si>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</si>
  <si>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</si>
  <si>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</si>
  <si>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</si>
  <si>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</si>
  <si>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</si>
  <si>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</si>
  <si>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</si>
  <si>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</si>
  <si>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</si>
  <si>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</si>
  <si>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</si>
  <si>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</si>
  <si>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</si>
  <si>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</si>
  <si>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</si>
  <si>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</si>
  <si>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</si>
  <si>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</si>
  <si>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</si>
  <si>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</si>
  <si>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</si>
  <si>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</si>
  <si>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</si>
  <si>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</si>
  <si>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</si>
  <si>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</si>
  <si>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</si>
  <si>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</si>
  <si>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</si>
  <si>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</si>
  <si>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</si>
  <si>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</si>
  <si>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</si>
  <si>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</si>
  <si>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</si>
  <si>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</si>
  <si>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</si>
  <si>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</si>
  <si>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</si>
  <si>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</si>
  <si>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</si>
  <si>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</si>
  <si>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</si>
  <si>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</si>
  <si>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</si>
  <si>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</si>
  <si>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</si>
  <si>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</si>
  <si>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</si>
  <si>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</si>
  <si>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</si>
  <si>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</si>
  <si>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</si>
  <si>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</si>
  <si>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</si>
  <si>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</si>
  <si>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</si>
  <si>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</si>
  <si>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</si>
  <si>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</si>
  <si>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</si>
  <si>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</si>
  <si>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</si>
  <si>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</si>
  <si>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</si>
  <si>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</si>
  <si>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</si>
  <si>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</si>
  <si>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</si>
  <si>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</si>
  <si>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</si>
  <si>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</si>
  <si>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</si>
  <si>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</si>
  <si>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</si>
  <si>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</si>
  <si>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</si>
  <si>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</si>
  <si>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</si>
  <si>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</si>
  <si>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</si>
  <si>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</si>
  <si>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</si>
  <si>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</si>
  <si>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</si>
  <si>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</si>
  <si>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</si>
  <si>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</si>
  <si>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</si>
  <si>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</si>
  <si>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</si>
  <si>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</si>
  <si>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</si>
  <si>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</si>
  <si>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</si>
  <si>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</si>
  <si>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</si>
  <si>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</si>
  <si>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</si>
  <si>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</si>
  <si>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</si>
  <si>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</si>
  <si>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</si>
  <si>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</si>
  <si>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</si>
  <si>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</si>
  <si>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</si>
  <si>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</si>
  <si>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</si>
  <si>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</si>
  <si>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</si>
  <si>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</si>
  <si>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</si>
  <si>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</si>
  <si>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</si>
  <si>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</si>
  <si>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</si>
  <si>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</si>
  <si>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</si>
  <si>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</si>
  <si>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</si>
  <si>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</si>
  <si>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</si>
  <si>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</si>
  <si>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</si>
  <si>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</si>
  <si>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</si>
  <si>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</si>
  <si>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</si>
  <si>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</si>
  <si>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</si>
  <si>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</si>
  <si>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</si>
  <si>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</si>
  <si>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</si>
  <si>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</si>
  <si>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</si>
  <si>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</si>
  <si>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</si>
  <si>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</si>
  <si>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</si>
  <si>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</si>
  <si>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</si>
  <si>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</si>
  <si>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</si>
  <si>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</si>
  <si>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</si>
  <si>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</si>
  <si>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</si>
  <si>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</si>
  <si>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</si>
  <si>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</si>
  <si>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</si>
  <si>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</si>
  <si>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</si>
  <si>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</si>
  <si>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</si>
  <si>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</si>
  <si>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</si>
  <si>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</si>
  <si>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</si>
  <si>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</si>
  <si>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</si>
  <si>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</si>
  <si>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</si>
  <si>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</si>
  <si>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</si>
  <si>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</si>
  <si>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</si>
  <si>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</si>
  <si>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</si>
  <si>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</si>
  <si>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</si>
  <si>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</si>
  <si>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</si>
  <si>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</si>
  <si>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</si>
  <si>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</si>
  <si>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</si>
  <si>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</si>
  <si>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</si>
  <si>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</si>
  <si>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</si>
  <si>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</si>
  <si>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</si>
  <si>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</si>
  <si>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</si>
  <si>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</si>
  <si>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</si>
  <si>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</si>
  <si>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</si>
  <si>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</si>
  <si>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</si>
  <si>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</si>
  <si>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</si>
  <si>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</si>
  <si>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</si>
  <si>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</si>
  <si>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</si>
  <si>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</si>
  <si>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</si>
  <si>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</si>
  <si>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</si>
  <si>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</si>
  <si>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</si>
  <si>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</si>
  <si>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</si>
  <si>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</si>
  <si>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</si>
  <si>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</si>
  <si>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</si>
  <si>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</si>
  <si>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</si>
  <si>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</si>
  <si>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</si>
  <si>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</si>
  <si>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</si>
  <si>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</si>
  <si>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</si>
  <si>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</si>
  <si>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</si>
  <si>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</si>
  <si>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</si>
  <si>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</si>
  <si>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</si>
  <si>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</si>
  <si>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</si>
  <si>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</si>
  <si>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</si>
  <si>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</si>
  <si>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</si>
  <si>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</si>
  <si>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</si>
  <si>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</si>
  <si>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</si>
  <si>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</si>
  <si>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</si>
  <si>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</si>
  <si>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</si>
  <si>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</si>
  <si>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</si>
  <si>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</si>
  <si>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</si>
  <si>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</si>
  <si>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</si>
  <si>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</si>
  <si>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</si>
  <si>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</si>
  <si>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</si>
  <si>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</si>
  <si>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</si>
  <si>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</si>
  <si>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</si>
  <si>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</si>
  <si>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</si>
  <si>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</si>
  <si>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</si>
  <si>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</si>
  <si>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</si>
  <si>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</si>
  <si>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</si>
  <si>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</si>
  <si>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</si>
  <si>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</si>
  <si>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</si>
  <si>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</si>
  <si>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</si>
  <si>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</si>
  <si>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</si>
  <si>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</si>
  <si>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</si>
  <si>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</si>
  <si>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</si>
  <si>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</si>
  <si>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</si>
  <si>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</si>
  <si>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</si>
  <si>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</si>
  <si>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</si>
  <si>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</si>
  <si>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</si>
  <si>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</si>
  <si>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</si>
  <si>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</si>
  <si>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</si>
  <si>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</si>
  <si>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</si>
  <si>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</si>
  <si>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</si>
  <si>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</si>
  <si>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</si>
  <si>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</si>
  <si>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</si>
  <si>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</si>
  <si>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</si>
  <si>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</si>
  <si>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</si>
  <si>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</si>
  <si>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</si>
  <si>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</si>
  <si>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</si>
  <si>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</si>
  <si>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</si>
  <si>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</si>
  <si>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</si>
  <si>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</si>
  <si>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</si>
  <si>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</si>
  <si>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</si>
  <si>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</si>
  <si>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</si>
  <si>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</si>
  <si>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</si>
  <si>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</si>
  <si>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</si>
  <si>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</si>
  <si>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</si>
  <si>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</si>
  <si>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</si>
  <si>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</si>
  <si>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</si>
  <si>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</si>
  <si>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</si>
  <si>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</si>
  <si>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</si>
  <si>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</si>
  <si>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</si>
  <si>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</si>
  <si>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</si>
  <si>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</si>
  <si>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</si>
  <si>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</si>
  <si>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</si>
  <si>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</si>
  <si>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</si>
  <si>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</si>
  <si>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</si>
  <si>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</si>
  <si>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</si>
  <si>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</si>
  <si>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</si>
  <si>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</si>
  <si>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</si>
  <si>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</si>
  <si>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</si>
  <si>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</si>
  <si>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</si>
  <si>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</si>
  <si>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</si>
  <si>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</si>
  <si>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</si>
  <si>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</si>
  <si>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</si>
  <si>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</si>
  <si>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</si>
  <si>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</si>
  <si>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</si>
  <si>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</si>
  <si>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</si>
  <si>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</si>
  <si>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</si>
  <si>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</si>
  <si>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</si>
  <si>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</si>
  <si>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</si>
  <si>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</si>
  <si>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</si>
  <si>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</si>
  <si>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</si>
  <si>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</si>
  <si>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</si>
  <si>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</si>
  <si>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</si>
  <si>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</si>
  <si>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</si>
  <si>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</si>
  <si>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</si>
  <si>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</si>
  <si>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</si>
  <si>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</si>
  <si>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</si>
  <si>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</si>
  <si>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</si>
  <si>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</si>
  <si>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</si>
  <si>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</si>
  <si>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</si>
  <si>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</si>
  <si>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</si>
  <si>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</si>
  <si>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</si>
  <si>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</si>
  <si>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</si>
  <si>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</si>
  <si>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</si>
  <si>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</si>
  <si>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</si>
  <si>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</si>
  <si>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</si>
  <si>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</si>
  <si>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</si>
  <si>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</si>
  <si>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</si>
  <si>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</si>
  <si>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</si>
  <si>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</si>
  <si>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</si>
  <si>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</si>
  <si>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</si>
  <si>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</si>
  <si>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</si>
  <si>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</si>
  <si>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THE CHARLOTTE HUNGERFORD HOSPITAL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</si>
  <si>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</si>
  <si>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</si>
  <si>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</si>
  <si>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</si>
  <si>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</si>
  <si>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</si>
  <si>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</si>
  <si>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</si>
  <si>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</si>
  <si>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</si>
  <si>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</si>
  <si>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</si>
  <si>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</si>
  <si>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</si>
  <si>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</si>
  <si>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</si>
  <si>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</si>
  <si>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</si>
  <si>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</si>
  <si>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</si>
  <si>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</si>
  <si>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</si>
  <si>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</si>
  <si>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</si>
  <si>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</si>
  <si>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</si>
  <si>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</si>
  <si>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</si>
  <si>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</si>
  <si>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</si>
  <si>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</si>
  <si>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</si>
  <si>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</si>
  <si>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</si>
  <si>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</si>
  <si>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</si>
  <si>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</si>
  <si>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</si>
  <si>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</si>
  <si>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</si>
  <si>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</si>
  <si>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</si>
  <si>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</si>
  <si>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</si>
  <si>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</si>
  <si>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</si>
  <si>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</si>
  <si>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</si>
  <si>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</si>
  <si>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</si>
  <si>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</si>
  <si>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</si>
  <si>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</si>
  <si>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</si>
  <si>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</si>
  <si>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</si>
  <si>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</si>
  <si>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</si>
  <si>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</si>
  <si>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</si>
  <si>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</si>
  <si>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</si>
  <si>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</si>
  <si>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</si>
  <si>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</si>
  <si>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</si>
  <si>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</si>
  <si>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</si>
  <si>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</si>
  <si>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</si>
  <si>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</si>
  <si>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</si>
  <si>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</si>
  <si>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</si>
  <si>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</si>
  <si>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</si>
  <si>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</si>
  <si>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</si>
  <si>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</si>
  <si>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</si>
  <si>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</si>
  <si>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</si>
  <si>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</si>
  <si>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</si>
  <si>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</si>
  <si>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</si>
  <si>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</si>
  <si>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</si>
  <si>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</si>
  <si>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</si>
  <si>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</si>
  <si>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</si>
  <si>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</si>
  <si>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</si>
  <si>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</si>
  <si>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</si>
  <si>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</si>
  <si>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</si>
  <si>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</si>
  <si>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</si>
  <si>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</si>
  <si>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</si>
  <si>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</si>
  <si>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</si>
  <si>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</si>
  <si>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</si>
  <si>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</si>
  <si>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</si>
  <si>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</si>
  <si>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</si>
  <si>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</si>
  <si>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</si>
  <si>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</si>
  <si>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</si>
  <si>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</si>
  <si>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</si>
  <si>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</si>
  <si>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</si>
  <si>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</si>
  <si>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</si>
  <si>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Charlotte Hungerford Hospital</t>
  </si>
  <si>
    <t>Total Outpatient Surgical Procedures(A)</t>
  </si>
  <si>
    <t>Total Outpatient Endoscopy Procedures(B)</t>
  </si>
  <si>
    <t>Outpatient Hospital Emergency Room Visits</t>
  </si>
  <si>
    <t>HEMC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</si>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</sst>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2" xfId="6" applyBorder="1" applyAlignment="1"/>
    <xf numFmtId="0" fontId="2" fillId="0" borderId="32" xfId="6" applyFont="1" applyBorder="1" applyAlignment="1">
      <alignment horizontal="centerContinuous"/>
    </xf>
    <xf numFmtId="0" fontId="1" fillId="0" borderId="32" xfId="6" applyFont="1" applyBorder="1" applyAlignment="1">
      <alignment horizontal="centerContinuous"/>
    </xf>
    <xf numFmtId="0" fontId="1" fillId="0" borderId="32" xfId="6" applyFont="1" applyBorder="1" applyAlignment="1"/>
    <xf numFmtId="164" fontId="2" fillId="0" borderId="32" xfId="6" applyNumberFormat="1" applyFont="1" applyBorder="1" applyAlignment="1">
      <alignment horizontal="center"/>
    </xf>
    <xf numFmtId="0" fontId="1" fillId="0" borderId="32" xfId="6" applyFill="1" applyBorder="1" applyAlignment="1"/>
    <xf numFmtId="0" fontId="2" fillId="0" borderId="32" xfId="6" applyFont="1" applyFill="1" applyBorder="1" applyAlignment="1">
      <alignment horizontal="left"/>
    </xf>
    <xf numFmtId="0" fontId="2" fillId="0" borderId="32" xfId="6" applyFont="1" applyFill="1" applyBorder="1" applyAlignment="1">
      <alignment horizontal="centerContinuous"/>
    </xf>
    <xf numFmtId="164" fontId="3" fillId="0" borderId="32" xfId="6" applyNumberFormat="1" applyFont="1" applyBorder="1" applyAlignment="1">
      <alignment horizontal="center"/>
    </xf>
    <xf numFmtId="0" fontId="2" fillId="0" borderId="32" xfId="6" applyFont="1" applyFill="1" applyBorder="1" applyAlignment="1">
      <alignment horizontal="center"/>
    </xf>
    <xf numFmtId="0" fontId="1" fillId="0" borderId="32" xfId="6" applyFill="1" applyBorder="1" applyAlignment="1">
      <alignment horizontal="center"/>
    </xf>
    <xf numFmtId="0" fontId="4" fillId="0" borderId="32" xfId="6" applyFont="1" applyFill="1" applyBorder="1" applyAlignment="1">
      <alignment horizontal="center"/>
    </xf>
    <xf numFmtId="164" fontId="5" fillId="0" borderId="32" xfId="6" applyNumberFormat="1" applyFont="1" applyBorder="1" applyAlignment="1">
      <alignment horizontal="center" wrapText="1"/>
    </xf>
    <xf numFmtId="0" fontId="5" fillId="0" borderId="32" xfId="6" applyFont="1" applyFill="1" applyBorder="1" applyAlignment="1">
      <alignment horizontal="center"/>
    </xf>
    <xf numFmtId="0" fontId="4" fillId="0" borderId="32" xfId="6" applyFont="1" applyFill="1" applyBorder="1" applyAlignment="1">
      <alignment horizontal="left"/>
    </xf>
    <xf numFmtId="0" fontId="1" fillId="0" borderId="32" xfId="6" applyFont="1" applyFill="1" applyBorder="1" applyAlignment="1">
      <alignment horizontal="center"/>
    </xf>
    <xf numFmtId="0" fontId="1" fillId="0" borderId="32" xfId="6" applyFont="1" applyFill="1" applyBorder="1" applyAlignment="1"/>
    <xf numFmtId="0" fontId="1" fillId="0" borderId="32" xfId="6" applyFont="1" applyFill="1" applyBorder="1" applyAlignment="1">
      <alignment horizontal="center" wrapText="1"/>
    </xf>
    <xf numFmtId="0" fontId="3" fillId="0" borderId="32" xfId="6" applyFont="1" applyFill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32" xfId="6" applyFont="1" applyBorder="1" applyAlignment="1">
      <alignment horizontal="left"/>
    </xf>
    <xf numFmtId="5" fontId="1" fillId="0" borderId="32" xfId="6" applyNumberFormat="1" applyFont="1" applyBorder="1" applyAlignment="1">
      <alignment horizontal="right"/>
    </xf>
    <xf numFmtId="9" fontId="1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center"/>
    </xf>
    <xf numFmtId="0" fontId="2" fillId="0" borderId="32" xfId="6" applyFont="1" applyBorder="1" applyAlignment="1">
      <alignment horizontal="left"/>
    </xf>
    <xf numFmtId="5" fontId="3" fillId="0" borderId="32" xfId="6" applyNumberFormat="1" applyFont="1" applyBorder="1" applyAlignment="1">
      <alignment horizontal="right"/>
    </xf>
    <xf numFmtId="9" fontId="3" fillId="0" borderId="32" xfId="6" applyNumberFormat="1" applyFont="1" applyBorder="1" applyAlignment="1">
      <alignment horizontal="right"/>
    </xf>
    <xf numFmtId="37" fontId="1" fillId="0" borderId="32" xfId="6" applyNumberFormat="1" applyFont="1" applyBorder="1" applyAlignment="1">
      <alignment horizontal="right"/>
    </xf>
    <xf numFmtId="0" fontId="3" fillId="0" borderId="32" xfId="6" applyFont="1" applyBorder="1" applyAlignment="1">
      <alignment horizontal="center"/>
    </xf>
    <xf numFmtId="0" fontId="5" fillId="0" borderId="32" xfId="6" applyFont="1" applyBorder="1" applyAlignment="1">
      <alignment horizontal="left"/>
    </xf>
    <xf numFmtId="37" fontId="1" fillId="0" borderId="32" xfId="6" applyNumberFormat="1" applyFont="1" applyBorder="1" applyAlignment="1"/>
    <xf numFmtId="0" fontId="1" fillId="0" borderId="32" xfId="6" applyBorder="1" applyAlignment="1">
      <alignment horizontal="left"/>
    </xf>
    <xf numFmtId="6" fontId="1" fillId="0" borderId="32" xfId="6" applyNumberFormat="1" applyBorder="1" applyAlignment="1">
      <alignment horizontal="right"/>
    </xf>
    <xf numFmtId="9" fontId="1" fillId="0" borderId="32" xfId="6" applyNumberFormat="1" applyBorder="1" applyAlignment="1">
      <alignment horizontal="right"/>
    </xf>
    <xf numFmtId="0" fontId="2" fillId="0" borderId="32" xfId="6" applyFont="1" applyBorder="1" applyAlignment="1">
      <alignment horizontal="center"/>
    </xf>
    <xf numFmtId="37" fontId="2" fillId="0" borderId="32" xfId="6" applyNumberFormat="1" applyFont="1" applyBorder="1" applyAlignment="1">
      <alignment horizontal="centerContinuous"/>
    </xf>
    <xf numFmtId="37" fontId="1" fillId="0" borderId="32" xfId="6" applyNumberFormat="1" applyFont="1" applyBorder="1" applyAlignment="1">
      <alignment horizontal="centerContinuous"/>
    </xf>
    <xf numFmtId="37" fontId="4" fillId="0" borderId="32" xfId="6" applyNumberFormat="1" applyFont="1" applyFill="1" applyBorder="1" applyAlignment="1">
      <alignment horizontal="center"/>
    </xf>
    <xf numFmtId="37" fontId="1" fillId="0" borderId="32" xfId="6" applyNumberFormat="1" applyFont="1" applyFill="1" applyBorder="1" applyAlignment="1"/>
    <xf numFmtId="37" fontId="1" fillId="0" borderId="32" xfId="6" applyNumberFormat="1" applyFont="1" applyFill="1" applyBorder="1" applyAlignment="1">
      <alignment horizontal="center"/>
    </xf>
    <xf numFmtId="0" fontId="4" fillId="0" borderId="32" xfId="6" applyFont="1" applyBorder="1" applyAlignment="1">
      <alignment horizontal="left"/>
    </xf>
    <xf numFmtId="37" fontId="3" fillId="0" borderId="32" xfId="6" applyNumberFormat="1" applyFont="1" applyBorder="1" applyAlignment="1">
      <alignment horizontal="right"/>
    </xf>
    <xf numFmtId="0" fontId="6" fillId="0" borderId="32" xfId="6" applyFont="1" applyFill="1" applyBorder="1" applyAlignment="1">
      <alignment horizontal="center"/>
    </xf>
    <xf numFmtId="0" fontId="6" fillId="0" borderId="32" xfId="6" applyFont="1" applyFill="1" applyBorder="1" applyAlignment="1">
      <alignment horizontal="left"/>
    </xf>
    <xf numFmtId="9" fontId="6" fillId="0" borderId="32" xfId="6" applyNumberFormat="1" applyFont="1" applyFill="1" applyBorder="1" applyAlignment="1">
      <alignment horizontal="right"/>
    </xf>
    <xf numFmtId="0" fontId="7" fillId="0" borderId="32" xfId="6" applyFont="1" applyBorder="1" applyAlignment="1"/>
    <xf numFmtId="0" fontId="3" fillId="0" borderId="32" xfId="6" applyFont="1" applyBorder="1"/>
    <xf numFmtId="0" fontId="6" fillId="0" borderId="32" xfId="6" applyFont="1" applyBorder="1" applyAlignment="1">
      <alignment horizontal="left"/>
    </xf>
    <xf numFmtId="37" fontId="6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left" wrapText="1"/>
    </xf>
    <xf numFmtId="5" fontId="6" fillId="0" borderId="32" xfId="6" applyNumberFormat="1" applyFont="1" applyBorder="1" applyAlignment="1">
      <alignment horizontal="right"/>
    </xf>
    <xf numFmtId="165" fontId="6" fillId="0" borderId="32" xfId="6" applyNumberFormat="1" applyFont="1" applyBorder="1" applyAlignment="1">
      <alignment horizontal="right"/>
    </xf>
    <xf numFmtId="165" fontId="3" fillId="0" borderId="32" xfId="6" applyNumberFormat="1" applyFont="1" applyBorder="1" applyAlignment="1">
      <alignment horizontal="right"/>
    </xf>
    <xf numFmtId="0" fontId="1" fillId="0" borderId="32" xfId="6" applyFont="1" applyBorder="1" applyAlignment="1">
      <alignment horizontal="right"/>
    </xf>
    <xf numFmtId="0" fontId="6" fillId="0" borderId="32" xfId="6" applyFont="1" applyBorder="1" applyAlignment="1"/>
    <xf numFmtId="0" fontId="8" fillId="0" borderId="0" xfId="7" applyBorder="1" applyAlignment="1"/>
    <xf numFmtId="164" fontId="3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right"/>
    </xf>
    <xf numFmtId="0" fontId="3" fillId="0" borderId="32" xfId="7" applyFont="1" applyBorder="1" applyAlignment="1"/>
    <xf numFmtId="164" fontId="3" fillId="0" borderId="32" xfId="7" applyNumberFormat="1" applyFont="1" applyBorder="1" applyAlignment="1">
      <alignment horizontal="center"/>
    </xf>
    <xf numFmtId="0" fontId="5" fillId="0" borderId="32" xfId="7" applyFont="1" applyBorder="1" applyAlignment="1">
      <alignment horizontal="right"/>
    </xf>
    <xf numFmtId="0" fontId="5" fillId="0" borderId="32" xfId="7" applyFont="1" applyBorder="1" applyAlignment="1"/>
    <xf numFmtId="164" fontId="5" fillId="0" borderId="32" xfId="7" applyNumberFormat="1" applyFont="1" applyBorder="1" applyAlignment="1">
      <alignment horizontal="center" wrapText="1"/>
    </xf>
    <xf numFmtId="6" fontId="5" fillId="0" borderId="32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3" xfId="7" applyFill="1" applyBorder="1" applyAlignment="1">
      <alignment horizontal="center"/>
    </xf>
    <xf numFmtId="0" fontId="6" fillId="0" borderId="32" xfId="7" applyFont="1" applyBorder="1" applyAlignment="1"/>
    <xf numFmtId="164" fontId="6" fillId="0" borderId="32" xfId="7" applyNumberFormat="1" applyFont="1" applyFill="1" applyBorder="1" applyAlignment="1">
      <alignment horizontal="center"/>
    </xf>
    <xf numFmtId="6" fontId="3" fillId="0" borderId="32" xfId="7" applyNumberFormat="1" applyFont="1" applyBorder="1" applyAlignment="1">
      <alignment horizontal="center"/>
    </xf>
    <xf numFmtId="0" fontId="8" fillId="0" borderId="32" xfId="7" applyBorder="1" applyAlignment="1"/>
    <xf numFmtId="0" fontId="3" fillId="0" borderId="32" xfId="7" applyFont="1" applyBorder="1" applyAlignment="1">
      <alignment horizontal="center"/>
    </xf>
    <xf numFmtId="0" fontId="5" fillId="0" borderId="32" xfId="7" applyFont="1" applyBorder="1" applyAlignment="1">
      <alignment horizontal="left"/>
    </xf>
    <xf numFmtId="6" fontId="6" fillId="0" borderId="32" xfId="7" applyNumberFormat="1" applyFont="1" applyBorder="1" applyAlignment="1">
      <alignment horizontal="center"/>
    </xf>
    <xf numFmtId="0" fontId="6" fillId="0" borderId="32" xfId="7" applyFont="1" applyBorder="1" applyAlignment="1">
      <alignment horizontal="center"/>
    </xf>
    <xf numFmtId="0" fontId="6" fillId="0" borderId="32" xfId="7" applyFont="1" applyBorder="1" applyAlignment="1">
      <alignment horizontal="left"/>
    </xf>
    <xf numFmtId="5" fontId="6" fillId="0" borderId="32" xfId="7" applyNumberFormat="1" applyFont="1" applyBorder="1" applyAlignment="1">
      <alignment horizontal="right"/>
    </xf>
    <xf numFmtId="9" fontId="6" fillId="0" borderId="32" xfId="7" applyNumberFormat="1" applyFont="1" applyBorder="1" applyAlignment="1">
      <alignment horizontal="right"/>
    </xf>
    <xf numFmtId="0" fontId="3" fillId="0" borderId="32" xfId="7" applyFont="1" applyBorder="1" applyAlignment="1">
      <alignment horizontal="left"/>
    </xf>
    <xf numFmtId="5" fontId="3" fillId="0" borderId="32" xfId="7" applyNumberFormat="1" applyFont="1" applyBorder="1" applyAlignment="1">
      <alignment horizontal="right"/>
    </xf>
    <xf numFmtId="9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 wrapText="1"/>
    </xf>
    <xf numFmtId="0" fontId="6" fillId="0" borderId="32" xfId="7" applyFont="1" applyFill="1" applyBorder="1" applyAlignment="1">
      <alignment horizontal="left" wrapText="1"/>
    </xf>
    <xf numFmtId="0" fontId="3" fillId="0" borderId="32" xfId="7" applyFont="1" applyFill="1" applyBorder="1" applyAlignment="1">
      <alignment horizontal="center"/>
    </xf>
    <xf numFmtId="0" fontId="6" fillId="0" borderId="32" xfId="7" applyFont="1" applyBorder="1" applyAlignment="1">
      <alignment horizontal="right"/>
    </xf>
    <xf numFmtId="0" fontId="6" fillId="0" borderId="32" xfId="7" applyFont="1" applyFill="1" applyBorder="1" applyAlignment="1">
      <alignment horizontal="center"/>
    </xf>
    <xf numFmtId="37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/>
    </xf>
    <xf numFmtId="165" fontId="3" fillId="0" borderId="32" xfId="7" applyNumberFormat="1" applyFont="1" applyBorder="1" applyAlignment="1">
      <alignment horizontal="right"/>
    </xf>
    <xf numFmtId="42" fontId="6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9" xfId="6" applyNumberFormat="1" applyFont="1" applyBorder="1" applyAlignment="1">
      <alignment horizontal="center"/>
    </xf>
    <xf numFmtId="164" fontId="5" fillId="0" borderId="9" xfId="6" applyNumberFormat="1" applyFont="1" applyBorder="1" applyAlignment="1">
      <alignment horizontal="left" wrapText="1"/>
    </xf>
    <xf numFmtId="5" fontId="6" fillId="0" borderId="9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center" vertical="center"/>
    </xf>
    <xf numFmtId="43" fontId="6" fillId="0" borderId="9" xfId="1" applyFont="1" applyBorder="1" applyProtection="1">
      <protection locked="0"/>
    </xf>
    <xf numFmtId="164" fontId="3" fillId="0" borderId="9" xfId="6" applyNumberFormat="1" applyFont="1" applyBorder="1" applyAlignment="1">
      <alignment horizontal="center" vertical="center"/>
    </xf>
    <xf numFmtId="164" fontId="3" fillId="0" borderId="9" xfId="6" applyNumberFormat="1" applyFont="1" applyBorder="1" applyAlignment="1">
      <alignment horizontal="left" wrapText="1"/>
    </xf>
    <xf numFmtId="5" fontId="3" fillId="0" borderId="9" xfId="6" applyNumberFormat="1" applyFont="1" applyBorder="1" applyAlignment="1">
      <alignment horizontal="right"/>
    </xf>
    <xf numFmtId="9" fontId="3" fillId="0" borderId="9" xfId="6" applyNumberFormat="1" applyFont="1" applyBorder="1" applyAlignment="1">
      <alignment horizontal="right"/>
    </xf>
    <xf numFmtId="164" fontId="3" fillId="0" borderId="9" xfId="6" applyNumberFormat="1" applyFont="1" applyBorder="1" applyAlignment="1">
      <alignment horizontal="right"/>
    </xf>
    <xf numFmtId="43" fontId="3" fillId="0" borderId="9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0" xfId="6" applyNumberFormat="1" applyFont="1" applyFill="1" applyBorder="1" applyAlignment="1">
      <alignment horizontal="center"/>
    </xf>
    <xf numFmtId="164" fontId="3" fillId="0" borderId="11" xfId="6" applyNumberFormat="1" applyFont="1" applyBorder="1" applyAlignment="1">
      <alignment horizontal="left"/>
    </xf>
    <xf numFmtId="5" fontId="3" fillId="0" borderId="10" xfId="6" applyNumberFormat="1" applyFont="1" applyBorder="1" applyAlignment="1">
      <alignment horizontal="right"/>
    </xf>
    <xf numFmtId="5" fontId="3" fillId="0" borderId="12" xfId="6" applyNumberFormat="1" applyFont="1" applyBorder="1" applyAlignment="1">
      <alignment horizontal="right"/>
    </xf>
    <xf numFmtId="9" fontId="3" fillId="0" borderId="12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right"/>
    </xf>
    <xf numFmtId="164" fontId="3" fillId="0" borderId="12" xfId="6" applyNumberFormat="1" applyFont="1" applyFill="1" applyBorder="1" applyAlignment="1">
      <alignment horizontal="center"/>
    </xf>
    <xf numFmtId="164" fontId="3" fillId="0" borderId="10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13" xfId="7" applyFont="1" applyBorder="1" applyAlignment="1">
      <alignment horizontal="center"/>
    </xf>
    <xf numFmtId="0" fontId="6" fillId="0" borderId="0" xfId="7" applyFont="1" applyBorder="1"/>
    <xf numFmtId="164" fontId="3" fillId="0" borderId="9" xfId="7" applyNumberFormat="1" applyFont="1" applyBorder="1" applyAlignment="1">
      <alignment horizontal="center"/>
    </xf>
    <xf numFmtId="164" fontId="3" fillId="0" borderId="14" xfId="7" applyNumberFormat="1" applyFont="1" applyBorder="1" applyAlignment="1">
      <alignment horizontal="center"/>
    </xf>
    <xf numFmtId="164" fontId="3" fillId="0" borderId="14" xfId="7" applyNumberFormat="1" applyFont="1" applyBorder="1" applyAlignment="1"/>
    <xf numFmtId="0" fontId="3" fillId="0" borderId="14" xfId="7" applyFont="1" applyBorder="1" applyAlignment="1">
      <alignment horizontal="center" wrapText="1"/>
    </xf>
    <xf numFmtId="164" fontId="3" fillId="0" borderId="14" xfId="7" applyNumberFormat="1" applyFont="1" applyBorder="1" applyAlignment="1">
      <alignment horizontal="center" wrapText="1"/>
    </xf>
    <xf numFmtId="164" fontId="5" fillId="0" borderId="14" xfId="7" applyNumberFormat="1" applyFont="1" applyBorder="1" applyAlignment="1">
      <alignment horizontal="center"/>
    </xf>
    <xf numFmtId="164" fontId="5" fillId="0" borderId="14" xfId="7" applyNumberFormat="1" applyFont="1" applyBorder="1" applyAlignment="1">
      <alignment horizontal="left"/>
    </xf>
    <xf numFmtId="164" fontId="5" fillId="0" borderId="14" xfId="7" applyNumberFormat="1" applyFont="1" applyBorder="1" applyAlignment="1">
      <alignment horizontal="center" wrapText="1"/>
    </xf>
    <xf numFmtId="0" fontId="5" fillId="0" borderId="14" xfId="7" applyFont="1" applyBorder="1" applyAlignment="1">
      <alignment horizontal="center" wrapText="1"/>
    </xf>
    <xf numFmtId="164" fontId="6" fillId="0" borderId="9" xfId="7" applyNumberFormat="1" applyFont="1" applyBorder="1" applyAlignment="1">
      <alignment horizontal="center"/>
    </xf>
    <xf numFmtId="0" fontId="5" fillId="0" borderId="9" xfId="7" applyNumberFormat="1" applyFont="1" applyBorder="1" applyAlignment="1">
      <alignment horizontal="left" wrapText="1"/>
    </xf>
    <xf numFmtId="164" fontId="6" fillId="0" borderId="9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horizontal="right"/>
    </xf>
    <xf numFmtId="0" fontId="6" fillId="0" borderId="9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9" xfId="7" applyFont="1" applyBorder="1" applyAlignment="1">
      <alignment horizontal="center"/>
    </xf>
    <xf numFmtId="0" fontId="5" fillId="0" borderId="9" xfId="7" applyNumberFormat="1" applyFont="1" applyBorder="1"/>
    <xf numFmtId="5" fontId="6" fillId="0" borderId="9" xfId="7" applyNumberFormat="1" applyFont="1" applyBorder="1" applyAlignment="1">
      <alignment horizontal="right"/>
    </xf>
    <xf numFmtId="5" fontId="3" fillId="0" borderId="9" xfId="7" applyNumberFormat="1" applyFont="1" applyBorder="1" applyAlignment="1">
      <alignment horizontal="right"/>
    </xf>
    <xf numFmtId="9" fontId="3" fillId="0" borderId="9" xfId="7" applyNumberFormat="1" applyFont="1" applyBorder="1" applyAlignment="1">
      <alignment horizontal="right"/>
    </xf>
    <xf numFmtId="0" fontId="6" fillId="0" borderId="9" xfId="2" applyNumberFormat="1" applyFont="1" applyBorder="1" applyProtection="1">
      <protection locked="0"/>
    </xf>
    <xf numFmtId="9" fontId="6" fillId="0" borderId="9" xfId="7" applyNumberFormat="1" applyFont="1" applyBorder="1" applyAlignment="1">
      <alignment horizontal="right"/>
    </xf>
    <xf numFmtId="0" fontId="3" fillId="0" borderId="9" xfId="7" applyNumberFormat="1" applyFont="1" applyBorder="1"/>
    <xf numFmtId="43" fontId="6" fillId="0" borderId="9" xfId="2" applyFont="1" applyBorder="1" applyProtection="1">
      <protection locked="0"/>
    </xf>
    <xf numFmtId="164" fontId="6" fillId="0" borderId="9" xfId="7" applyNumberFormat="1" applyFont="1" applyFill="1" applyBorder="1" applyAlignment="1">
      <alignment horizontal="center"/>
    </xf>
    <xf numFmtId="3" fontId="3" fillId="0" borderId="9" xfId="7" applyNumberFormat="1" applyFont="1" applyBorder="1" applyAlignment="1" applyProtection="1"/>
    <xf numFmtId="9" fontId="6" fillId="0" borderId="9" xfId="9" applyFont="1" applyBorder="1" applyAlignment="1">
      <alignment horizontal="right"/>
    </xf>
    <xf numFmtId="0" fontId="3" fillId="0" borderId="9" xfId="7" applyNumberFormat="1" applyFont="1" applyBorder="1" applyAlignment="1">
      <alignment horizontal="left"/>
    </xf>
    <xf numFmtId="164" fontId="9" fillId="0" borderId="9" xfId="7" applyNumberFormat="1" applyFont="1" applyBorder="1" applyAlignment="1">
      <alignment horizontal="center"/>
    </xf>
    <xf numFmtId="0" fontId="6" fillId="0" borderId="9" xfId="7" applyFont="1" applyBorder="1"/>
    <xf numFmtId="3" fontId="6" fillId="0" borderId="9" xfId="7" applyNumberFormat="1" applyFont="1" applyBorder="1" applyAlignment="1" applyProtection="1"/>
    <xf numFmtId="0" fontId="8" fillId="0" borderId="9" xfId="7" applyBorder="1"/>
    <xf numFmtId="0" fontId="6" fillId="0" borderId="0" xfId="7" applyFont="1" applyBorder="1" applyAlignment="1">
      <alignment horizontal="right"/>
    </xf>
    <xf numFmtId="0" fontId="1" fillId="0" borderId="32" xfId="7" applyFont="1" applyBorder="1" applyAlignment="1">
      <alignment horizontal="center"/>
    </xf>
    <xf numFmtId="0" fontId="2" fillId="0" borderId="32" xfId="7" applyFont="1" applyBorder="1" applyAlignment="1">
      <alignment horizontal="centerContinuous"/>
    </xf>
    <xf numFmtId="0" fontId="1" fillId="0" borderId="32" xfId="7" applyFont="1" applyBorder="1" applyAlignment="1">
      <alignment horizontal="centerContinuous"/>
    </xf>
    <xf numFmtId="0" fontId="1" fillId="0" borderId="32" xfId="7" applyFont="1" applyBorder="1" applyAlignment="1"/>
    <xf numFmtId="0" fontId="2" fillId="0" borderId="32" xfId="7" applyFont="1" applyBorder="1" applyAlignment="1">
      <alignment horizontal="center"/>
    </xf>
    <xf numFmtId="164" fontId="2" fillId="0" borderId="32" xfId="7" applyNumberFormat="1" applyFont="1" applyBorder="1" applyAlignment="1">
      <alignment horizontal="center"/>
    </xf>
    <xf numFmtId="0" fontId="2" fillId="0" borderId="32" xfId="7" applyFont="1" applyFill="1" applyBorder="1" applyAlignment="1">
      <alignment horizontal="center"/>
    </xf>
    <xf numFmtId="0" fontId="2" fillId="0" borderId="32" xfId="7" applyFont="1" applyFill="1" applyBorder="1" applyAlignment="1">
      <alignment horizontal="centerContinuous"/>
    </xf>
    <xf numFmtId="0" fontId="4" fillId="0" borderId="32" xfId="7" applyFont="1" applyFill="1" applyBorder="1" applyAlignment="1">
      <alignment horizontal="center"/>
    </xf>
    <xf numFmtId="0" fontId="4" fillId="0" borderId="32" xfId="7" applyFont="1" applyFill="1" applyBorder="1" applyAlignment="1">
      <alignment horizontal="left"/>
    </xf>
    <xf numFmtId="5" fontId="1" fillId="0" borderId="32" xfId="7" applyNumberFormat="1" applyFont="1" applyBorder="1" applyAlignment="1"/>
    <xf numFmtId="0" fontId="6" fillId="0" borderId="34" xfId="7" applyFont="1" applyFill="1" applyBorder="1" applyAlignment="1">
      <alignment horizontal="left"/>
    </xf>
    <xf numFmtId="37" fontId="6" fillId="0" borderId="32" xfId="7" applyNumberFormat="1" applyFont="1" applyBorder="1" applyAlignment="1">
      <alignment horizontal="right"/>
    </xf>
    <xf numFmtId="0" fontId="6" fillId="0" borderId="34" xfId="7" applyFont="1" applyBorder="1" applyAlignment="1">
      <alignment horizontal="left"/>
    </xf>
    <xf numFmtId="166" fontId="6" fillId="0" borderId="32" xfId="7" applyNumberFormat="1" applyFont="1" applyBorder="1" applyAlignment="1">
      <alignment horizontal="right"/>
    </xf>
    <xf numFmtId="166" fontId="3" fillId="0" borderId="32" xfId="7" applyNumberFormat="1" applyFont="1" applyBorder="1" applyAlignment="1">
      <alignment horizontal="right"/>
    </xf>
    <xf numFmtId="10" fontId="6" fillId="0" borderId="32" xfId="7" applyNumberFormat="1" applyFont="1" applyBorder="1" applyAlignment="1">
      <alignment horizontal="right"/>
    </xf>
    <xf numFmtId="0" fontId="8" fillId="0" borderId="32" xfId="7" applyBorder="1"/>
    <xf numFmtId="0" fontId="4" fillId="0" borderId="32" xfId="7" applyFont="1" applyBorder="1" applyAlignment="1">
      <alignment horizontal="left"/>
    </xf>
    <xf numFmtId="0" fontId="1" fillId="0" borderId="32" xfId="7" applyFont="1" applyBorder="1" applyAlignment="1">
      <alignment horizontal="left"/>
    </xf>
    <xf numFmtId="167" fontId="6" fillId="0" borderId="32" xfId="7" applyNumberFormat="1" applyFont="1" applyBorder="1" applyAlignment="1">
      <alignment horizontal="right"/>
    </xf>
    <xf numFmtId="0" fontId="2" fillId="0" borderId="32" xfId="7" applyFont="1" applyBorder="1" applyAlignment="1">
      <alignment horizontal="left"/>
    </xf>
    <xf numFmtId="43" fontId="3" fillId="0" borderId="32" xfId="7" applyNumberFormat="1" applyFont="1" applyBorder="1" applyAlignment="1">
      <alignment horizontal="right"/>
    </xf>
    <xf numFmtId="5" fontId="1" fillId="0" borderId="32" xfId="7" applyNumberFormat="1" applyFont="1" applyBorder="1" applyAlignment="1">
      <alignment horizontal="right"/>
    </xf>
    <xf numFmtId="39" fontId="3" fillId="0" borderId="32" xfId="7" applyNumberFormat="1" applyFont="1" applyBorder="1" applyAlignment="1">
      <alignment horizontal="right"/>
    </xf>
    <xf numFmtId="4" fontId="3" fillId="0" borderId="32" xfId="7" applyNumberFormat="1" applyFont="1" applyBorder="1" applyAlignment="1">
      <alignment horizontal="right"/>
    </xf>
    <xf numFmtId="165" fontId="6" fillId="0" borderId="32" xfId="7" applyNumberFormat="1" applyFont="1" applyFill="1" applyBorder="1" applyAlignment="1">
      <alignment horizontal="right"/>
    </xf>
    <xf numFmtId="0" fontId="10" fillId="0" borderId="32" xfId="7" applyFont="1" applyBorder="1" applyAlignment="1">
      <alignment horizontal="left"/>
    </xf>
    <xf numFmtId="165" fontId="6" fillId="0" borderId="32" xfId="7" applyNumberFormat="1" applyFont="1" applyBorder="1" applyAlignment="1">
      <alignment horizontal="right"/>
    </xf>
    <xf numFmtId="167" fontId="3" fillId="0" borderId="32" xfId="7" applyNumberFormat="1" applyFont="1" applyFill="1" applyBorder="1" applyAlignment="1">
      <alignment horizontal="right"/>
    </xf>
    <xf numFmtId="164" fontId="3" fillId="0" borderId="32" xfId="7" applyNumberFormat="1" applyFont="1" applyBorder="1" applyAlignment="1">
      <alignment horizontal="right"/>
    </xf>
    <xf numFmtId="5" fontId="6" fillId="0" borderId="32" xfId="7" applyNumberFormat="1" applyFont="1" applyBorder="1" applyAlignment="1"/>
    <xf numFmtId="0" fontId="1" fillId="0" borderId="34" xfId="7" applyFont="1" applyBorder="1" applyAlignment="1">
      <alignment horizontal="left"/>
    </xf>
    <xf numFmtId="37" fontId="6" fillId="0" borderId="32" xfId="7" applyNumberFormat="1" applyFont="1" applyBorder="1" applyAlignment="1"/>
    <xf numFmtId="0" fontId="2" fillId="0" borderId="32" xfId="7" applyFont="1" applyFill="1" applyBorder="1" applyAlignment="1">
      <alignment horizontal="left"/>
    </xf>
    <xf numFmtId="5" fontId="3" fillId="0" borderId="32" xfId="7" applyNumberFormat="1" applyFont="1" applyBorder="1" applyAlignment="1"/>
    <xf numFmtId="165" fontId="3" fillId="0" borderId="32" xfId="7" applyNumberFormat="1" applyFont="1" applyBorder="1" applyAlignment="1"/>
    <xf numFmtId="0" fontId="5" fillId="0" borderId="32" xfId="7" applyFont="1" applyFill="1" applyBorder="1" applyAlignment="1">
      <alignment horizontal="left"/>
    </xf>
    <xf numFmtId="0" fontId="1" fillId="0" borderId="32" xfId="7" applyFont="1" applyFill="1" applyBorder="1" applyAlignment="1">
      <alignment horizontal="left"/>
    </xf>
    <xf numFmtId="165" fontId="1" fillId="0" borderId="32" xfId="7" applyNumberFormat="1" applyFont="1" applyBorder="1" applyAlignment="1"/>
    <xf numFmtId="42" fontId="6" fillId="0" borderId="32" xfId="7" applyNumberFormat="1" applyFont="1" applyBorder="1" applyAlignment="1">
      <alignment horizontal="right"/>
    </xf>
    <xf numFmtId="168" fontId="3" fillId="0" borderId="32" xfId="7" applyNumberFormat="1" applyFont="1" applyBorder="1" applyAlignment="1">
      <alignment horizontal="right"/>
    </xf>
    <xf numFmtId="1" fontId="3" fillId="0" borderId="32" xfId="7" applyNumberFormat="1" applyFont="1" applyBorder="1" applyAlignment="1">
      <alignment horizontal="right"/>
    </xf>
    <xf numFmtId="165" fontId="6" fillId="0" borderId="32" xfId="7" applyNumberFormat="1" applyFont="1" applyBorder="1" applyAlignment="1"/>
    <xf numFmtId="0" fontId="1" fillId="0" borderId="32" xfId="7" applyFont="1" applyFill="1" applyBorder="1" applyAlignment="1">
      <alignment horizontal="center"/>
    </xf>
    <xf numFmtId="41" fontId="6" fillId="0" borderId="32" xfId="7" applyNumberFormat="1" applyFont="1" applyBorder="1" applyAlignment="1">
      <alignment horizontal="right"/>
    </xf>
    <xf numFmtId="168" fontId="6" fillId="0" borderId="32" xfId="7" applyNumberFormat="1" applyFont="1" applyBorder="1" applyAlignment="1">
      <alignment horizontal="right"/>
    </xf>
    <xf numFmtId="0" fontId="8" fillId="0" borderId="32" xfId="7" applyFill="1" applyBorder="1" applyAlignment="1"/>
    <xf numFmtId="0" fontId="8" fillId="0" borderId="32" xfId="7" applyFill="1" applyBorder="1" applyAlignment="1">
      <alignment horizontal="center"/>
    </xf>
    <xf numFmtId="0" fontId="11" fillId="0" borderId="32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2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15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17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9" xfId="6" applyFont="1" applyBorder="1" applyAlignment="1">
      <alignment horizontal="center" vertical="center"/>
    </xf>
    <xf numFmtId="0" fontId="12" fillId="0" borderId="9" xfId="6" applyFont="1" applyBorder="1" applyAlignment="1">
      <alignment horizontal="left" vertical="center"/>
    </xf>
    <xf numFmtId="164" fontId="12" fillId="0" borderId="9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18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9" xfId="6" applyNumberFormat="1" applyFont="1" applyBorder="1" applyAlignment="1">
      <alignment horizontal="center"/>
    </xf>
    <xf numFmtId="0" fontId="13" fillId="0" borderId="9" xfId="6" applyFont="1" applyBorder="1"/>
    <xf numFmtId="5" fontId="13" fillId="0" borderId="9" xfId="6" applyNumberFormat="1" applyFont="1" applyBorder="1" applyAlignment="1">
      <alignment horizontal="right"/>
    </xf>
    <xf numFmtId="9" fontId="13" fillId="0" borderId="9" xfId="10" applyNumberFormat="1" applyFont="1" applyBorder="1" applyAlignment="1">
      <alignment horizontal="right"/>
    </xf>
    <xf numFmtId="37" fontId="13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left"/>
    </xf>
    <xf numFmtId="5" fontId="12" fillId="0" borderId="9" xfId="6" applyNumberFormat="1" applyFont="1" applyBorder="1" applyAlignment="1">
      <alignment horizontal="right"/>
    </xf>
    <xf numFmtId="9" fontId="12" fillId="0" borderId="9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9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9" xfId="6" applyFont="1" applyBorder="1" applyAlignment="1">
      <alignment horizontal="center"/>
    </xf>
    <xf numFmtId="0" fontId="12" fillId="0" borderId="9" xfId="6" applyFont="1" applyBorder="1" applyAlignment="1">
      <alignment wrapText="1"/>
    </xf>
    <xf numFmtId="9" fontId="12" fillId="0" borderId="9" xfId="10" applyFont="1" applyBorder="1" applyAlignment="1">
      <alignment horizontal="right"/>
    </xf>
    <xf numFmtId="37" fontId="12" fillId="0" borderId="9" xfId="6" applyNumberFormat="1" applyFont="1" applyFill="1" applyBorder="1" applyAlignment="1">
      <alignment horizontal="right"/>
    </xf>
    <xf numFmtId="164" fontId="12" fillId="0" borderId="16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9" xfId="6" applyNumberFormat="1" applyFont="1" applyFill="1" applyBorder="1" applyAlignment="1">
      <alignment horizontal="left"/>
    </xf>
    <xf numFmtId="164" fontId="12" fillId="3" borderId="20" xfId="6" applyNumberFormat="1" applyFont="1" applyFill="1" applyBorder="1" applyAlignment="1">
      <alignment horizontal="center" wrapText="1"/>
    </xf>
    <xf numFmtId="164" fontId="12" fillId="3" borderId="21" xfId="6" applyNumberFormat="1" applyFont="1" applyFill="1" applyBorder="1" applyAlignment="1">
      <alignment horizontal="center" wrapText="1"/>
    </xf>
    <xf numFmtId="9" fontId="12" fillId="3" borderId="19" xfId="10" applyFont="1" applyFill="1" applyBorder="1" applyAlignment="1">
      <alignment horizontal="center" wrapText="1"/>
    </xf>
    <xf numFmtId="0" fontId="15" fillId="0" borderId="9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9" xfId="6" applyNumberFormat="1" applyFont="1" applyFill="1" applyBorder="1" applyAlignment="1">
      <alignment horizontal="left" wrapText="1"/>
    </xf>
    <xf numFmtId="0" fontId="12" fillId="0" borderId="9" xfId="6" applyFont="1" applyBorder="1" applyAlignment="1">
      <alignment horizontal="center" vertical="center"/>
    </xf>
    <xf numFmtId="0" fontId="12" fillId="0" borderId="9" xfId="6" applyFont="1" applyFill="1" applyBorder="1" applyAlignment="1">
      <alignment wrapText="1"/>
    </xf>
    <xf numFmtId="37" fontId="12" fillId="0" borderId="9" xfId="1" applyNumberFormat="1" applyFont="1" applyBorder="1" applyAlignment="1">
      <alignment horizontal="right"/>
    </xf>
    <xf numFmtId="0" fontId="1" fillId="0" borderId="32" xfId="6" applyBorder="1" applyAlignment="1">
      <alignment wrapText="1"/>
    </xf>
    <xf numFmtId="0" fontId="2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wrapText="1"/>
    </xf>
    <xf numFmtId="164" fontId="2" fillId="0" borderId="32" xfId="6" applyNumberFormat="1" applyFont="1" applyBorder="1" applyAlignment="1">
      <alignment horizontal="center" wrapText="1"/>
    </xf>
    <xf numFmtId="0" fontId="1" fillId="0" borderId="32" xfId="6" applyFill="1" applyBorder="1" applyAlignment="1">
      <alignment wrapText="1"/>
    </xf>
    <xf numFmtId="0" fontId="2" fillId="0" borderId="32" xfId="6" applyFont="1" applyFill="1" applyBorder="1" applyAlignment="1">
      <alignment horizontal="left" wrapText="1"/>
    </xf>
    <xf numFmtId="0" fontId="2" fillId="0" borderId="32" xfId="6" applyFont="1" applyFill="1" applyBorder="1" applyAlignment="1">
      <alignment horizontal="centerContinuous" wrapText="1"/>
    </xf>
    <xf numFmtId="164" fontId="3" fillId="0" borderId="32" xfId="6" applyNumberFormat="1" applyFont="1" applyBorder="1" applyAlignment="1">
      <alignment horizontal="center" wrapText="1"/>
    </xf>
    <xf numFmtId="0" fontId="2" fillId="0" borderId="32" xfId="6" applyFont="1" applyFill="1" applyBorder="1" applyAlignment="1">
      <alignment horizontal="center" wrapText="1"/>
    </xf>
    <xf numFmtId="0" fontId="1" fillId="0" borderId="32" xfId="6" applyFill="1" applyBorder="1" applyAlignment="1">
      <alignment horizontal="center" wrapText="1"/>
    </xf>
    <xf numFmtId="0" fontId="4" fillId="0" borderId="32" xfId="6" applyFont="1" applyFill="1" applyBorder="1" applyAlignment="1">
      <alignment horizontal="center" wrapText="1"/>
    </xf>
    <xf numFmtId="0" fontId="5" fillId="0" borderId="32" xfId="6" applyFont="1" applyFill="1" applyBorder="1" applyAlignment="1">
      <alignment horizontal="center" wrapText="1"/>
    </xf>
    <xf numFmtId="0" fontId="4" fillId="0" borderId="32" xfId="6" applyFont="1" applyFill="1" applyBorder="1" applyAlignment="1">
      <alignment horizontal="left" wrapText="1"/>
    </xf>
    <xf numFmtId="0" fontId="1" fillId="0" borderId="32" xfId="6" applyFont="1" applyFill="1" applyBorder="1" applyAlignment="1">
      <alignment wrapText="1"/>
    </xf>
    <xf numFmtId="0" fontId="3" fillId="0" borderId="32" xfId="6" applyFont="1" applyFill="1" applyBorder="1" applyAlignment="1">
      <alignment horizontal="center" wrapText="1"/>
    </xf>
    <xf numFmtId="0" fontId="1" fillId="0" borderId="32" xfId="6" applyFont="1" applyBorder="1" applyAlignment="1">
      <alignment horizontal="center" wrapText="1"/>
    </xf>
    <xf numFmtId="0" fontId="1" fillId="0" borderId="32" xfId="6" applyFont="1" applyBorder="1" applyAlignment="1">
      <alignment horizontal="left" wrapText="1"/>
    </xf>
    <xf numFmtId="9" fontId="1" fillId="0" borderId="32" xfId="6" applyNumberFormat="1" applyFont="1" applyBorder="1" applyAlignment="1">
      <alignment horizontal="right" wrapText="1"/>
    </xf>
    <xf numFmtId="0" fontId="6" fillId="0" borderId="32" xfId="6" applyFont="1" applyBorder="1" applyAlignment="1">
      <alignment horizontal="center" wrapText="1"/>
    </xf>
    <xf numFmtId="0" fontId="2" fillId="0" borderId="32" xfId="6" applyFont="1" applyBorder="1" applyAlignment="1">
      <alignment horizontal="left" wrapText="1"/>
    </xf>
    <xf numFmtId="5" fontId="3" fillId="0" borderId="32" xfId="6" applyNumberFormat="1" applyFont="1" applyBorder="1" applyAlignment="1">
      <alignment horizontal="right" wrapText="1"/>
    </xf>
    <xf numFmtId="9" fontId="3" fillId="0" borderId="32" xfId="6" applyNumberFormat="1" applyFont="1" applyBorder="1" applyAlignment="1">
      <alignment horizontal="right" wrapText="1"/>
    </xf>
    <xf numFmtId="37" fontId="1" fillId="0" borderId="32" xfId="6" applyNumberFormat="1" applyFont="1" applyBorder="1" applyAlignment="1">
      <alignment horizontal="right" wrapText="1"/>
    </xf>
    <xf numFmtId="0" fontId="3" fillId="0" borderId="32" xfId="6" applyFont="1" applyBorder="1" applyAlignment="1">
      <alignment horizontal="center" wrapText="1"/>
    </xf>
    <xf numFmtId="0" fontId="5" fillId="0" borderId="32" xfId="6" applyFont="1" applyBorder="1" applyAlignment="1">
      <alignment horizontal="left" wrapText="1"/>
    </xf>
    <xf numFmtId="0" fontId="1" fillId="0" borderId="32" xfId="6" applyBorder="1" applyAlignment="1">
      <alignment horizontal="left" wrapText="1"/>
    </xf>
    <xf numFmtId="6" fontId="1" fillId="0" borderId="32" xfId="6" applyNumberFormat="1" applyBorder="1" applyAlignment="1">
      <alignment horizontal="right" wrapText="1"/>
    </xf>
    <xf numFmtId="9" fontId="1" fillId="0" borderId="32" xfId="6" applyNumberFormat="1" applyBorder="1" applyAlignment="1">
      <alignment horizontal="right" wrapText="1"/>
    </xf>
    <xf numFmtId="0" fontId="2" fillId="0" borderId="32" xfId="6" applyFont="1" applyBorder="1" applyAlignment="1">
      <alignment horizontal="center" wrapText="1"/>
    </xf>
    <xf numFmtId="0" fontId="4" fillId="0" borderId="32" xfId="6" applyFont="1" applyBorder="1" applyAlignment="1">
      <alignment horizontal="left" wrapText="1"/>
    </xf>
    <xf numFmtId="0" fontId="6" fillId="0" borderId="32" xfId="6" applyFont="1" applyFill="1" applyBorder="1" applyAlignment="1">
      <alignment horizontal="center" wrapText="1"/>
    </xf>
    <xf numFmtId="0" fontId="6" fillId="0" borderId="32" xfId="6" applyFont="1" applyFill="1" applyBorder="1" applyAlignment="1">
      <alignment horizontal="left" wrapText="1"/>
    </xf>
    <xf numFmtId="9" fontId="6" fillId="0" borderId="32" xfId="6" applyNumberFormat="1" applyFont="1" applyFill="1" applyBorder="1" applyAlignment="1">
      <alignment horizontal="right" wrapText="1"/>
    </xf>
    <xf numFmtId="0" fontId="16" fillId="0" borderId="32" xfId="6" applyFont="1" applyBorder="1" applyAlignment="1">
      <alignment wrapText="1"/>
    </xf>
    <xf numFmtId="5" fontId="6" fillId="0" borderId="32" xfId="6" applyNumberFormat="1" applyFont="1" applyBorder="1" applyAlignment="1">
      <alignment horizontal="right" wrapText="1"/>
    </xf>
    <xf numFmtId="165" fontId="6" fillId="0" borderId="32" xfId="6" applyNumberFormat="1" applyFont="1" applyBorder="1" applyAlignment="1">
      <alignment horizontal="right" wrapText="1"/>
    </xf>
    <xf numFmtId="165" fontId="3" fillId="0" borderId="32" xfId="6" applyNumberFormat="1" applyFont="1" applyBorder="1" applyAlignment="1">
      <alignment horizontal="right" wrapText="1"/>
    </xf>
    <xf numFmtId="0" fontId="1" fillId="0" borderId="32" xfId="6" applyFont="1" applyBorder="1" applyAlignment="1">
      <alignment horizontal="right" wrapText="1"/>
    </xf>
    <xf numFmtId="0" fontId="11" fillId="0" borderId="32" xfId="6" applyFont="1" applyBorder="1" applyAlignment="1">
      <alignment wrapText="1"/>
    </xf>
    <xf numFmtId="164" fontId="5" fillId="0" borderId="32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2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5" xfId="7" applyFont="1" applyFill="1" applyBorder="1" applyAlignment="1">
      <alignment horizontal="center"/>
    </xf>
    <xf numFmtId="0" fontId="3" fillId="2" borderId="32" xfId="7" applyFont="1" applyFill="1" applyBorder="1" applyAlignment="1">
      <alignment horizontal="center"/>
    </xf>
    <xf numFmtId="0" fontId="4" fillId="2" borderId="32" xfId="7" applyFont="1" applyFill="1" applyBorder="1" applyAlignment="1">
      <alignment horizontal="left"/>
    </xf>
    <xf numFmtId="5" fontId="3" fillId="2" borderId="32" xfId="7" applyNumberFormat="1" applyFont="1" applyFill="1" applyBorder="1" applyAlignment="1">
      <alignment horizontal="right"/>
    </xf>
    <xf numFmtId="165" fontId="3" fillId="2" borderId="32" xfId="7" applyNumberFormat="1" applyFont="1" applyFill="1" applyBorder="1" applyAlignment="1">
      <alignment horizontal="right"/>
    </xf>
    <xf numFmtId="0" fontId="5" fillId="2" borderId="32" xfId="7" applyFont="1" applyFill="1" applyBorder="1" applyAlignment="1">
      <alignment horizontal="left"/>
    </xf>
    <xf numFmtId="43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center"/>
    </xf>
    <xf numFmtId="0" fontId="6" fillId="2" borderId="32" xfId="7" applyFont="1" applyFill="1" applyBorder="1" applyAlignment="1">
      <alignment horizontal="left" wrapText="1"/>
    </xf>
    <xf numFmtId="5" fontId="6" fillId="2" borderId="32" xfId="7" applyNumberFormat="1" applyFont="1" applyFill="1" applyBorder="1" applyAlignment="1"/>
    <xf numFmtId="0" fontId="2" fillId="2" borderId="32" xfId="7" applyFont="1" applyFill="1" applyBorder="1" applyAlignment="1">
      <alignment horizontal="left"/>
    </xf>
    <xf numFmtId="164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left"/>
    </xf>
    <xf numFmtId="5" fontId="1" fillId="2" borderId="32" xfId="7" applyNumberFormat="1" applyFont="1" applyFill="1" applyBorder="1" applyAlignment="1"/>
    <xf numFmtId="0" fontId="1" fillId="2" borderId="34" xfId="7" applyFont="1" applyFill="1" applyBorder="1" applyAlignment="1">
      <alignment horizontal="left"/>
    </xf>
    <xf numFmtId="0" fontId="8" fillId="2" borderId="32" xfId="7" applyFill="1" applyBorder="1"/>
    <xf numFmtId="5" fontId="3" fillId="2" borderId="32" xfId="7" applyNumberFormat="1" applyFont="1" applyFill="1" applyBorder="1" applyAlignment="1"/>
    <xf numFmtId="165" fontId="3" fillId="2" borderId="32" xfId="7" applyNumberFormat="1" applyFont="1" applyFill="1" applyBorder="1" applyAlignment="1"/>
    <xf numFmtId="1" fontId="3" fillId="2" borderId="32" xfId="7" applyNumberFormat="1" applyFont="1" applyFill="1" applyBorder="1" applyAlignment="1"/>
    <xf numFmtId="42" fontId="1" fillId="2" borderId="32" xfId="7" applyNumberFormat="1" applyFont="1" applyFill="1" applyBorder="1" applyAlignment="1"/>
    <xf numFmtId="42" fontId="6" fillId="2" borderId="32" xfId="7" applyNumberFormat="1" applyFont="1" applyFill="1" applyBorder="1" applyAlignment="1"/>
    <xf numFmtId="5" fontId="6" fillId="2" borderId="32" xfId="7" applyNumberFormat="1" applyFont="1" applyFill="1" applyBorder="1" applyAlignment="1">
      <alignment horizontal="right"/>
    </xf>
    <xf numFmtId="42" fontId="6" fillId="2" borderId="32" xfId="7" applyNumberFormat="1" applyFont="1" applyFill="1" applyBorder="1" applyAlignment="1">
      <alignment horizontal="right"/>
    </xf>
    <xf numFmtId="1" fontId="3" fillId="2" borderId="32" xfId="7" applyNumberFormat="1" applyFont="1" applyFill="1" applyBorder="1" applyAlignment="1">
      <alignment horizontal="right"/>
    </xf>
    <xf numFmtId="165" fontId="6" fillId="2" borderId="32" xfId="7" applyNumberFormat="1" applyFont="1" applyFill="1" applyBorder="1" applyAlignment="1">
      <alignment horizontal="right"/>
    </xf>
    <xf numFmtId="168" fontId="3" fillId="2" borderId="32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2" xfId="7" applyNumberFormat="1" applyFont="1" applyFill="1" applyBorder="1" applyAlignment="1"/>
    <xf numFmtId="0" fontId="1" fillId="0" borderId="13" xfId="7" applyFont="1" applyBorder="1" applyAlignment="1">
      <alignment horizontal="center"/>
    </xf>
    <xf numFmtId="164" fontId="2" fillId="0" borderId="9" xfId="7" applyNumberFormat="1" applyFont="1" applyBorder="1" applyAlignment="1"/>
    <xf numFmtId="164" fontId="2" fillId="0" borderId="9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13" xfId="7" applyFont="1" applyBorder="1" applyAlignment="1">
      <alignment horizontal="center"/>
    </xf>
    <xf numFmtId="164" fontId="5" fillId="0" borderId="9" xfId="7" applyNumberFormat="1" applyFont="1" applyFill="1" applyBorder="1" applyAlignment="1"/>
    <xf numFmtId="164" fontId="5" fillId="0" borderId="9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9" xfId="7" applyNumberFormat="1" applyFont="1" applyBorder="1" applyAlignment="1">
      <alignment horizontal="center"/>
    </xf>
    <xf numFmtId="0" fontId="6" fillId="0" borderId="13" xfId="7" applyFont="1" applyBorder="1" applyAlignment="1">
      <alignment horizontal="center"/>
    </xf>
    <xf numFmtId="164" fontId="6" fillId="0" borderId="9" xfId="7" applyNumberFormat="1" applyFont="1" applyBorder="1" applyAlignment="1"/>
    <xf numFmtId="3" fontId="1" fillId="0" borderId="9" xfId="7" applyNumberFormat="1" applyFont="1" applyBorder="1" applyAlignment="1">
      <alignment horizontal="right"/>
    </xf>
    <xf numFmtId="1" fontId="1" fillId="0" borderId="9" xfId="7" applyNumberFormat="1" applyFont="1" applyBorder="1" applyAlignment="1">
      <alignment horizontal="right"/>
    </xf>
    <xf numFmtId="167" fontId="1" fillId="0" borderId="9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9" xfId="7" applyNumberFormat="1" applyFont="1" applyBorder="1" applyAlignment="1"/>
    <xf numFmtId="3" fontId="3" fillId="0" borderId="9" xfId="7" applyNumberFormat="1" applyFont="1" applyBorder="1" applyAlignment="1">
      <alignment horizontal="right"/>
    </xf>
    <xf numFmtId="167" fontId="3" fillId="0" borderId="9" xfId="9" applyNumberFormat="1" applyFont="1" applyBorder="1" applyAlignment="1">
      <alignment horizontal="right"/>
    </xf>
    <xf numFmtId="164" fontId="1" fillId="0" borderId="9" xfId="7" applyNumberFormat="1" applyFont="1" applyBorder="1" applyAlignment="1"/>
    <xf numFmtId="3" fontId="2" fillId="0" borderId="9" xfId="7" applyNumberFormat="1" applyFont="1" applyBorder="1" applyAlignment="1">
      <alignment horizontal="right"/>
    </xf>
    <xf numFmtId="167" fontId="2" fillId="0" borderId="9" xfId="9" applyNumberFormat="1" applyFont="1" applyBorder="1" applyAlignment="1">
      <alignment horizontal="right"/>
    </xf>
    <xf numFmtId="1" fontId="2" fillId="0" borderId="9" xfId="7" applyNumberFormat="1" applyFont="1" applyBorder="1" applyAlignment="1">
      <alignment horizontal="right"/>
    </xf>
    <xf numFmtId="167" fontId="2" fillId="0" borderId="9" xfId="7" applyNumberFormat="1" applyFont="1" applyBorder="1" applyAlignment="1">
      <alignment horizontal="right"/>
    </xf>
    <xf numFmtId="37" fontId="2" fillId="0" borderId="9" xfId="7" applyNumberFormat="1" applyFont="1" applyBorder="1" applyAlignment="1">
      <alignment horizontal="right"/>
    </xf>
    <xf numFmtId="9" fontId="2" fillId="0" borderId="9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wrapText="1"/>
    </xf>
    <xf numFmtId="37" fontId="3" fillId="0" borderId="9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9" fontId="3" fillId="0" borderId="9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20" xfId="7" applyFont="1" applyBorder="1" applyAlignment="1">
      <alignment horizontal="center"/>
    </xf>
    <xf numFmtId="164" fontId="5" fillId="0" borderId="9" xfId="7" applyNumberFormat="1" applyFont="1" applyBorder="1" applyAlignment="1">
      <alignment wrapText="1"/>
    </xf>
    <xf numFmtId="164" fontId="4" fillId="0" borderId="9" xfId="7" applyNumberFormat="1" applyFont="1" applyBorder="1" applyAlignment="1">
      <alignment horizontal="center"/>
    </xf>
    <xf numFmtId="164" fontId="6" fillId="0" borderId="9" xfId="7" applyNumberFormat="1" applyFont="1" applyBorder="1" applyAlignment="1">
      <alignment wrapText="1"/>
    </xf>
    <xf numFmtId="3" fontId="1" fillId="0" borderId="9" xfId="2" applyNumberFormat="1" applyFont="1" applyBorder="1" applyAlignment="1">
      <alignment horizontal="right"/>
    </xf>
    <xf numFmtId="9" fontId="1" fillId="0" borderId="9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9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9" xfId="7" applyNumberFormat="1" applyFont="1" applyBorder="1" applyAlignment="1">
      <alignment horizontal="right"/>
    </xf>
    <xf numFmtId="3" fontId="6" fillId="0" borderId="9" xfId="2" applyNumberFormat="1" applyFont="1" applyBorder="1" applyAlignment="1">
      <alignment horizontal="right"/>
    </xf>
    <xf numFmtId="170" fontId="1" fillId="0" borderId="9" xfId="7" applyNumberFormat="1" applyFont="1" applyBorder="1" applyAlignment="1">
      <alignment horizontal="right"/>
    </xf>
    <xf numFmtId="170" fontId="1" fillId="0" borderId="9" xfId="2" applyNumberFormat="1" applyFont="1" applyBorder="1" applyAlignment="1">
      <alignment horizontal="right"/>
    </xf>
    <xf numFmtId="170" fontId="3" fillId="0" borderId="9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9" xfId="8" applyFont="1" applyBorder="1" applyAlignment="1" applyProtection="1">
      <alignment horizontal="left"/>
      <protection locked="0"/>
    </xf>
    <xf numFmtId="0" fontId="3" fillId="0" borderId="9" xfId="8" applyFont="1" applyBorder="1" applyAlignment="1" applyProtection="1">
      <alignment horizontal="center"/>
      <protection locked="0"/>
    </xf>
    <xf numFmtId="0" fontId="11" fillId="0" borderId="22" xfId="8" applyFont="1" applyBorder="1" applyProtection="1">
      <protection locked="0"/>
    </xf>
    <xf numFmtId="0" fontId="18" fillId="0" borderId="9" xfId="8" applyFont="1" applyBorder="1" applyAlignment="1" applyProtection="1">
      <alignment horizontal="center"/>
      <protection locked="0"/>
    </xf>
    <xf numFmtId="0" fontId="18" fillId="0" borderId="2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18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9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9" xfId="8" applyFont="1" applyBorder="1" applyAlignment="1"/>
    <xf numFmtId="0" fontId="9" fillId="0" borderId="9" xfId="8" applyFont="1" applyBorder="1" applyAlignment="1">
      <alignment horizontal="center" vertical="top"/>
    </xf>
    <xf numFmtId="0" fontId="5" fillId="0" borderId="9" xfId="8" applyFont="1" applyBorder="1" applyAlignment="1"/>
    <xf numFmtId="0" fontId="19" fillId="0" borderId="9" xfId="8" applyFont="1" applyBorder="1" applyAlignment="1" applyProtection="1">
      <alignment horizontal="center"/>
      <protection locked="0"/>
    </xf>
    <xf numFmtId="0" fontId="11" fillId="0" borderId="9" xfId="8" applyFont="1" applyBorder="1" applyAlignment="1">
      <alignment horizontal="center"/>
    </xf>
    <xf numFmtId="0" fontId="11" fillId="0" borderId="9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9" xfId="8" applyFont="1" applyBorder="1" applyAlignment="1">
      <alignment horizontal="center" vertical="top"/>
    </xf>
    <xf numFmtId="0" fontId="20" fillId="0" borderId="9" xfId="8" applyFont="1" applyBorder="1" applyAlignment="1">
      <alignment vertical="top"/>
    </xf>
    <xf numFmtId="0" fontId="11" fillId="0" borderId="9" xfId="8" applyFont="1" applyBorder="1" applyProtection="1">
      <protection locked="0"/>
    </xf>
    <xf numFmtId="0" fontId="11" fillId="0" borderId="9" xfId="8" applyFont="1" applyBorder="1" applyAlignment="1">
      <alignment vertical="top" wrapText="1"/>
    </xf>
    <xf numFmtId="0" fontId="11" fillId="0" borderId="9" xfId="8" applyFont="1" applyBorder="1" applyAlignment="1">
      <alignment horizontal="center" vertical="top"/>
    </xf>
    <xf numFmtId="6" fontId="11" fillId="0" borderId="9" xfId="8" applyNumberFormat="1" applyFont="1" applyBorder="1" applyAlignment="1">
      <alignment horizontal="right" vertical="top"/>
    </xf>
    <xf numFmtId="6" fontId="11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horizontal="right" vertical="top"/>
    </xf>
    <xf numFmtId="0" fontId="18" fillId="0" borderId="9" xfId="8" applyFont="1" applyBorder="1" applyAlignment="1">
      <alignment vertical="top" wrapText="1"/>
    </xf>
    <xf numFmtId="6" fontId="18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vertical="top"/>
    </xf>
    <xf numFmtId="0" fontId="19" fillId="0" borderId="9" xfId="8" applyFont="1" applyBorder="1" applyAlignment="1" applyProtection="1">
      <alignment horizontal="left"/>
      <protection locked="0"/>
    </xf>
    <xf numFmtId="0" fontId="19" fillId="0" borderId="9" xfId="8" applyFont="1" applyBorder="1" applyProtection="1">
      <protection locked="0"/>
    </xf>
    <xf numFmtId="0" fontId="20" fillId="0" borderId="9" xfId="8" applyFont="1" applyBorder="1" applyProtection="1">
      <protection locked="0"/>
    </xf>
    <xf numFmtId="0" fontId="20" fillId="0" borderId="9" xfId="8" applyFont="1" applyBorder="1" applyAlignment="1"/>
    <xf numFmtId="10" fontId="11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>
      <alignment vertical="top"/>
    </xf>
    <xf numFmtId="10" fontId="18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 applyProtection="1">
      <alignment horizontal="center"/>
      <protection locked="0"/>
    </xf>
    <xf numFmtId="0" fontId="18" fillId="0" borderId="9" xfId="8" applyFont="1" applyBorder="1" applyProtection="1">
      <protection locked="0"/>
    </xf>
    <xf numFmtId="167" fontId="11" fillId="0" borderId="9" xfId="11" applyNumberFormat="1" applyFont="1" applyBorder="1" applyAlignment="1">
      <alignment vertical="top"/>
    </xf>
    <xf numFmtId="0" fontId="9" fillId="0" borderId="9" xfId="8" applyFont="1" applyBorder="1" applyAlignment="1" applyProtection="1">
      <alignment horizontal="center"/>
      <protection locked="0"/>
    </xf>
    <xf numFmtId="3" fontId="11" fillId="0" borderId="9" xfId="8" applyNumberFormat="1" applyFont="1" applyBorder="1" applyAlignment="1">
      <alignment horizontal="right" vertical="top"/>
    </xf>
    <xf numFmtId="176" fontId="11" fillId="0" borderId="9" xfId="3" applyNumberFormat="1" applyFont="1" applyBorder="1" applyAlignment="1">
      <alignment vertical="top"/>
    </xf>
    <xf numFmtId="3" fontId="18" fillId="0" borderId="9" xfId="8" applyNumberFormat="1" applyFont="1" applyBorder="1" applyAlignment="1">
      <alignment vertical="top"/>
    </xf>
    <xf numFmtId="176" fontId="18" fillId="0" borderId="9" xfId="3" applyNumberFormat="1" applyFont="1" applyBorder="1" applyAlignment="1">
      <alignment vertical="top"/>
    </xf>
    <xf numFmtId="3" fontId="11" fillId="0" borderId="9" xfId="8" applyNumberFormat="1" applyFont="1" applyBorder="1" applyAlignment="1">
      <alignment vertical="top"/>
    </xf>
    <xf numFmtId="3" fontId="11" fillId="0" borderId="9" xfId="8" applyNumberFormat="1" applyFont="1" applyFill="1" applyBorder="1" applyAlignment="1">
      <alignment vertical="top"/>
    </xf>
    <xf numFmtId="170" fontId="11" fillId="0" borderId="9" xfId="8" applyNumberFormat="1" applyFont="1" applyBorder="1" applyAlignment="1">
      <alignment vertical="top"/>
    </xf>
    <xf numFmtId="174" fontId="11" fillId="0" borderId="9" xfId="3" applyNumberFormat="1" applyFont="1" applyBorder="1" applyAlignment="1">
      <alignment vertical="top"/>
    </xf>
    <xf numFmtId="170" fontId="18" fillId="0" borderId="9" xfId="8" applyNumberFormat="1" applyFont="1" applyBorder="1" applyAlignment="1">
      <alignment vertical="top"/>
    </xf>
    <xf numFmtId="174" fontId="18" fillId="0" borderId="9" xfId="3" applyNumberFormat="1" applyFont="1" applyBorder="1" applyAlignment="1">
      <alignment vertical="top"/>
    </xf>
    <xf numFmtId="174" fontId="11" fillId="0" borderId="9" xfId="8" applyNumberFormat="1" applyFont="1" applyBorder="1" applyAlignment="1">
      <alignment vertical="top"/>
    </xf>
    <xf numFmtId="180" fontId="11" fillId="0" borderId="9" xfId="8" applyNumberFormat="1" applyFont="1" applyBorder="1" applyAlignment="1">
      <alignment horizontal="right" vertical="top"/>
    </xf>
    <xf numFmtId="172" fontId="11" fillId="0" borderId="9" xfId="3" applyNumberFormat="1" applyFont="1" applyBorder="1" applyAlignment="1">
      <alignment vertical="top"/>
    </xf>
    <xf numFmtId="180" fontId="18" fillId="0" borderId="9" xfId="8" applyNumberFormat="1" applyFont="1" applyBorder="1" applyAlignment="1">
      <alignment horizontal="right" vertical="top"/>
    </xf>
    <xf numFmtId="172" fontId="18" fillId="0" borderId="9" xfId="3" applyNumberFormat="1" applyFont="1" applyBorder="1" applyAlignment="1">
      <alignment vertical="top"/>
    </xf>
    <xf numFmtId="0" fontId="11" fillId="0" borderId="9" xfId="8" applyFont="1" applyBorder="1" applyAlignment="1">
      <alignment horizontal="right" vertical="top"/>
    </xf>
    <xf numFmtId="6" fontId="11" fillId="0" borderId="9" xfId="8" applyNumberFormat="1" applyFont="1" applyBorder="1" applyProtection="1">
      <protection locked="0"/>
    </xf>
    <xf numFmtId="10" fontId="11" fillId="0" borderId="9" xfId="11" applyNumberFormat="1" applyFont="1" applyBorder="1" applyProtection="1">
      <protection locked="0"/>
    </xf>
    <xf numFmtId="0" fontId="27" fillId="0" borderId="9" xfId="8" applyFont="1" applyFill="1" applyBorder="1" applyAlignment="1">
      <alignment vertical="top" wrapText="1"/>
    </xf>
    <xf numFmtId="6" fontId="11" fillId="0" borderId="9" xfId="8" applyNumberFormat="1" applyFont="1" applyFill="1" applyBorder="1" applyProtection="1">
      <protection locked="0"/>
    </xf>
    <xf numFmtId="0" fontId="5" fillId="0" borderId="9" xfId="8" applyFont="1" applyBorder="1" applyAlignment="1">
      <alignment vertical="top"/>
    </xf>
    <xf numFmtId="0" fontId="11" fillId="0" borderId="9" xfId="8" applyFont="1" applyBorder="1" applyAlignment="1" applyProtection="1">
      <alignment horizontal="left"/>
      <protection locked="0"/>
    </xf>
    <xf numFmtId="0" fontId="18" fillId="0" borderId="9" xfId="8" applyFont="1" applyBorder="1" applyAlignment="1" applyProtection="1">
      <alignment horizontal="left"/>
      <protection locked="0"/>
    </xf>
    <xf numFmtId="169" fontId="11" fillId="0" borderId="9" xfId="3" applyNumberFormat="1" applyFont="1" applyBorder="1" applyProtection="1">
      <protection locked="0"/>
    </xf>
    <xf numFmtId="169" fontId="11" fillId="0" borderId="9" xfId="8" applyNumberFormat="1" applyFont="1" applyBorder="1" applyProtection="1">
      <protection locked="0"/>
    </xf>
    <xf numFmtId="169" fontId="18" fillId="0" borderId="9" xfId="3" applyNumberFormat="1" applyFont="1" applyBorder="1" applyProtection="1">
      <protection locked="0"/>
    </xf>
    <xf numFmtId="169" fontId="18" fillId="0" borderId="9" xfId="8" applyNumberFormat="1" applyFont="1" applyBorder="1" applyProtection="1">
      <protection locked="0"/>
    </xf>
    <xf numFmtId="181" fontId="11" fillId="0" borderId="9" xfId="8" applyNumberFormat="1" applyFont="1" applyBorder="1" applyProtection="1">
      <protection locked="0"/>
    </xf>
    <xf numFmtId="181" fontId="18" fillId="0" borderId="9" xfId="8" applyNumberFormat="1" applyFont="1" applyBorder="1" applyProtection="1">
      <protection locked="0"/>
    </xf>
    <xf numFmtId="182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Protection="1">
      <protection locked="0"/>
    </xf>
    <xf numFmtId="8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Alignment="1" applyProtection="1">
      <alignment horizontal="right"/>
      <protection locked="0"/>
    </xf>
    <xf numFmtId="8" fontId="18" fillId="0" borderId="9" xfId="8" applyNumberFormat="1" applyFont="1" applyBorder="1" applyAlignment="1" applyProtection="1">
      <alignment horizontal="right"/>
      <protection locked="0"/>
    </xf>
    <xf numFmtId="6" fontId="18" fillId="0" borderId="9" xfId="8" applyNumberFormat="1" applyFont="1" applyBorder="1" applyProtection="1">
      <protection locked="0"/>
    </xf>
    <xf numFmtId="6" fontId="29" fillId="0" borderId="9" xfId="8" applyNumberFormat="1" applyFont="1" applyBorder="1" applyProtection="1">
      <protection locked="0"/>
    </xf>
    <xf numFmtId="183" fontId="11" fillId="0" borderId="9" xfId="3" applyNumberFormat="1" applyFont="1" applyBorder="1" applyProtection="1">
      <protection locked="0"/>
    </xf>
    <xf numFmtId="184" fontId="11" fillId="0" borderId="9" xfId="8" applyNumberFormat="1" applyFont="1" applyBorder="1" applyProtection="1">
      <protection locked="0"/>
    </xf>
    <xf numFmtId="6" fontId="11" fillId="0" borderId="14" xfId="8" applyNumberFormat="1" applyFont="1" applyBorder="1" applyProtection="1">
      <protection locked="0"/>
    </xf>
    <xf numFmtId="0" fontId="11" fillId="0" borderId="9" xfId="8" applyFont="1" applyFill="1" applyBorder="1" applyAlignment="1">
      <alignment horizontal="center" vertical="top"/>
    </xf>
    <xf numFmtId="0" fontId="11" fillId="0" borderId="9" xfId="8" applyFont="1" applyFill="1" applyBorder="1" applyAlignment="1">
      <alignment vertical="top"/>
    </xf>
    <xf numFmtId="6" fontId="29" fillId="0" borderId="9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9" xfId="8" applyFont="1" applyBorder="1" applyAlignment="1">
      <alignment vertical="top"/>
    </xf>
    <xf numFmtId="10" fontId="11" fillId="0" borderId="9" xfId="8" applyNumberFormat="1" applyFont="1" applyBorder="1" applyProtection="1">
      <protection locked="0"/>
    </xf>
    <xf numFmtId="10" fontId="18" fillId="0" borderId="9" xfId="11" applyNumberFormat="1" applyFont="1" applyBorder="1" applyProtection="1">
      <protection locked="0"/>
    </xf>
    <xf numFmtId="10" fontId="18" fillId="0" borderId="9" xfId="8" applyNumberFormat="1" applyFont="1" applyBorder="1" applyProtection="1">
      <protection locked="0"/>
    </xf>
    <xf numFmtId="0" fontId="3" fillId="0" borderId="9" xfId="8" applyFont="1" applyBorder="1" applyAlignment="1"/>
    <xf numFmtId="6" fontId="11" fillId="0" borderId="9" xfId="8" applyNumberFormat="1" applyFont="1" applyFill="1" applyBorder="1" applyAlignment="1">
      <alignment horizontal="right" vertical="top"/>
    </xf>
    <xf numFmtId="6" fontId="11" fillId="0" borderId="9" xfId="8" applyNumberFormat="1" applyFont="1" applyFill="1" applyBorder="1" applyAlignment="1">
      <alignment vertical="top"/>
    </xf>
    <xf numFmtId="6" fontId="18" fillId="0" borderId="9" xfId="8" applyNumberFormat="1" applyFont="1" applyFill="1" applyBorder="1" applyAlignment="1">
      <alignment vertical="top"/>
    </xf>
    <xf numFmtId="6" fontId="18" fillId="0" borderId="9" xfId="8" applyNumberFormat="1" applyFont="1" applyBorder="1" applyAlignment="1">
      <alignment horizontal="right" vertical="top"/>
    </xf>
    <xf numFmtId="6" fontId="18" fillId="0" borderId="9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9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9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9" xfId="8" applyFont="1" applyBorder="1" applyAlignment="1">
      <alignment vertical="top"/>
    </xf>
    <xf numFmtId="0" fontId="6" fillId="0" borderId="9" xfId="8" applyFont="1" applyBorder="1" applyProtection="1">
      <protection locked="0"/>
    </xf>
    <xf numFmtId="0" fontId="6" fillId="0" borderId="9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9" xfId="8" applyNumberFormat="1" applyFont="1" applyBorder="1" applyAlignment="1">
      <alignment horizontal="right" vertical="top"/>
    </xf>
    <xf numFmtId="10" fontId="11" fillId="0" borderId="9" xfId="8" applyNumberFormat="1" applyFont="1" applyBorder="1" applyAlignment="1">
      <alignment horizontal="right" vertical="top"/>
    </xf>
    <xf numFmtId="185" fontId="11" fillId="0" borderId="9" xfId="8" applyNumberFormat="1" applyFont="1" applyBorder="1" applyProtection="1">
      <protection locked="0"/>
    </xf>
    <xf numFmtId="0" fontId="6" fillId="0" borderId="9" xfId="8" applyFont="1" applyFill="1" applyBorder="1" applyAlignment="1">
      <alignment vertical="top"/>
    </xf>
    <xf numFmtId="0" fontId="6" fillId="0" borderId="9" xfId="8" applyFont="1" applyBorder="1" applyAlignment="1" applyProtection="1">
      <alignment horizontal="center"/>
      <protection locked="0"/>
    </xf>
    <xf numFmtId="6" fontId="11" fillId="0" borderId="18" xfId="8" applyNumberFormat="1" applyFont="1" applyBorder="1" applyAlignment="1">
      <alignment horizontal="right" vertical="top"/>
    </xf>
    <xf numFmtId="6" fontId="11" fillId="0" borderId="18" xfId="8" applyNumberFormat="1" applyFont="1" applyBorder="1" applyAlignment="1">
      <alignment vertical="top"/>
    </xf>
    <xf numFmtId="6" fontId="18" fillId="0" borderId="18" xfId="8" applyNumberFormat="1" applyFont="1" applyBorder="1" applyAlignment="1">
      <alignment horizontal="right" vertical="top"/>
    </xf>
    <xf numFmtId="0" fontId="1" fillId="0" borderId="32" xfId="7" applyFont="1" applyBorder="1"/>
    <xf numFmtId="0" fontId="3" fillId="0" borderId="0" xfId="7" applyFont="1" applyBorder="1" applyAlignment="1">
      <alignment horizontal="right"/>
    </xf>
    <xf numFmtId="37" fontId="2" fillId="0" borderId="32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2" xfId="7" applyFont="1" applyBorder="1" applyAlignment="1">
      <alignment horizontal="center"/>
    </xf>
    <xf numFmtId="0" fontId="5" fillId="0" borderId="32" xfId="7" applyFont="1" applyBorder="1"/>
    <xf numFmtId="0" fontId="4" fillId="0" borderId="32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2" xfId="7" applyFont="1" applyBorder="1"/>
    <xf numFmtId="43" fontId="6" fillId="0" borderId="32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2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2" xfId="7" applyNumberFormat="1" applyFont="1" applyBorder="1" applyAlignment="1">
      <alignment horizontal="right"/>
    </xf>
    <xf numFmtId="43" fontId="6" fillId="0" borderId="32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2" xfId="2" applyFont="1" applyFill="1" applyBorder="1" applyAlignment="1" applyProtection="1">
      <alignment horizontal="left" wrapText="1"/>
      <protection locked="0"/>
    </xf>
    <xf numFmtId="0" fontId="6" fillId="0" borderId="32" xfId="7" applyFont="1" applyBorder="1"/>
    <xf numFmtId="43" fontId="3" fillId="0" borderId="32" xfId="2" applyFont="1" applyBorder="1" applyAlignment="1" applyProtection="1">
      <alignment horizontal="left"/>
      <protection locked="0"/>
    </xf>
    <xf numFmtId="37" fontId="10" fillId="0" borderId="32" xfId="7" applyNumberFormat="1" applyFont="1" applyBorder="1" applyAlignment="1">
      <alignment horizontal="right"/>
    </xf>
    <xf numFmtId="9" fontId="10" fillId="0" borderId="32" xfId="7" applyNumberFormat="1" applyFont="1" applyBorder="1" applyAlignment="1">
      <alignment horizontal="right"/>
    </xf>
    <xf numFmtId="0" fontId="30" fillId="0" borderId="32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167" fontId="3" fillId="0" borderId="32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2" xfId="7" applyNumberFormat="1" applyFont="1" applyBorder="1" applyAlignment="1">
      <alignment horizontal="right"/>
    </xf>
    <xf numFmtId="0" fontId="2" fillId="0" borderId="32" xfId="7" applyFont="1" applyBorder="1" applyAlignment="1"/>
    <xf numFmtId="0" fontId="31" fillId="0" borderId="32" xfId="7" applyFont="1" applyBorder="1" applyAlignment="1">
      <alignment horizontal="left"/>
    </xf>
    <xf numFmtId="5" fontId="31" fillId="0" borderId="32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2" xfId="7" applyFont="1" applyBorder="1" applyAlignment="1">
      <alignment horizontal="left"/>
    </xf>
    <xf numFmtId="43" fontId="11" fillId="0" borderId="32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4" xfId="6" applyFont="1" applyBorder="1" applyAlignment="1">
      <alignment horizontal="center"/>
    </xf>
    <xf numFmtId="0" fontId="2" fillId="0" borderId="36" xfId="6" applyFont="1" applyBorder="1" applyAlignment="1">
      <alignment horizontal="center"/>
    </xf>
    <xf numFmtId="0" fontId="2" fillId="0" borderId="37" xfId="6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36" xfId="7" applyFont="1" applyBorder="1" applyAlignment="1">
      <alignment horizontal="center"/>
    </xf>
    <xf numFmtId="0" fontId="3" fillId="0" borderId="37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20" xfId="6" applyNumberFormat="1" applyFont="1" applyFill="1" applyBorder="1" applyAlignment="1">
      <alignment horizontal="center" wrapText="1"/>
    </xf>
    <xf numFmtId="164" fontId="3" fillId="3" borderId="21" xfId="6" applyNumberFormat="1" applyFont="1" applyFill="1" applyBorder="1" applyAlignment="1">
      <alignment horizontal="center" wrapText="1"/>
    </xf>
    <xf numFmtId="164" fontId="3" fillId="3" borderId="19" xfId="6" applyNumberFormat="1" applyFont="1" applyFill="1" applyBorder="1" applyAlignment="1">
      <alignment horizontal="center" wrapText="1"/>
    </xf>
    <xf numFmtId="164" fontId="3" fillId="0" borderId="2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2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23" xfId="6" applyNumberFormat="1" applyFont="1" applyBorder="1" applyAlignment="1">
      <alignment horizontal="center"/>
    </xf>
    <xf numFmtId="5" fontId="6" fillId="0" borderId="24" xfId="6" applyNumberFormat="1" applyFont="1" applyBorder="1" applyAlignment="1">
      <alignment horizontal="center"/>
    </xf>
    <xf numFmtId="5" fontId="6" fillId="0" borderId="25" xfId="6" applyNumberFormat="1" applyFont="1" applyBorder="1" applyAlignment="1">
      <alignment horizontal="center"/>
    </xf>
    <xf numFmtId="5" fontId="6" fillId="0" borderId="20" xfId="6" applyNumberFormat="1" applyFont="1" applyBorder="1" applyAlignment="1">
      <alignment horizontal="center"/>
    </xf>
    <xf numFmtId="5" fontId="6" fillId="0" borderId="21" xfId="6" applyNumberFormat="1" applyFont="1" applyBorder="1" applyAlignment="1">
      <alignment horizontal="center"/>
    </xf>
    <xf numFmtId="5" fontId="6" fillId="0" borderId="19" xfId="6" applyNumberFormat="1" applyFont="1" applyBorder="1" applyAlignment="1">
      <alignment horizontal="center"/>
    </xf>
    <xf numFmtId="0" fontId="3" fillId="0" borderId="13" xfId="7" applyFont="1" applyBorder="1" applyAlignment="1">
      <alignment horizontal="center"/>
    </xf>
    <xf numFmtId="0" fontId="3" fillId="0" borderId="26" xfId="7" applyFont="1" applyBorder="1" applyAlignment="1">
      <alignment horizontal="center"/>
    </xf>
    <xf numFmtId="0" fontId="3" fillId="0" borderId="27" xfId="7" applyFont="1" applyBorder="1" applyAlignment="1">
      <alignment horizontal="center"/>
    </xf>
    <xf numFmtId="0" fontId="15" fillId="0" borderId="14" xfId="6" applyFont="1" applyBorder="1" applyAlignment="1"/>
    <xf numFmtId="0" fontId="15" fillId="0" borderId="8" xfId="6" applyFont="1" applyBorder="1" applyAlignment="1"/>
    <xf numFmtId="164" fontId="12" fillId="0" borderId="18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20" xfId="6" applyNumberFormat="1" applyFont="1" applyBorder="1" applyAlignment="1">
      <alignment horizontal="center" wrapText="1"/>
    </xf>
    <xf numFmtId="164" fontId="12" fillId="0" borderId="21" xfId="6" applyNumberFormat="1" applyFont="1" applyBorder="1" applyAlignment="1">
      <alignment horizontal="center" wrapText="1"/>
    </xf>
    <xf numFmtId="164" fontId="12" fillId="0" borderId="19" xfId="6" applyNumberFormat="1" applyFont="1" applyBorder="1" applyAlignment="1">
      <alignment horizontal="center" wrapText="1"/>
    </xf>
    <xf numFmtId="0" fontId="14" fillId="0" borderId="2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23" xfId="6" applyNumberFormat="1" applyFont="1" applyBorder="1" applyAlignment="1">
      <alignment horizontal="center" wrapText="1"/>
    </xf>
    <xf numFmtId="164" fontId="12" fillId="0" borderId="24" xfId="6" applyNumberFormat="1" applyFont="1" applyBorder="1" applyAlignment="1">
      <alignment horizontal="center" wrapText="1"/>
    </xf>
    <xf numFmtId="164" fontId="12" fillId="0" borderId="2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164" fontId="12" fillId="3" borderId="30" xfId="6" applyNumberFormat="1" applyFont="1" applyFill="1" applyBorder="1" applyAlignment="1">
      <alignment horizontal="center" wrapText="1"/>
    </xf>
    <xf numFmtId="0" fontId="14" fillId="0" borderId="14" xfId="6" applyFont="1" applyBorder="1" applyAlignment="1">
      <alignment horizontal="center"/>
    </xf>
    <xf numFmtId="0" fontId="2" fillId="0" borderId="34" xfId="6" applyFont="1" applyBorder="1" applyAlignment="1">
      <alignment horizontal="center" wrapText="1"/>
    </xf>
    <xf numFmtId="0" fontId="2" fillId="0" borderId="36" xfId="6" applyFont="1" applyBorder="1" applyAlignment="1">
      <alignment horizontal="center" wrapText="1"/>
    </xf>
    <xf numFmtId="0" fontId="2" fillId="0" borderId="37" xfId="6" applyFont="1" applyBorder="1" applyAlignment="1">
      <alignment horizontal="center" wrapText="1"/>
    </xf>
    <xf numFmtId="0" fontId="2" fillId="0" borderId="13" xfId="7" applyFont="1" applyBorder="1" applyAlignment="1">
      <alignment horizontal="center"/>
    </xf>
    <xf numFmtId="0" fontId="2" fillId="0" borderId="26" xfId="7" applyFont="1" applyBorder="1" applyAlignment="1">
      <alignment horizontal="center"/>
    </xf>
    <xf numFmtId="0" fontId="2" fillId="0" borderId="27" xfId="7" applyFont="1" applyBorder="1" applyAlignment="1">
      <alignment horizontal="center"/>
    </xf>
    <xf numFmtId="164" fontId="3" fillId="0" borderId="13" xfId="7" applyNumberFormat="1" applyFont="1" applyBorder="1" applyAlignment="1">
      <alignment wrapText="1"/>
    </xf>
    <xf numFmtId="164" fontId="3" fillId="0" borderId="26" xfId="7" applyNumberFormat="1" applyFont="1" applyBorder="1" applyAlignment="1">
      <alignment wrapText="1"/>
    </xf>
    <xf numFmtId="164" fontId="3" fillId="0" borderId="27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13" xfId="8" applyFont="1" applyBorder="1" applyAlignment="1" applyProtection="1">
      <alignment horizontal="center"/>
      <protection locked="0"/>
    </xf>
    <xf numFmtId="0" fontId="3" fillId="0" borderId="26" xfId="8" applyFont="1" applyBorder="1" applyAlignment="1" applyProtection="1">
      <alignment horizontal="center"/>
      <protection locked="0"/>
    </xf>
    <xf numFmtId="0" fontId="3" fillId="0" borderId="27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13" xfId="8" applyNumberFormat="1" applyFont="1" applyBorder="1" applyAlignment="1" applyProtection="1">
      <alignment horizontal="center"/>
      <protection locked="0"/>
    </xf>
    <xf numFmtId="164" fontId="3" fillId="0" borderId="26" xfId="8" applyNumberFormat="1" applyFont="1" applyBorder="1" applyAlignment="1" applyProtection="1">
      <alignment horizontal="center"/>
      <protection locked="0"/>
    </xf>
    <xf numFmtId="164" fontId="3" fillId="0" borderId="27" xfId="8" applyNumberFormat="1" applyFont="1" applyBorder="1" applyAlignment="1" applyProtection="1">
      <alignment horizontal="center"/>
      <protection locked="0"/>
    </xf>
    <xf numFmtId="0" fontId="1" fillId="0" borderId="34" xfId="7" applyFont="1" applyBorder="1"/>
    <xf numFmtId="0" fontId="1" fillId="0" borderId="36" xfId="7" applyFont="1" applyBorder="1"/>
    <xf numFmtId="0" fontId="1" fillId="0" borderId="37" xfId="7" applyFont="1" applyBorder="1"/>
    <xf numFmtId="0" fontId="2" fillId="0" borderId="34" xfId="7" applyFont="1" applyBorder="1" applyAlignment="1">
      <alignment horizontal="center"/>
    </xf>
    <xf numFmtId="0" fontId="2" fillId="0" borderId="36" xfId="7" applyFont="1" applyBorder="1" applyAlignment="1">
      <alignment horizontal="center"/>
    </xf>
    <xf numFmtId="0" fontId="2" fillId="0" borderId="37" xfId="7" applyFont="1" applyBorder="1" applyAlignment="1">
      <alignment horizontal="center"/>
    </xf>
    <xf numFmtId="0" fontId="3" fillId="0" borderId="34" xfId="7" applyFont="1" applyBorder="1" applyAlignment="1">
      <alignment horizontal="left"/>
    </xf>
    <xf numFmtId="0" fontId="3" fillId="0" borderId="36" xfId="7" applyFont="1" applyBorder="1" applyAlignment="1">
      <alignment horizontal="left"/>
    </xf>
    <xf numFmtId="0" fontId="3" fillId="0" borderId="37" xfId="7" applyFont="1" applyBorder="1" applyAlignment="1">
      <alignment horizontal="left"/>
    </xf>
    <xf numFmtId="0" fontId="3" fillId="0" borderId="34" xfId="7" applyFont="1" applyBorder="1" applyAlignment="1">
      <alignment horizontal="left" wrapText="1"/>
    </xf>
    <xf numFmtId="0" fontId="3" fillId="0" borderId="36" xfId="7" applyFont="1" applyBorder="1" applyAlignment="1">
      <alignment horizontal="left" wrapText="1"/>
    </xf>
    <xf numFmtId="0" fontId="3" fillId="0" borderId="37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7223350</v>
      </c>
      <c r="D13" s="22">
        <v>5598887</v>
      </c>
      <c r="E13" s="22">
        <f t="shared" ref="E13:E22" si="0">D13-C13</f>
        <v>-1624463</v>
      </c>
      <c r="F13" s="23">
        <f t="shared" ref="F13:F22" si="1">IF(C13=0,0,E13/C13)</f>
        <v>-0.22489052863283657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13152579</v>
      </c>
      <c r="D15" s="22">
        <v>13732468</v>
      </c>
      <c r="E15" s="22">
        <f t="shared" si="0"/>
        <v>579889</v>
      </c>
      <c r="F15" s="23">
        <f t="shared" si="1"/>
        <v>4.4089375931518827E-2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1952261</v>
      </c>
      <c r="D19" s="22">
        <v>1969907</v>
      </c>
      <c r="E19" s="22">
        <f t="shared" si="0"/>
        <v>17646</v>
      </c>
      <c r="F19" s="23">
        <f t="shared" si="1"/>
        <v>9.0387504539608185E-3</v>
      </c>
    </row>
    <row r="20" spans="1:11" ht="24" customHeight="1" x14ac:dyDescent="0.2">
      <c r="A20" s="20">
        <v>8</v>
      </c>
      <c r="B20" s="21" t="s">
        <v>23</v>
      </c>
      <c r="C20" s="22">
        <v>0</v>
      </c>
      <c r="D20" s="22">
        <v>0</v>
      </c>
      <c r="E20" s="22">
        <f t="shared" si="0"/>
        <v>0</v>
      </c>
      <c r="F20" s="23">
        <f t="shared" si="1"/>
        <v>0</v>
      </c>
    </row>
    <row r="21" spans="1:11" ht="24" customHeight="1" x14ac:dyDescent="0.2">
      <c r="A21" s="20">
        <v>9</v>
      </c>
      <c r="B21" s="21" t="s">
        <v>24</v>
      </c>
      <c r="C21" s="22">
        <v>2171770</v>
      </c>
      <c r="D21" s="22">
        <v>1624373</v>
      </c>
      <c r="E21" s="22">
        <f t="shared" si="0"/>
        <v>-547397</v>
      </c>
      <c r="F21" s="23">
        <f t="shared" si="1"/>
        <v>-0.25205109196646053</v>
      </c>
    </row>
    <row r="22" spans="1:11" ht="24" customHeight="1" x14ac:dyDescent="0.25">
      <c r="A22" s="24"/>
      <c r="B22" s="25" t="s">
        <v>25</v>
      </c>
      <c r="C22" s="26">
        <f>SUM(C13:C21)</f>
        <v>24499960</v>
      </c>
      <c r="D22" s="26">
        <f>SUM(D13:D21)</f>
        <v>22925635</v>
      </c>
      <c r="E22" s="26">
        <f t="shared" si="0"/>
        <v>-1574325</v>
      </c>
      <c r="F22" s="27">
        <f t="shared" si="1"/>
        <v>-6.4258268176764374E-2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22585921</v>
      </c>
      <c r="D25" s="22">
        <v>23198753</v>
      </c>
      <c r="E25" s="22">
        <f>D25-C25</f>
        <v>612832</v>
      </c>
      <c r="F25" s="23">
        <f>IF(C25=0,0,E25/C25)</f>
        <v>2.713336330185517E-2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7260499</v>
      </c>
      <c r="D28" s="22">
        <v>6997698</v>
      </c>
      <c r="E28" s="22">
        <f>D28-C28</f>
        <v>-262801</v>
      </c>
      <c r="F28" s="23">
        <f>IF(C28=0,0,E28/C28)</f>
        <v>-3.6195996996900626E-2</v>
      </c>
    </row>
    <row r="29" spans="1:11" ht="24" customHeight="1" x14ac:dyDescent="0.25">
      <c r="A29" s="24"/>
      <c r="B29" s="25" t="s">
        <v>32</v>
      </c>
      <c r="C29" s="26">
        <f>SUM(C25:C28)</f>
        <v>29846420</v>
      </c>
      <c r="D29" s="26">
        <f>SUM(D25:D28)</f>
        <v>30196451</v>
      </c>
      <c r="E29" s="26">
        <f>D29-C29</f>
        <v>350031</v>
      </c>
      <c r="F29" s="27">
        <f>IF(C29=0,0,E29/C29)</f>
        <v>1.1727738201097486E-2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39735759</v>
      </c>
      <c r="D32" s="22">
        <v>39204252</v>
      </c>
      <c r="E32" s="22">
        <f>D32-C32</f>
        <v>-531507</v>
      </c>
      <c r="F32" s="23">
        <f>IF(C32=0,0,E32/C32)</f>
        <v>-1.3376037437714478E-2</v>
      </c>
    </row>
    <row r="33" spans="1:8" ht="24" customHeight="1" x14ac:dyDescent="0.2">
      <c r="A33" s="20">
        <v>7</v>
      </c>
      <c r="B33" s="21" t="s">
        <v>35</v>
      </c>
      <c r="C33" s="22">
        <v>1077802</v>
      </c>
      <c r="D33" s="22">
        <v>1088648</v>
      </c>
      <c r="E33" s="22">
        <f>D33-C33</f>
        <v>10846</v>
      </c>
      <c r="F33" s="23">
        <f>IF(C33=0,0,E33/C33)</f>
        <v>1.0063072809291503E-2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154679979</v>
      </c>
      <c r="D36" s="22">
        <v>160046200</v>
      </c>
      <c r="E36" s="22">
        <f>D36-C36</f>
        <v>5366221</v>
      </c>
      <c r="F36" s="23">
        <f>IF(C36=0,0,E36/C36)</f>
        <v>3.4692408382082852E-2</v>
      </c>
    </row>
    <row r="37" spans="1:8" ht="24" customHeight="1" x14ac:dyDescent="0.2">
      <c r="A37" s="20">
        <v>2</v>
      </c>
      <c r="B37" s="21" t="s">
        <v>39</v>
      </c>
      <c r="C37" s="22">
        <v>116381671</v>
      </c>
      <c r="D37" s="22">
        <v>120950456</v>
      </c>
      <c r="E37" s="22">
        <f>D37-C37</f>
        <v>4568785</v>
      </c>
      <c r="F37" s="23">
        <f>IF(C37=0,0,E37/C37)</f>
        <v>3.9256911855132241E-2</v>
      </c>
    </row>
    <row r="38" spans="1:8" ht="24" customHeight="1" x14ac:dyDescent="0.25">
      <c r="A38" s="24"/>
      <c r="B38" s="25" t="s">
        <v>40</v>
      </c>
      <c r="C38" s="26">
        <f>C36-C37</f>
        <v>38298308</v>
      </c>
      <c r="D38" s="26">
        <f>D36-D37</f>
        <v>39095744</v>
      </c>
      <c r="E38" s="26">
        <f>D38-C38</f>
        <v>797436</v>
      </c>
      <c r="F38" s="27">
        <f>IF(C38=0,0,E38/C38)</f>
        <v>2.082170314155915E-2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941793</v>
      </c>
      <c r="D40" s="22">
        <v>737026</v>
      </c>
      <c r="E40" s="22">
        <f>D40-C40</f>
        <v>-204767</v>
      </c>
      <c r="F40" s="23">
        <f>IF(C40=0,0,E40/C40)</f>
        <v>-0.2174225121656245</v>
      </c>
    </row>
    <row r="41" spans="1:8" ht="24" customHeight="1" x14ac:dyDescent="0.25">
      <c r="A41" s="24"/>
      <c r="B41" s="25" t="s">
        <v>42</v>
      </c>
      <c r="C41" s="26">
        <f>+C38+C40</f>
        <v>39240101</v>
      </c>
      <c r="D41" s="26">
        <f>+D38+D40</f>
        <v>39832770</v>
      </c>
      <c r="E41" s="26">
        <f>D41-C41</f>
        <v>592669</v>
      </c>
      <c r="F41" s="27">
        <f>IF(C41=0,0,E41/C41)</f>
        <v>1.5103656333606276E-2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134400042</v>
      </c>
      <c r="D43" s="26">
        <f>D22+D29+D31+D32+D33+D41</f>
        <v>133247756</v>
      </c>
      <c r="E43" s="26">
        <f>D43-C43</f>
        <v>-1152286</v>
      </c>
      <c r="F43" s="27">
        <f>IF(C43=0,0,E43/C43)</f>
        <v>-8.5735538683834635E-3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7275470</v>
      </c>
      <c r="D49" s="22">
        <v>8062260</v>
      </c>
      <c r="E49" s="22">
        <f t="shared" ref="E49:E56" si="2">D49-C49</f>
        <v>786790</v>
      </c>
      <c r="F49" s="23">
        <f t="shared" ref="F49:F56" si="3">IF(C49=0,0,E49/C49)</f>
        <v>0.10814284163084996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4456310</v>
      </c>
      <c r="D50" s="22">
        <v>4471292</v>
      </c>
      <c r="E50" s="22">
        <f t="shared" si="2"/>
        <v>14982</v>
      </c>
      <c r="F50" s="23">
        <f t="shared" si="3"/>
        <v>3.3619743689285529E-3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1877375</v>
      </c>
      <c r="D51" s="22">
        <v>2797659</v>
      </c>
      <c r="E51" s="22">
        <f t="shared" si="2"/>
        <v>920284</v>
      </c>
      <c r="F51" s="23">
        <f t="shared" si="3"/>
        <v>0.4901972168586457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0</v>
      </c>
      <c r="D53" s="22">
        <v>0</v>
      </c>
      <c r="E53" s="22">
        <f t="shared" si="2"/>
        <v>0</v>
      </c>
      <c r="F53" s="23">
        <f t="shared" si="3"/>
        <v>0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715526</v>
      </c>
      <c r="D55" s="22">
        <v>531004</v>
      </c>
      <c r="E55" s="22">
        <f t="shared" si="2"/>
        <v>-184522</v>
      </c>
      <c r="F55" s="23">
        <f t="shared" si="3"/>
        <v>-0.25788301193807073</v>
      </c>
    </row>
    <row r="56" spans="1:6" ht="24" customHeight="1" x14ac:dyDescent="0.25">
      <c r="A56" s="24"/>
      <c r="B56" s="25" t="s">
        <v>54</v>
      </c>
      <c r="C56" s="26">
        <f>SUM(C49:C55)</f>
        <v>14324681</v>
      </c>
      <c r="D56" s="26">
        <f>SUM(D49:D55)</f>
        <v>15862215</v>
      </c>
      <c r="E56" s="26">
        <f t="shared" si="2"/>
        <v>1537534</v>
      </c>
      <c r="F56" s="27">
        <f t="shared" si="3"/>
        <v>0.10733460661357834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0</v>
      </c>
      <c r="D61" s="26">
        <f>SUM(D59:D60)</f>
        <v>0</v>
      </c>
      <c r="E61" s="26">
        <f>D61-C61</f>
        <v>0</v>
      </c>
      <c r="F61" s="27">
        <f>IF(C61=0,0,E61/C61)</f>
        <v>0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31585188</v>
      </c>
      <c r="D63" s="22">
        <v>42419641</v>
      </c>
      <c r="E63" s="22">
        <f>D63-C63</f>
        <v>10834453</v>
      </c>
      <c r="F63" s="23">
        <f>IF(C63=0,0,E63/C63)</f>
        <v>0.34302322341725494</v>
      </c>
    </row>
    <row r="64" spans="1:6" ht="24" customHeight="1" x14ac:dyDescent="0.2">
      <c r="A64" s="20">
        <v>4</v>
      </c>
      <c r="B64" s="21" t="s">
        <v>60</v>
      </c>
      <c r="C64" s="22">
        <v>3971340</v>
      </c>
      <c r="D64" s="22">
        <v>3763019</v>
      </c>
      <c r="E64" s="22">
        <f>D64-C64</f>
        <v>-208321</v>
      </c>
      <c r="F64" s="23">
        <f>IF(C64=0,0,E64/C64)</f>
        <v>-5.2456097941752655E-2</v>
      </c>
    </row>
    <row r="65" spans="1:6" ht="24" customHeight="1" x14ac:dyDescent="0.25">
      <c r="A65" s="24"/>
      <c r="B65" s="25" t="s">
        <v>61</v>
      </c>
      <c r="C65" s="26">
        <f>SUM(C61:C64)</f>
        <v>35556528</v>
      </c>
      <c r="D65" s="26">
        <f>SUM(D61:D64)</f>
        <v>46182660</v>
      </c>
      <c r="E65" s="26">
        <f>D65-C65</f>
        <v>10626132</v>
      </c>
      <c r="F65" s="27">
        <f>IF(C65=0,0,E65/C65)</f>
        <v>0.2988517889035735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59368912</v>
      </c>
      <c r="D70" s="22">
        <v>44560677</v>
      </c>
      <c r="E70" s="22">
        <f>D70-C70</f>
        <v>-14808235</v>
      </c>
      <c r="F70" s="23">
        <f>IF(C70=0,0,E70/C70)</f>
        <v>-0.24942742760722986</v>
      </c>
    </row>
    <row r="71" spans="1:6" ht="24" customHeight="1" x14ac:dyDescent="0.2">
      <c r="A71" s="20">
        <v>2</v>
      </c>
      <c r="B71" s="21" t="s">
        <v>65</v>
      </c>
      <c r="C71" s="22">
        <v>3508118</v>
      </c>
      <c r="D71" s="22">
        <v>3245317</v>
      </c>
      <c r="E71" s="22">
        <f>D71-C71</f>
        <v>-262801</v>
      </c>
      <c r="F71" s="23">
        <f>IF(C71=0,0,E71/C71)</f>
        <v>-7.4912246395360704E-2</v>
      </c>
    </row>
    <row r="72" spans="1:6" ht="24" customHeight="1" x14ac:dyDescent="0.2">
      <c r="A72" s="20">
        <v>3</v>
      </c>
      <c r="B72" s="21" t="s">
        <v>66</v>
      </c>
      <c r="C72" s="22">
        <v>21641803</v>
      </c>
      <c r="D72" s="22">
        <v>23396887</v>
      </c>
      <c r="E72" s="22">
        <f>D72-C72</f>
        <v>1755084</v>
      </c>
      <c r="F72" s="23">
        <f>IF(C72=0,0,E72/C72)</f>
        <v>8.1096940028517958E-2</v>
      </c>
    </row>
    <row r="73" spans="1:6" ht="24" customHeight="1" x14ac:dyDescent="0.25">
      <c r="A73" s="20"/>
      <c r="B73" s="25" t="s">
        <v>67</v>
      </c>
      <c r="C73" s="26">
        <f>SUM(C70:C72)</f>
        <v>84518833</v>
      </c>
      <c r="D73" s="26">
        <f>SUM(D70:D72)</f>
        <v>71202881</v>
      </c>
      <c r="E73" s="26">
        <f>D73-C73</f>
        <v>-13315952</v>
      </c>
      <c r="F73" s="27">
        <f>IF(C73=0,0,E73/C73)</f>
        <v>-0.15755011667044669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134400042</v>
      </c>
      <c r="D75" s="26">
        <f>D56+D65+D67+D73</f>
        <v>133247756</v>
      </c>
      <c r="E75" s="26">
        <f>D75-C75</f>
        <v>-1152286</v>
      </c>
      <c r="F75" s="27">
        <f>IF(C75=0,0,E75/C75)</f>
        <v>-8.5735538683834635E-3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43" zoomScale="70" zoomScaleNormal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116677548</v>
      </c>
      <c r="D11" s="76">
        <v>114622054</v>
      </c>
      <c r="E11" s="76">
        <v>113735732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8250545</v>
      </c>
      <c r="D12" s="185">
        <v>7533927</v>
      </c>
      <c r="E12" s="185">
        <v>6810203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124928093</v>
      </c>
      <c r="D13" s="76">
        <f>+D11+D12</f>
        <v>122155981</v>
      </c>
      <c r="E13" s="76">
        <f>+E11+E12</f>
        <v>120545935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124899985</v>
      </c>
      <c r="D14" s="185">
        <v>121998831</v>
      </c>
      <c r="E14" s="185">
        <v>121979251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28108</v>
      </c>
      <c r="D15" s="76">
        <f>+D13-D14</f>
        <v>157150</v>
      </c>
      <c r="E15" s="76">
        <f>+E13-E14</f>
        <v>-1433316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2664812</v>
      </c>
      <c r="D16" s="185">
        <v>2865900</v>
      </c>
      <c r="E16" s="185">
        <v>2960712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2692920</v>
      </c>
      <c r="D17" s="76">
        <f>D15+D16</f>
        <v>3023050</v>
      </c>
      <c r="E17" s="76">
        <f>E15+E16</f>
        <v>1527396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2.2029438078864964E-4</v>
      </c>
      <c r="D20" s="189">
        <f>IF(+D27=0,0,+D24/+D27)</f>
        <v>1.2569799681705317E-3</v>
      </c>
      <c r="E20" s="189">
        <f>IF(+E27=0,0,+E24/+E27)</f>
        <v>-1.1605172958828685E-2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2.088526787598417E-2</v>
      </c>
      <c r="D21" s="189">
        <f>IF(+D27=0,0,+D26/+D27)</f>
        <v>2.2923187341902174E-2</v>
      </c>
      <c r="E21" s="189">
        <f>IF(+E27=0,0,+E26/+E27)</f>
        <v>2.3972086295889806E-2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2.110556225677282E-2</v>
      </c>
      <c r="D22" s="189">
        <f>IF(+D27=0,0,+D28/+D27)</f>
        <v>2.4180167310072706E-2</v>
      </c>
      <c r="E22" s="189">
        <f>IF(+E27=0,0,+E28/+E27)</f>
        <v>1.2366913337061122E-2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28108</v>
      </c>
      <c r="D24" s="76">
        <f>+D15</f>
        <v>157150</v>
      </c>
      <c r="E24" s="76">
        <f>+E15</f>
        <v>-1433316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124928093</v>
      </c>
      <c r="D25" s="76">
        <f>+D13</f>
        <v>122155981</v>
      </c>
      <c r="E25" s="76">
        <f>+E13</f>
        <v>120545935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2664812</v>
      </c>
      <c r="D26" s="76">
        <f>+D16</f>
        <v>2865900</v>
      </c>
      <c r="E26" s="76">
        <f>+E16</f>
        <v>2960712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127592905</v>
      </c>
      <c r="D27" s="76">
        <f>SUM(D25:D26)</f>
        <v>125021881</v>
      </c>
      <c r="E27" s="76">
        <f>SUM(E25:E26)</f>
        <v>123506647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2692920</v>
      </c>
      <c r="D28" s="76">
        <f>+D17</f>
        <v>3023050</v>
      </c>
      <c r="E28" s="76">
        <f>+E17</f>
        <v>1527396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61139349</v>
      </c>
      <c r="D31" s="76">
        <v>59368912</v>
      </c>
      <c r="E31" s="76">
        <v>44560677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84555779</v>
      </c>
      <c r="D32" s="76">
        <v>84518833</v>
      </c>
      <c r="E32" s="76">
        <v>71202881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22764100</v>
      </c>
      <c r="D33" s="76">
        <f>+D32-C32</f>
        <v>-36946</v>
      </c>
      <c r="E33" s="76">
        <f>+E32-D32</f>
        <v>-13315952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1.3684000000000001</v>
      </c>
      <c r="D34" s="193">
        <f>IF(C32=0,0,+D33/C32)</f>
        <v>-4.3694234074763834E-4</v>
      </c>
      <c r="E34" s="193">
        <f>IF(D32=0,0,+E33/D32)</f>
        <v>-0.15755011667044669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1.3238456306600204</v>
      </c>
      <c r="D38" s="338">
        <f>IF(+D40=0,0,+D39/+D40)</f>
        <v>1.7103319787714644</v>
      </c>
      <c r="E38" s="338">
        <f>IF(+E40=0,0,+E39/+E40)</f>
        <v>1.4452984655673877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28110276</v>
      </c>
      <c r="D39" s="341">
        <v>24499960</v>
      </c>
      <c r="E39" s="341">
        <v>22925635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21233802</v>
      </c>
      <c r="D40" s="341">
        <v>14324681</v>
      </c>
      <c r="E40" s="341">
        <v>15862215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27.482374113703575</v>
      </c>
      <c r="D42" s="343">
        <f>IF((D48/365)=0,0,+D45/(D48/365))</f>
        <v>22.709182822641541</v>
      </c>
      <c r="E42" s="343">
        <f>IF((E48/365)=0,0,+E45/(E48/365))</f>
        <v>17.607797122748263</v>
      </c>
    </row>
    <row r="43" spans="1:14" ht="24" customHeight="1" x14ac:dyDescent="0.2">
      <c r="A43" s="339">
        <v>5</v>
      </c>
      <c r="B43" s="344" t="s">
        <v>16</v>
      </c>
      <c r="C43" s="345">
        <v>8948706</v>
      </c>
      <c r="D43" s="345">
        <v>7223350</v>
      </c>
      <c r="E43" s="345">
        <v>5598887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8948706</v>
      </c>
      <c r="D45" s="341">
        <f>+D43+D44</f>
        <v>7223350</v>
      </c>
      <c r="E45" s="341">
        <f>+E43+E44</f>
        <v>5598887</v>
      </c>
    </row>
    <row r="46" spans="1:14" ht="24" customHeight="1" x14ac:dyDescent="0.2">
      <c r="A46" s="339">
        <v>8</v>
      </c>
      <c r="B46" s="340" t="s">
        <v>334</v>
      </c>
      <c r="C46" s="341">
        <f>+C14</f>
        <v>124899985</v>
      </c>
      <c r="D46" s="341">
        <f>+D14</f>
        <v>121998831</v>
      </c>
      <c r="E46" s="341">
        <f>+E14</f>
        <v>121979251</v>
      </c>
    </row>
    <row r="47" spans="1:14" ht="24" customHeight="1" x14ac:dyDescent="0.2">
      <c r="A47" s="339">
        <v>9</v>
      </c>
      <c r="B47" s="340" t="s">
        <v>356</v>
      </c>
      <c r="C47" s="341">
        <v>6050075</v>
      </c>
      <c r="D47" s="341">
        <v>5899420</v>
      </c>
      <c r="E47" s="341">
        <v>5917387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118849910</v>
      </c>
      <c r="D48" s="341">
        <f>+D46-D47</f>
        <v>116099411</v>
      </c>
      <c r="E48" s="341">
        <f>+E46-E47</f>
        <v>116061864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37.151311578813775</v>
      </c>
      <c r="D50" s="350">
        <f>IF((D55/365)=0,0,+D54/(D55/365))</f>
        <v>35.904516769521507</v>
      </c>
      <c r="E50" s="350">
        <f>IF((E55/365)=0,0,+E54/(E55/365))</f>
        <v>35.09192067273986</v>
      </c>
    </row>
    <row r="51" spans="1:5" ht="24" customHeight="1" x14ac:dyDescent="0.2">
      <c r="A51" s="339">
        <v>12</v>
      </c>
      <c r="B51" s="344" t="s">
        <v>359</v>
      </c>
      <c r="C51" s="351">
        <v>13504471</v>
      </c>
      <c r="D51" s="351">
        <v>13152579</v>
      </c>
      <c r="E51" s="351">
        <v>13732468</v>
      </c>
    </row>
    <row r="52" spans="1:5" ht="24" customHeight="1" x14ac:dyDescent="0.2">
      <c r="A52" s="339">
        <v>13</v>
      </c>
      <c r="B52" s="344" t="s">
        <v>21</v>
      </c>
      <c r="C52" s="341">
        <v>840007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2468522</v>
      </c>
      <c r="D53" s="341">
        <v>1877375</v>
      </c>
      <c r="E53" s="341">
        <v>2797659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11875956</v>
      </c>
      <c r="D54" s="352">
        <f>+D51+D52-D53</f>
        <v>11275204</v>
      </c>
      <c r="E54" s="352">
        <f>+E51+E52-E53</f>
        <v>10934809</v>
      </c>
    </row>
    <row r="55" spans="1:5" ht="24" customHeight="1" x14ac:dyDescent="0.2">
      <c r="A55" s="339">
        <v>16</v>
      </c>
      <c r="B55" s="340" t="s">
        <v>75</v>
      </c>
      <c r="C55" s="341">
        <f>+C11</f>
        <v>116677548</v>
      </c>
      <c r="D55" s="341">
        <f>+D11</f>
        <v>114622054</v>
      </c>
      <c r="E55" s="341">
        <f>+E11</f>
        <v>113735732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65.211136718572178</v>
      </c>
      <c r="D57" s="355">
        <f>IF((D61/365)=0,0,+D58/(D61/365))</f>
        <v>45.034755301213373</v>
      </c>
      <c r="E57" s="355">
        <f>IF((E61/365)=0,0,+E58/(E61/365))</f>
        <v>49.884675943167693</v>
      </c>
    </row>
    <row r="58" spans="1:5" ht="24" customHeight="1" x14ac:dyDescent="0.2">
      <c r="A58" s="339">
        <v>18</v>
      </c>
      <c r="B58" s="340" t="s">
        <v>54</v>
      </c>
      <c r="C58" s="353">
        <f>+C40</f>
        <v>21233802</v>
      </c>
      <c r="D58" s="353">
        <f>+D40</f>
        <v>14324681</v>
      </c>
      <c r="E58" s="353">
        <f>+E40</f>
        <v>15862215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124899985</v>
      </c>
      <c r="D59" s="353">
        <f t="shared" si="0"/>
        <v>121998831</v>
      </c>
      <c r="E59" s="353">
        <f t="shared" si="0"/>
        <v>121979251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6050075</v>
      </c>
      <c r="D60" s="356">
        <f t="shared" si="0"/>
        <v>5899420</v>
      </c>
      <c r="E60" s="356">
        <f t="shared" si="0"/>
        <v>5917387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118849910</v>
      </c>
      <c r="D61" s="353">
        <f>+D59-D60</f>
        <v>116099411</v>
      </c>
      <c r="E61" s="353">
        <f>+E59-E60</f>
        <v>116061864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63.839860948996254</v>
      </c>
      <c r="D65" s="357">
        <f>IF(D67=0,0,(D66/D67)*100)</f>
        <v>62.886016806453085</v>
      </c>
      <c r="E65" s="357">
        <f>IF(E67=0,0,(E66/E67)*100)</f>
        <v>53.436457871755827</v>
      </c>
    </row>
    <row r="66" spans="1:5" ht="24" customHeight="1" x14ac:dyDescent="0.2">
      <c r="A66" s="339">
        <v>2</v>
      </c>
      <c r="B66" s="340" t="s">
        <v>67</v>
      </c>
      <c r="C66" s="353">
        <f>+C32</f>
        <v>84555779</v>
      </c>
      <c r="D66" s="353">
        <f>+D32</f>
        <v>84518833</v>
      </c>
      <c r="E66" s="353">
        <f>+E32</f>
        <v>71202881</v>
      </c>
    </row>
    <row r="67" spans="1:5" ht="24" customHeight="1" x14ac:dyDescent="0.2">
      <c r="A67" s="339">
        <v>3</v>
      </c>
      <c r="B67" s="340" t="s">
        <v>43</v>
      </c>
      <c r="C67" s="353">
        <v>132449817</v>
      </c>
      <c r="D67" s="353">
        <v>134400042</v>
      </c>
      <c r="E67" s="353">
        <v>133247756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41.17489180694065</v>
      </c>
      <c r="D69" s="357">
        <f>IF(D75=0,0,(D72/D75)*100)</f>
        <v>62.287390553409182</v>
      </c>
      <c r="E69" s="357">
        <f>IF(E75=0,0,(E72/E75)*100)</f>
        <v>46.934069422208694</v>
      </c>
    </row>
    <row r="70" spans="1:5" ht="24" customHeight="1" x14ac:dyDescent="0.2">
      <c r="A70" s="339">
        <v>5</v>
      </c>
      <c r="B70" s="340" t="s">
        <v>366</v>
      </c>
      <c r="C70" s="353">
        <f>+C28</f>
        <v>2692920</v>
      </c>
      <c r="D70" s="353">
        <f>+D28</f>
        <v>3023050</v>
      </c>
      <c r="E70" s="353">
        <f>+E28</f>
        <v>1527396</v>
      </c>
    </row>
    <row r="71" spans="1:5" ht="24" customHeight="1" x14ac:dyDescent="0.2">
      <c r="A71" s="339">
        <v>6</v>
      </c>
      <c r="B71" s="340" t="s">
        <v>356</v>
      </c>
      <c r="C71" s="356">
        <f>+C47</f>
        <v>6050075</v>
      </c>
      <c r="D71" s="356">
        <f>+D47</f>
        <v>5899420</v>
      </c>
      <c r="E71" s="356">
        <f>+E47</f>
        <v>5917387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8742995</v>
      </c>
      <c r="D72" s="353">
        <f>+D70+D71</f>
        <v>8922470</v>
      </c>
      <c r="E72" s="353">
        <f>+E70+E71</f>
        <v>7444783</v>
      </c>
    </row>
    <row r="73" spans="1:5" ht="24" customHeight="1" x14ac:dyDescent="0.2">
      <c r="A73" s="339">
        <v>8</v>
      </c>
      <c r="B73" s="340" t="s">
        <v>54</v>
      </c>
      <c r="C73" s="341">
        <f>+C40</f>
        <v>21233802</v>
      </c>
      <c r="D73" s="341">
        <f>+D40</f>
        <v>14324681</v>
      </c>
      <c r="E73" s="341">
        <f>+E40</f>
        <v>15862215</v>
      </c>
    </row>
    <row r="74" spans="1:5" ht="24" customHeight="1" x14ac:dyDescent="0.2">
      <c r="A74" s="339">
        <v>9</v>
      </c>
      <c r="B74" s="340" t="s">
        <v>58</v>
      </c>
      <c r="C74" s="353">
        <v>0</v>
      </c>
      <c r="D74" s="353">
        <v>0</v>
      </c>
      <c r="E74" s="353">
        <v>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21233802</v>
      </c>
      <c r="D75" s="341">
        <f>+D73+D74</f>
        <v>14324681</v>
      </c>
      <c r="E75" s="341">
        <f>+E73+E74</f>
        <v>15862215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0</v>
      </c>
      <c r="D77" s="359">
        <f>IF(D80=0,0,(D78/D80)*100)</f>
        <v>0</v>
      </c>
      <c r="E77" s="359">
        <f>IF(E80=0,0,(E78/E80)*100)</f>
        <v>0</v>
      </c>
    </row>
    <row r="78" spans="1:5" ht="24" customHeight="1" x14ac:dyDescent="0.2">
      <c r="A78" s="339">
        <v>12</v>
      </c>
      <c r="B78" s="340" t="s">
        <v>58</v>
      </c>
      <c r="C78" s="341">
        <f>+C74</f>
        <v>0</v>
      </c>
      <c r="D78" s="341">
        <f>+D74</f>
        <v>0</v>
      </c>
      <c r="E78" s="341">
        <f>+E74</f>
        <v>0</v>
      </c>
    </row>
    <row r="79" spans="1:5" ht="24" customHeight="1" x14ac:dyDescent="0.2">
      <c r="A79" s="339">
        <v>13</v>
      </c>
      <c r="B79" s="340" t="s">
        <v>67</v>
      </c>
      <c r="C79" s="341">
        <f>+C32</f>
        <v>84555779</v>
      </c>
      <c r="D79" s="341">
        <f>+D32</f>
        <v>84518833</v>
      </c>
      <c r="E79" s="341">
        <f>+E32</f>
        <v>71202881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84555779</v>
      </c>
      <c r="D80" s="341">
        <f>+D78+D79</f>
        <v>84518833</v>
      </c>
      <c r="E80" s="341">
        <f>+E78+E79</f>
        <v>71202881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64" orientation="portrait" horizontalDpi="1200" verticalDpi="1200" r:id="rId1"/>
  <headerFooter>
    <oddHeader>_x000D_
                &amp;L&amp;8OFFICE OF HEALTH CARE ACCESS&amp;C&amp;8TWELVE MONTHS ACTUAL FILING&amp;R&amp;8THE CHARLOTTE HUNGERFORD HOSPITAL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="75" zoomScaleNormal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18457</v>
      </c>
      <c r="D11" s="376">
        <v>4558</v>
      </c>
      <c r="E11" s="376">
        <v>4558</v>
      </c>
      <c r="F11" s="377">
        <v>51</v>
      </c>
      <c r="G11" s="377">
        <v>73</v>
      </c>
      <c r="H11" s="378">
        <f>IF(F11=0,0,$C11/(F11*365))</f>
        <v>0.99151222132688688</v>
      </c>
      <c r="I11" s="378">
        <f>IF(G11=0,0,$C11/(G11*365))</f>
        <v>0.69270031900919493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2240</v>
      </c>
      <c r="D13" s="376">
        <v>135</v>
      </c>
      <c r="E13" s="376">
        <v>0</v>
      </c>
      <c r="F13" s="377">
        <v>7</v>
      </c>
      <c r="G13" s="377">
        <v>10</v>
      </c>
      <c r="H13" s="378">
        <f>IF(F13=0,0,$C13/(F13*365))</f>
        <v>0.87671232876712324</v>
      </c>
      <c r="I13" s="378">
        <f>IF(G13=0,0,$C13/(G13*365))</f>
        <v>0.61369863013698633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8</v>
      </c>
      <c r="D15" s="376">
        <v>1</v>
      </c>
      <c r="E15" s="376">
        <v>1</v>
      </c>
      <c r="F15" s="377">
        <v>1</v>
      </c>
      <c r="G15" s="377">
        <v>1</v>
      </c>
      <c r="H15" s="378">
        <f t="shared" ref="H15:I17" si="0">IF(F15=0,0,$C15/(F15*365))</f>
        <v>2.1917808219178082E-2</v>
      </c>
      <c r="I15" s="378">
        <f t="shared" si="0"/>
        <v>2.1917808219178082E-2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3140</v>
      </c>
      <c r="D16" s="376">
        <v>590</v>
      </c>
      <c r="E16" s="376">
        <v>590</v>
      </c>
      <c r="F16" s="377">
        <v>9</v>
      </c>
      <c r="G16" s="377">
        <v>16</v>
      </c>
      <c r="H16" s="378">
        <f t="shared" si="0"/>
        <v>0.95585996955859964</v>
      </c>
      <c r="I16" s="378">
        <f t="shared" si="0"/>
        <v>0.53767123287671237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3148</v>
      </c>
      <c r="D17" s="381">
        <f>SUM(D15:D16)</f>
        <v>591</v>
      </c>
      <c r="E17" s="381">
        <f>SUM(E15:E16)</f>
        <v>591</v>
      </c>
      <c r="F17" s="381">
        <f>SUM(F15:F16)</f>
        <v>10</v>
      </c>
      <c r="G17" s="381">
        <f>SUM(G15:G16)</f>
        <v>17</v>
      </c>
      <c r="H17" s="382">
        <f t="shared" si="0"/>
        <v>0.86246575342465759</v>
      </c>
      <c r="I17" s="382">
        <f t="shared" si="0"/>
        <v>0.50733279613215154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1074</v>
      </c>
      <c r="D21" s="376">
        <v>419</v>
      </c>
      <c r="E21" s="376">
        <v>419</v>
      </c>
      <c r="F21" s="377">
        <v>3</v>
      </c>
      <c r="G21" s="377">
        <v>7</v>
      </c>
      <c r="H21" s="378">
        <f>IF(F21=0,0,$C21/(F21*365))</f>
        <v>0.98082191780821915</v>
      </c>
      <c r="I21" s="378">
        <f>IF(G21=0,0,$C21/(G21*365))</f>
        <v>0.4203522504892368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1130</v>
      </c>
      <c r="D23" s="376">
        <v>450</v>
      </c>
      <c r="E23" s="376">
        <v>450</v>
      </c>
      <c r="F23" s="377">
        <v>4</v>
      </c>
      <c r="G23" s="377">
        <v>13</v>
      </c>
      <c r="H23" s="378">
        <f>IF(F23=0,0,$C23/(F23*365))</f>
        <v>0.77397260273972601</v>
      </c>
      <c r="I23" s="378">
        <f>IF(G23=0,0,$C23/(G23*365))</f>
        <v>0.23814541622760801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15</v>
      </c>
      <c r="D27" s="376">
        <v>12</v>
      </c>
      <c r="E27" s="376">
        <v>12</v>
      </c>
      <c r="F27" s="377">
        <v>1</v>
      </c>
      <c r="G27" s="377">
        <v>2</v>
      </c>
      <c r="H27" s="378">
        <f>IF(F27=0,0,$C27/(F27*365))</f>
        <v>4.1095890410958902E-2</v>
      </c>
      <c r="I27" s="378">
        <f>IF(G27=0,0,$C27/(G27*365))</f>
        <v>2.0547945205479451E-2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24934</v>
      </c>
      <c r="D31" s="384">
        <f>SUM(D10:D29)-D13-D17-D23</f>
        <v>5580</v>
      </c>
      <c r="E31" s="384">
        <f>SUM(E10:E29)-E17-E23</f>
        <v>5580</v>
      </c>
      <c r="F31" s="384">
        <f>SUM(F10:F29)-F17-F23</f>
        <v>72</v>
      </c>
      <c r="G31" s="384">
        <f>SUM(G10:G29)-G17-G23</f>
        <v>109</v>
      </c>
      <c r="H31" s="385">
        <f>IF(F31=0,0,$C31/(F31*365))</f>
        <v>0.94878234398782346</v>
      </c>
      <c r="I31" s="385">
        <f>IF(G31=0,0,$C31/(G31*365))</f>
        <v>0.62671861254241545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26064</v>
      </c>
      <c r="D33" s="384">
        <f>SUM(D10:D29)-D13-D17</f>
        <v>6030</v>
      </c>
      <c r="E33" s="384">
        <f>SUM(E10:E29)-E17</f>
        <v>6030</v>
      </c>
      <c r="F33" s="384">
        <f>SUM(F10:F29)-F17</f>
        <v>76</v>
      </c>
      <c r="G33" s="384">
        <f>SUM(G10:G29)-G17</f>
        <v>122</v>
      </c>
      <c r="H33" s="385">
        <f>IF(F33=0,0,$C33/(F33*365))</f>
        <v>0.93958183129055517</v>
      </c>
      <c r="I33" s="385">
        <f>IF(G33=0,0,$C33/(G33*365))</f>
        <v>0.58531327195149341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26064</v>
      </c>
      <c r="D36" s="384">
        <f t="shared" si="1"/>
        <v>6030</v>
      </c>
      <c r="E36" s="384">
        <f t="shared" si="1"/>
        <v>6030</v>
      </c>
      <c r="F36" s="384">
        <f t="shared" si="1"/>
        <v>76</v>
      </c>
      <c r="G36" s="384">
        <f t="shared" si="1"/>
        <v>122</v>
      </c>
      <c r="H36" s="387">
        <f t="shared" si="1"/>
        <v>0.93958183129055517</v>
      </c>
      <c r="I36" s="387">
        <f t="shared" si="1"/>
        <v>0.58531327195149341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25604</v>
      </c>
      <c r="D37" s="384">
        <v>6106</v>
      </c>
      <c r="E37" s="384">
        <v>6106</v>
      </c>
      <c r="F37" s="386">
        <v>76</v>
      </c>
      <c r="G37" s="386">
        <v>122</v>
      </c>
      <c r="H37" s="385">
        <f>IF(F37=0,0,$C37/(F37*365))</f>
        <v>0.92299927901946643</v>
      </c>
      <c r="I37" s="385">
        <f>IF(G37=0,0,$C37/(G37*365))</f>
        <v>0.57498315742196271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460</v>
      </c>
      <c r="D38" s="384">
        <f t="shared" si="2"/>
        <v>-76</v>
      </c>
      <c r="E38" s="384">
        <f t="shared" si="2"/>
        <v>-76</v>
      </c>
      <c r="F38" s="384">
        <f t="shared" si="2"/>
        <v>0</v>
      </c>
      <c r="G38" s="384">
        <f t="shared" si="2"/>
        <v>0</v>
      </c>
      <c r="H38" s="387">
        <f t="shared" si="2"/>
        <v>1.6582552271088735E-2</v>
      </c>
      <c r="I38" s="387">
        <f t="shared" si="2"/>
        <v>1.0330114529530698E-2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1.7965942821434152E-2</v>
      </c>
      <c r="D40" s="389">
        <f t="shared" si="3"/>
        <v>-1.2446773665247298E-2</v>
      </c>
      <c r="E40" s="389">
        <f t="shared" si="3"/>
        <v>-1.2446773665247298E-2</v>
      </c>
      <c r="F40" s="389">
        <f t="shared" si="3"/>
        <v>0</v>
      </c>
      <c r="G40" s="389">
        <f t="shared" si="3"/>
        <v>0</v>
      </c>
      <c r="H40" s="389">
        <f t="shared" si="3"/>
        <v>1.7965942821434211E-2</v>
      </c>
      <c r="I40" s="389">
        <f t="shared" si="3"/>
        <v>1.7965942821434228E-2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122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68" orientation="landscape" horizontalDpi="1200" verticalDpi="1200" r:id="rId1"/>
  <headerFooter>
    <oddHeader>&amp;LOFFICE OF HEALTH CARE ACCESS&amp;CTWELVE MONTHS ACTUAL FILING&amp;RCHARLOTTE HUNGERFORD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view="pageBreakPreview" zoomScale="90" zoomScaleNormal="100" zoomScaleSheetLayoutView="90" workbookViewId="0">
      <selection activeCell="F42" sqref="F42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2324</v>
      </c>
      <c r="D12" s="409">
        <v>2460</v>
      </c>
      <c r="E12" s="409">
        <f>+D12-C12</f>
        <v>136</v>
      </c>
      <c r="F12" s="410">
        <f>IF(C12=0,0,+E12/C12)</f>
        <v>5.8519793459552494E-2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4140</v>
      </c>
      <c r="D13" s="409">
        <v>2830</v>
      </c>
      <c r="E13" s="409">
        <f>+D13-C13</f>
        <v>-1310</v>
      </c>
      <c r="F13" s="410">
        <f>IF(C13=0,0,+E13/C13)</f>
        <v>-0.31642512077294688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3035</v>
      </c>
      <c r="D14" s="409">
        <v>4987</v>
      </c>
      <c r="E14" s="409">
        <f>+D14-C14</f>
        <v>1952</v>
      </c>
      <c r="F14" s="410">
        <f>IF(C14=0,0,+E14/C14)</f>
        <v>0.64316309719934106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1648</v>
      </c>
      <c r="D15" s="409">
        <v>1723</v>
      </c>
      <c r="E15" s="409">
        <f>+D15-C15</f>
        <v>75</v>
      </c>
      <c r="F15" s="410">
        <f>IF(C15=0,0,+E15/C15)</f>
        <v>4.5509708737864078E-2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11147</v>
      </c>
      <c r="D16" s="401">
        <f>SUM(D12:D15)</f>
        <v>12000</v>
      </c>
      <c r="E16" s="401">
        <f>+D16-C16</f>
        <v>853</v>
      </c>
      <c r="F16" s="402">
        <f>IF(C16=0,0,+E16/C16)</f>
        <v>7.6522831255046206E-2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511</v>
      </c>
      <c r="D19" s="409">
        <v>395</v>
      </c>
      <c r="E19" s="409">
        <f>+D19-C19</f>
        <v>-116</v>
      </c>
      <c r="F19" s="410">
        <f>IF(C19=0,0,+E19/C19)</f>
        <v>-0.22700587084148727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766</v>
      </c>
      <c r="D20" s="409">
        <v>702</v>
      </c>
      <c r="E20" s="409">
        <f>+D20-C20</f>
        <v>-64</v>
      </c>
      <c r="F20" s="410">
        <f>IF(C20=0,0,+E20/C20)</f>
        <v>-8.3550913838120106E-2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82</v>
      </c>
      <c r="D21" s="409">
        <v>182</v>
      </c>
      <c r="E21" s="409">
        <f>+D21-C21</f>
        <v>100</v>
      </c>
      <c r="F21" s="410">
        <f>IF(C21=0,0,+E21/C21)</f>
        <v>1.2195121951219512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4395</v>
      </c>
      <c r="D22" s="409">
        <v>4788</v>
      </c>
      <c r="E22" s="409">
        <f>+D22-C22</f>
        <v>393</v>
      </c>
      <c r="F22" s="410">
        <f>IF(C22=0,0,+E22/C22)</f>
        <v>8.9419795221842999E-2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5754</v>
      </c>
      <c r="D23" s="401">
        <f>SUM(D19:D22)</f>
        <v>6067</v>
      </c>
      <c r="E23" s="401">
        <f>+D23-C23</f>
        <v>313</v>
      </c>
      <c r="F23" s="402">
        <f>IF(C23=0,0,+E23/C23)</f>
        <v>5.439694125825513E-2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3</v>
      </c>
      <c r="D26" s="409">
        <v>3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273</v>
      </c>
      <c r="D27" s="409">
        <v>208</v>
      </c>
      <c r="E27" s="409">
        <f>+D27-C27</f>
        <v>-65</v>
      </c>
      <c r="F27" s="410">
        <f>IF(C27=0,0,+E27/C27)</f>
        <v>-0.23809523809523808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276</v>
      </c>
      <c r="D30" s="401">
        <f>SUM(D26:D29)</f>
        <v>211</v>
      </c>
      <c r="E30" s="401">
        <f>+D30-C30</f>
        <v>-65</v>
      </c>
      <c r="F30" s="402">
        <f>IF(C30=0,0,+E30/C30)</f>
        <v>-0.23550724637681159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22</v>
      </c>
      <c r="D43" s="409">
        <v>8</v>
      </c>
      <c r="E43" s="409">
        <f>+D43-C43</f>
        <v>-14</v>
      </c>
      <c r="F43" s="410">
        <f>IF(C43=0,0,+E43/C43)</f>
        <v>-0.63636363636363635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4197</v>
      </c>
      <c r="D44" s="409">
        <v>3441</v>
      </c>
      <c r="E44" s="409">
        <f>+D44-C44</f>
        <v>-756</v>
      </c>
      <c r="F44" s="410">
        <f>IF(C44=0,0,+E44/C44)</f>
        <v>-0.18012866333095068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4219</v>
      </c>
      <c r="D45" s="401">
        <f>SUM(D43:D44)</f>
        <v>3449</v>
      </c>
      <c r="E45" s="401">
        <f>+D45-C45</f>
        <v>-770</v>
      </c>
      <c r="F45" s="402">
        <f>IF(C45=0,0,+E45/C45)</f>
        <v>-0.18250770324721499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36</v>
      </c>
      <c r="D58" s="409">
        <v>45</v>
      </c>
      <c r="E58" s="409">
        <f>+D58-C58</f>
        <v>9</v>
      </c>
      <c r="F58" s="410">
        <f>IF(C58=0,0,+E58/C58)</f>
        <v>0.25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46</v>
      </c>
      <c r="D59" s="409">
        <v>43</v>
      </c>
      <c r="E59" s="409">
        <f>+D59-C59</f>
        <v>-3</v>
      </c>
      <c r="F59" s="410">
        <f>IF(C59=0,0,+E59/C59)</f>
        <v>-6.5217391304347824E-2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82</v>
      </c>
      <c r="D60" s="401">
        <f>SUM(D58:D59)</f>
        <v>88</v>
      </c>
      <c r="E60" s="401">
        <f>SUM(E58:E59)</f>
        <v>6</v>
      </c>
      <c r="F60" s="402">
        <f>IF(C60=0,0,+E60/C60)</f>
        <v>7.3170731707317069E-2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1146</v>
      </c>
      <c r="D63" s="409">
        <v>1006</v>
      </c>
      <c r="E63" s="409">
        <f>+D63-C63</f>
        <v>-140</v>
      </c>
      <c r="F63" s="410">
        <f>IF(C63=0,0,+E63/C63)</f>
        <v>-0.12216404886561955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2865</v>
      </c>
      <c r="D64" s="409">
        <v>2735</v>
      </c>
      <c r="E64" s="409">
        <f>+D64-C64</f>
        <v>-130</v>
      </c>
      <c r="F64" s="410">
        <f>IF(C64=0,0,+E64/C64)</f>
        <v>-4.5375218150087257E-2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4011</v>
      </c>
      <c r="D65" s="401">
        <f>SUM(D63:D64)</f>
        <v>3741</v>
      </c>
      <c r="E65" s="401">
        <f>+D65-C65</f>
        <v>-270</v>
      </c>
      <c r="F65" s="402">
        <f>IF(C65=0,0,+E65/C65)</f>
        <v>-6.7314884068810768E-2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313</v>
      </c>
      <c r="D68" s="409">
        <v>309</v>
      </c>
      <c r="E68" s="409">
        <f>+D68-C68</f>
        <v>-4</v>
      </c>
      <c r="F68" s="410">
        <f>IF(C68=0,0,+E68/C68)</f>
        <v>-1.2779552715654952E-2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668</v>
      </c>
      <c r="D69" s="409">
        <v>655</v>
      </c>
      <c r="E69" s="409">
        <f>+D69-C69</f>
        <v>-13</v>
      </c>
      <c r="F69" s="412">
        <f>IF(C69=0,0,+E69/C69)</f>
        <v>-1.9461077844311378E-2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981</v>
      </c>
      <c r="D70" s="401">
        <f>SUM(D68:D69)</f>
        <v>964</v>
      </c>
      <c r="E70" s="401">
        <f>+D70-C70</f>
        <v>-17</v>
      </c>
      <c r="F70" s="402">
        <f>IF(C70=0,0,+E70/C70)</f>
        <v>-1.7329255861365953E-2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4871</v>
      </c>
      <c r="D73" s="376">
        <v>4956</v>
      </c>
      <c r="E73" s="409">
        <f>+D73-C73</f>
        <v>85</v>
      </c>
      <c r="F73" s="410">
        <f>IF(C73=0,0,+E73/C73)</f>
        <v>1.7450215561486349E-2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35853</v>
      </c>
      <c r="D74" s="376">
        <v>37474</v>
      </c>
      <c r="E74" s="409">
        <f>+D74-C74</f>
        <v>1621</v>
      </c>
      <c r="F74" s="410">
        <f>IF(C74=0,0,+E74/C74)</f>
        <v>4.5212395057596298E-2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40724</v>
      </c>
      <c r="D75" s="401">
        <f>SUM(D73:D74)</f>
        <v>42430</v>
      </c>
      <c r="E75" s="401">
        <f>SUM(E73:E74)</f>
        <v>1706</v>
      </c>
      <c r="F75" s="402">
        <f>IF(C75=0,0,+E75/C75)</f>
        <v>4.1891759159218153E-2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4677</v>
      </c>
      <c r="D79" s="376">
        <v>4833</v>
      </c>
      <c r="E79" s="409">
        <f t="shared" ref="E79:E92" si="0">+D79-C79</f>
        <v>156</v>
      </c>
      <c r="F79" s="410">
        <f t="shared" ref="F79:F92" si="1">IF(C79=0,0,+E79/C79)</f>
        <v>3.3354714560615777E-2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33502</v>
      </c>
      <c r="D81" s="376">
        <v>35393</v>
      </c>
      <c r="E81" s="409">
        <f t="shared" si="0"/>
        <v>1891</v>
      </c>
      <c r="F81" s="410">
        <f t="shared" si="1"/>
        <v>5.6444391379619124E-2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11860</v>
      </c>
      <c r="D84" s="376">
        <v>13524</v>
      </c>
      <c r="E84" s="409">
        <f t="shared" si="0"/>
        <v>1664</v>
      </c>
      <c r="F84" s="410">
        <f t="shared" si="1"/>
        <v>0.1403035413153457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8824</v>
      </c>
      <c r="D85" s="376">
        <v>9547</v>
      </c>
      <c r="E85" s="409">
        <f t="shared" si="0"/>
        <v>723</v>
      </c>
      <c r="F85" s="410">
        <f t="shared" si="1"/>
        <v>8.1935630099728013E-2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10355</v>
      </c>
      <c r="D88" s="376">
        <v>12075</v>
      </c>
      <c r="E88" s="409">
        <f t="shared" si="0"/>
        <v>1720</v>
      </c>
      <c r="F88" s="410">
        <f t="shared" si="1"/>
        <v>0.16610333172380493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1859</v>
      </c>
      <c r="D89" s="376">
        <v>1562</v>
      </c>
      <c r="E89" s="409">
        <f t="shared" si="0"/>
        <v>-297</v>
      </c>
      <c r="F89" s="410">
        <f t="shared" si="1"/>
        <v>-0.15976331360946747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23166</v>
      </c>
      <c r="D91" s="376">
        <v>29892</v>
      </c>
      <c r="E91" s="409">
        <f t="shared" si="0"/>
        <v>6726</v>
      </c>
      <c r="F91" s="410">
        <f t="shared" si="1"/>
        <v>0.29033929033929035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94243</v>
      </c>
      <c r="D92" s="381">
        <f>SUM(D79:D91)</f>
        <v>106826</v>
      </c>
      <c r="E92" s="401">
        <f t="shared" si="0"/>
        <v>12583</v>
      </c>
      <c r="F92" s="402">
        <f t="shared" si="1"/>
        <v>0.1335165476481012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9650</v>
      </c>
      <c r="D95" s="414">
        <v>10892</v>
      </c>
      <c r="E95" s="415">
        <f t="shared" ref="E95:E100" si="2">+D95-C95</f>
        <v>1242</v>
      </c>
      <c r="F95" s="412">
        <f t="shared" ref="F95:F100" si="3">IF(C95=0,0,+E95/C95)</f>
        <v>0.12870466321243523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4849</v>
      </c>
      <c r="D96" s="414">
        <v>5079</v>
      </c>
      <c r="E96" s="409">
        <f t="shared" si="2"/>
        <v>230</v>
      </c>
      <c r="F96" s="410">
        <f t="shared" si="3"/>
        <v>4.7432460301093007E-2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420</v>
      </c>
      <c r="D97" s="414">
        <v>419</v>
      </c>
      <c r="E97" s="409">
        <f t="shared" si="2"/>
        <v>-1</v>
      </c>
      <c r="F97" s="410">
        <f t="shared" si="3"/>
        <v>-2.3809523809523812E-3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668</v>
      </c>
      <c r="D98" s="414">
        <v>655</v>
      </c>
      <c r="E98" s="409">
        <f t="shared" si="2"/>
        <v>-13</v>
      </c>
      <c r="F98" s="410">
        <f t="shared" si="3"/>
        <v>-1.9461077844311378E-2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104644</v>
      </c>
      <c r="D99" s="414">
        <v>107132</v>
      </c>
      <c r="E99" s="409">
        <f t="shared" si="2"/>
        <v>2488</v>
      </c>
      <c r="F99" s="410">
        <f t="shared" si="3"/>
        <v>2.3775849547035665E-2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120231</v>
      </c>
      <c r="D100" s="381">
        <f>SUM(D95:D99)</f>
        <v>124177</v>
      </c>
      <c r="E100" s="401">
        <f t="shared" si="2"/>
        <v>3946</v>
      </c>
      <c r="F100" s="402">
        <f t="shared" si="3"/>
        <v>3.2820154535851818E-2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296.39999999999998</v>
      </c>
      <c r="D104" s="416">
        <v>286.5</v>
      </c>
      <c r="E104" s="417">
        <f>+D104-C104</f>
        <v>-9.8999999999999773</v>
      </c>
      <c r="F104" s="410">
        <f>IF(C104=0,0,+E104/C104)</f>
        <v>-3.3400809716599117E-2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30.9</v>
      </c>
      <c r="D105" s="416">
        <v>29.6</v>
      </c>
      <c r="E105" s="417">
        <f>+D105-C105</f>
        <v>-1.2999999999999972</v>
      </c>
      <c r="F105" s="410">
        <f>IF(C105=0,0,+E105/C105)</f>
        <v>-4.2071197411003146E-2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439.7</v>
      </c>
      <c r="D106" s="416">
        <v>433.3</v>
      </c>
      <c r="E106" s="417">
        <f>+D106-C106</f>
        <v>-6.3999999999999773</v>
      </c>
      <c r="F106" s="410">
        <f>IF(C106=0,0,+E106/C106)</f>
        <v>-1.455537866727309E-2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767</v>
      </c>
      <c r="D107" s="418">
        <f>SUM(D104:D106)</f>
        <v>749.40000000000009</v>
      </c>
      <c r="E107" s="418">
        <f>+D107-C107</f>
        <v>-17.599999999999909</v>
      </c>
      <c r="F107" s="402">
        <f>IF(C107=0,0,+E107/C107)</f>
        <v>-2.2946544980443167E-2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FILING&amp;RCHARLOTTE HUNGERFORD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4" zoomScale="75" zoomScaleNormal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2865</v>
      </c>
      <c r="D12" s="409">
        <v>2735</v>
      </c>
      <c r="E12" s="409">
        <f>+D12-C12</f>
        <v>-130</v>
      </c>
      <c r="F12" s="410">
        <f>IF(C12=0,0,+E12/C12)</f>
        <v>-4.5375218150087257E-2</v>
      </c>
    </row>
    <row r="13" spans="1:6" ht="15.75" customHeight="1" x14ac:dyDescent="0.25">
      <c r="A13" s="374"/>
      <c r="B13" s="399" t="s">
        <v>622</v>
      </c>
      <c r="C13" s="401">
        <f>SUM(C11:C12)</f>
        <v>2865</v>
      </c>
      <c r="D13" s="401">
        <f>SUM(D11:D12)</f>
        <v>2735</v>
      </c>
      <c r="E13" s="401">
        <f>+D13-C13</f>
        <v>-130</v>
      </c>
      <c r="F13" s="402">
        <f>IF(C13=0,0,+E13/C13)</f>
        <v>-4.5375218150087257E-2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668</v>
      </c>
      <c r="D16" s="409">
        <v>655</v>
      </c>
      <c r="E16" s="409">
        <f>+D16-C16</f>
        <v>-13</v>
      </c>
      <c r="F16" s="410">
        <f>IF(C16=0,0,+E16/C16)</f>
        <v>-1.9461077844311378E-2</v>
      </c>
    </row>
    <row r="17" spans="1:6" ht="15.75" customHeight="1" x14ac:dyDescent="0.25">
      <c r="A17" s="374"/>
      <c r="B17" s="399" t="s">
        <v>623</v>
      </c>
      <c r="C17" s="401">
        <f>SUM(C15:C16)</f>
        <v>668</v>
      </c>
      <c r="D17" s="401">
        <f>SUM(D15:D16)</f>
        <v>655</v>
      </c>
      <c r="E17" s="401">
        <f>+D17-C17</f>
        <v>-13</v>
      </c>
      <c r="F17" s="402">
        <f>IF(C17=0,0,+E17/C17)</f>
        <v>-1.9461077844311378E-2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29577</v>
      </c>
      <c r="D20" s="409">
        <v>30740</v>
      </c>
      <c r="E20" s="409">
        <f>+D20-C20</f>
        <v>1163</v>
      </c>
      <c r="F20" s="410">
        <f>IF(C20=0,0,+E20/C20)</f>
        <v>3.9321094093383371E-2</v>
      </c>
    </row>
    <row r="21" spans="1:6" ht="15.75" customHeight="1" x14ac:dyDescent="0.2">
      <c r="A21" s="374">
        <v>2</v>
      </c>
      <c r="B21" s="408" t="s">
        <v>625</v>
      </c>
      <c r="C21" s="409">
        <v>6276</v>
      </c>
      <c r="D21" s="409">
        <v>6734</v>
      </c>
      <c r="E21" s="409">
        <f>+D21-C21</f>
        <v>458</v>
      </c>
      <c r="F21" s="410">
        <f>IF(C21=0,0,+E21/C21)</f>
        <v>7.2976418100701088E-2</v>
      </c>
    </row>
    <row r="22" spans="1:6" ht="15.75" customHeight="1" x14ac:dyDescent="0.25">
      <c r="A22" s="374"/>
      <c r="B22" s="399" t="s">
        <v>626</v>
      </c>
      <c r="C22" s="401">
        <f>SUM(C19:C21)</f>
        <v>35853</v>
      </c>
      <c r="D22" s="401">
        <f>SUM(D19:D21)</f>
        <v>37474</v>
      </c>
      <c r="E22" s="401">
        <f>+D22-C22</f>
        <v>1621</v>
      </c>
      <c r="F22" s="402">
        <f>IF(C22=0,0,+E22/C22)</f>
        <v>4.5212395057596298E-2</v>
      </c>
    </row>
    <row r="23" spans="1:6" ht="15.75" customHeight="1" x14ac:dyDescent="0.25">
      <c r="A23" s="136"/>
      <c r="B23" s="399"/>
      <c r="C23" s="401"/>
      <c r="D23" s="401"/>
      <c r="E23" s="401"/>
      <c r="F23" s="402"/>
    </row>
    <row r="24" spans="1:6" ht="15.75" customHeight="1" x14ac:dyDescent="0.25">
      <c r="B24" s="813" t="s">
        <v>627</v>
      </c>
      <c r="C24" s="814"/>
      <c r="D24" s="814"/>
      <c r="E24" s="814"/>
      <c r="F24" s="815"/>
    </row>
    <row r="25" spans="1:6" ht="15.75" customHeight="1" x14ac:dyDescent="0.25">
      <c r="A25" s="392"/>
    </row>
    <row r="26" spans="1:6" ht="15.75" customHeight="1" x14ac:dyDescent="0.25">
      <c r="B26" s="813" t="s">
        <v>628</v>
      </c>
      <c r="C26" s="814"/>
      <c r="D26" s="814"/>
      <c r="E26" s="814"/>
      <c r="F26" s="815"/>
    </row>
    <row r="27" spans="1:6" ht="15.75" customHeight="1" x14ac:dyDescent="0.25">
      <c r="A27" s="392"/>
    </row>
    <row r="28" spans="1:6" ht="15.75" customHeight="1" x14ac:dyDescent="0.25">
      <c r="B28" s="813" t="s">
        <v>629</v>
      </c>
      <c r="C28" s="814"/>
      <c r="D28" s="814"/>
      <c r="E28" s="814"/>
      <c r="F28" s="815"/>
    </row>
    <row r="29" spans="1:6" ht="15.75" customHeight="1" x14ac:dyDescent="0.25">
      <c r="A29" s="392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FILING&amp;RCHARLOTTE HUNGERFORD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topLeftCell="A286" zoomScale="85" zoomScaleNormal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61563189</v>
      </c>
      <c r="D15" s="448">
        <v>69571668</v>
      </c>
      <c r="E15" s="448">
        <f t="shared" ref="E15:E24" si="0">D15-C15</f>
        <v>8008479</v>
      </c>
      <c r="F15" s="449">
        <f t="shared" ref="F15:F24" si="1">IF(C15=0,0,E15/C15)</f>
        <v>0.13008551262670945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33728483</v>
      </c>
      <c r="D16" s="448">
        <v>36385646</v>
      </c>
      <c r="E16" s="448">
        <f t="shared" si="0"/>
        <v>2657163</v>
      </c>
      <c r="F16" s="449">
        <f t="shared" si="1"/>
        <v>7.8780981640947212E-2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0.54786770386439854</v>
      </c>
      <c r="D17" s="453">
        <f>IF(LN_IA1=0,0,LN_IA2/LN_IA1)</f>
        <v>0.52299516521581746</v>
      </c>
      <c r="E17" s="454">
        <f t="shared" si="0"/>
        <v>-2.4872538648581077E-2</v>
      </c>
      <c r="F17" s="449">
        <f t="shared" si="1"/>
        <v>-4.5398804260849843E-2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3299</v>
      </c>
      <c r="D18" s="456">
        <v>3363</v>
      </c>
      <c r="E18" s="456">
        <f t="shared" si="0"/>
        <v>64</v>
      </c>
      <c r="F18" s="449">
        <f t="shared" si="1"/>
        <v>1.9399818126705062E-2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1.391</v>
      </c>
      <c r="D19" s="459">
        <v>1.4038999999999999</v>
      </c>
      <c r="E19" s="460">
        <f t="shared" si="0"/>
        <v>1.2899999999999912E-2</v>
      </c>
      <c r="F19" s="449">
        <f t="shared" si="1"/>
        <v>9.2739036664269674E-3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4588.9089999999997</v>
      </c>
      <c r="D20" s="463">
        <f>LN_IA4*LN_IA5</f>
        <v>4721.3157000000001</v>
      </c>
      <c r="E20" s="463">
        <f t="shared" si="0"/>
        <v>132.40670000000046</v>
      </c>
      <c r="F20" s="449">
        <f t="shared" si="1"/>
        <v>2.8853633837585463E-2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7350.0004031459339</v>
      </c>
      <c r="D21" s="465">
        <f>IF(LN_IA6=0,0,LN_IA2/LN_IA6)</f>
        <v>7706.6750694091479</v>
      </c>
      <c r="E21" s="465">
        <f t="shared" si="0"/>
        <v>356.67466626321402</v>
      </c>
      <c r="F21" s="449">
        <f t="shared" si="1"/>
        <v>4.8527162816283761E-2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15270</v>
      </c>
      <c r="D22" s="456">
        <v>16561</v>
      </c>
      <c r="E22" s="456">
        <f t="shared" si="0"/>
        <v>1291</v>
      </c>
      <c r="F22" s="449">
        <f t="shared" si="1"/>
        <v>8.4544859201047803E-2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2208.8070072036671</v>
      </c>
      <c r="D23" s="465">
        <f>IF(LN_IA8=0,0,LN_IA2/LN_IA8)</f>
        <v>2197.0681722118229</v>
      </c>
      <c r="E23" s="465">
        <f t="shared" si="0"/>
        <v>-11.738834991844215</v>
      </c>
      <c r="F23" s="449">
        <f t="shared" si="1"/>
        <v>-5.3145589241431696E-3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4.6286753561685359</v>
      </c>
      <c r="D24" s="466">
        <f>IF(LN_IA4=0,0,LN_IA8/LN_IA4)</f>
        <v>4.9244721974427597</v>
      </c>
      <c r="E24" s="466">
        <f t="shared" si="0"/>
        <v>0.29579684127422379</v>
      </c>
      <c r="F24" s="449">
        <f t="shared" si="1"/>
        <v>6.3905290069657131E-2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64444398</v>
      </c>
      <c r="D27" s="448">
        <v>68419027</v>
      </c>
      <c r="E27" s="448">
        <f t="shared" ref="E27:E32" si="2">D27-C27</f>
        <v>3974629</v>
      </c>
      <c r="F27" s="449">
        <f t="shared" ref="F27:F32" si="3">IF(C27=0,0,E27/C27)</f>
        <v>6.1675322034973466E-2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23390922</v>
      </c>
      <c r="D28" s="448">
        <v>21661538</v>
      </c>
      <c r="E28" s="448">
        <f t="shared" si="2"/>
        <v>-1729384</v>
      </c>
      <c r="F28" s="449">
        <f t="shared" si="3"/>
        <v>-7.3933981738727533E-2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0.36296284434218784</v>
      </c>
      <c r="D29" s="453">
        <f>IF(LN_IA11=0,0,LN_IA12/LN_IA11)</f>
        <v>0.31660108232758116</v>
      </c>
      <c r="E29" s="454">
        <f t="shared" si="2"/>
        <v>-4.6361762014606678E-2</v>
      </c>
      <c r="F29" s="449">
        <f t="shared" si="3"/>
        <v>-0.12773142688649017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1.0468008406776979</v>
      </c>
      <c r="D30" s="453">
        <f>IF(LN_IA1=0,0,LN_IA11/LN_IA1)</f>
        <v>0.98343232190437058</v>
      </c>
      <c r="E30" s="454">
        <f t="shared" si="2"/>
        <v>-6.3368518773327276E-2</v>
      </c>
      <c r="F30" s="449">
        <f t="shared" si="3"/>
        <v>-6.053541066350554E-2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3453.3959733957254</v>
      </c>
      <c r="D31" s="463">
        <f>LN_IA14*LN_IA4</f>
        <v>3307.2828985643982</v>
      </c>
      <c r="E31" s="463">
        <f t="shared" si="2"/>
        <v>-146.11307483132714</v>
      </c>
      <c r="F31" s="449">
        <f t="shared" si="3"/>
        <v>-4.230996849389794E-2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6773.3101504139704</v>
      </c>
      <c r="D32" s="465">
        <f>IF(LN_IA15=0,0,LN_IA12/LN_IA15)</f>
        <v>6549.6477514526159</v>
      </c>
      <c r="E32" s="465">
        <f t="shared" si="2"/>
        <v>-223.66239896135448</v>
      </c>
      <c r="F32" s="449">
        <f t="shared" si="3"/>
        <v>-3.3021136489325635E-2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126007587</v>
      </c>
      <c r="D35" s="448">
        <f>LN_IA1+LN_IA11</f>
        <v>137990695</v>
      </c>
      <c r="E35" s="448">
        <f>D35-C35</f>
        <v>11983108</v>
      </c>
      <c r="F35" s="449">
        <f>IF(C35=0,0,E35/C35)</f>
        <v>9.5098305469495256E-2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57119405</v>
      </c>
      <c r="D36" s="448">
        <f>LN_IA2+LN_IA12</f>
        <v>58047184</v>
      </c>
      <c r="E36" s="448">
        <f>D36-C36</f>
        <v>927779</v>
      </c>
      <c r="F36" s="449">
        <f>IF(C36=0,0,E36/C36)</f>
        <v>1.6242798747641018E-2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68888182</v>
      </c>
      <c r="D37" s="448">
        <f>LN_IA17-LN_IA18</f>
        <v>79943511</v>
      </c>
      <c r="E37" s="448">
        <f>D37-C37</f>
        <v>11055329</v>
      </c>
      <c r="F37" s="449">
        <f>IF(C37=0,0,E37/C37)</f>
        <v>0.16048222901280804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22557240</v>
      </c>
      <c r="D42" s="448">
        <v>20246684</v>
      </c>
      <c r="E42" s="448">
        <f t="shared" ref="E42:E53" si="4">D42-C42</f>
        <v>-2310556</v>
      </c>
      <c r="F42" s="449">
        <f t="shared" ref="F42:F53" si="5">IF(C42=0,0,E42/C42)</f>
        <v>-0.10243079383825326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13571626</v>
      </c>
      <c r="D43" s="448">
        <v>12515934</v>
      </c>
      <c r="E43" s="448">
        <f t="shared" si="4"/>
        <v>-1055692</v>
      </c>
      <c r="F43" s="449">
        <f t="shared" si="5"/>
        <v>-7.7786699987164393E-2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0.60165277312295296</v>
      </c>
      <c r="D44" s="453">
        <f>IF(LN_IB1=0,0,LN_IB2/LN_IB1)</f>
        <v>0.61817204239469536</v>
      </c>
      <c r="E44" s="454">
        <f t="shared" si="4"/>
        <v>1.6519269271742409E-2</v>
      </c>
      <c r="F44" s="449">
        <f t="shared" si="5"/>
        <v>2.7456483223699119E-2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1585</v>
      </c>
      <c r="D45" s="456">
        <v>1430</v>
      </c>
      <c r="E45" s="456">
        <f t="shared" si="4"/>
        <v>-155</v>
      </c>
      <c r="F45" s="449">
        <f t="shared" si="5"/>
        <v>-9.7791798107255523E-2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1.1468</v>
      </c>
      <c r="D46" s="459">
        <v>1.089</v>
      </c>
      <c r="E46" s="460">
        <f t="shared" si="4"/>
        <v>-5.7800000000000074E-2</v>
      </c>
      <c r="F46" s="449">
        <f t="shared" si="5"/>
        <v>-5.0401116149285032E-2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1817.6780000000001</v>
      </c>
      <c r="D47" s="463">
        <f>LN_IB4*LN_IB5</f>
        <v>1557.27</v>
      </c>
      <c r="E47" s="463">
        <f t="shared" si="4"/>
        <v>-260.40800000000013</v>
      </c>
      <c r="F47" s="449">
        <f t="shared" si="5"/>
        <v>-0.14326409848168933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7466.4632569685054</v>
      </c>
      <c r="D48" s="465">
        <f>IF(LN_IB6=0,0,LN_IB2/LN_IB6)</f>
        <v>8037.0995395788786</v>
      </c>
      <c r="E48" s="465">
        <f t="shared" si="4"/>
        <v>570.6362826103732</v>
      </c>
      <c r="F48" s="449">
        <f t="shared" si="5"/>
        <v>7.6426584176623943E-2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-116.46285382257156</v>
      </c>
      <c r="D49" s="465">
        <f>LN_IA7-LN_IB7</f>
        <v>-330.42447016973074</v>
      </c>
      <c r="E49" s="465">
        <f t="shared" si="4"/>
        <v>-213.96161634715918</v>
      </c>
      <c r="F49" s="449">
        <f t="shared" si="5"/>
        <v>1.8371661806701449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-211691.96721050426</v>
      </c>
      <c r="D50" s="479">
        <f>LN_IB8*LN_IB6</f>
        <v>-514560.11466121656</v>
      </c>
      <c r="E50" s="479">
        <f t="shared" si="4"/>
        <v>-302868.14745071228</v>
      </c>
      <c r="F50" s="449">
        <f t="shared" si="5"/>
        <v>1.4307021255536985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5499</v>
      </c>
      <c r="D51" s="456">
        <v>4858</v>
      </c>
      <c r="E51" s="456">
        <f t="shared" si="4"/>
        <v>-641</v>
      </c>
      <c r="F51" s="449">
        <f t="shared" si="5"/>
        <v>-0.11656664848154209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2468.0170940170942</v>
      </c>
      <c r="D52" s="465">
        <f>IF(LN_IB10=0,0,LN_IB2/LN_IB10)</f>
        <v>2576.3552902428983</v>
      </c>
      <c r="E52" s="465">
        <f t="shared" si="4"/>
        <v>108.33819622580404</v>
      </c>
      <c r="F52" s="449">
        <f t="shared" si="5"/>
        <v>4.3896858124862589E-2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3.4694006309148264</v>
      </c>
      <c r="D53" s="466">
        <f>IF(LN_IB4=0,0,LN_IB10/LN_IB4)</f>
        <v>3.3972027972027972</v>
      </c>
      <c r="E53" s="466">
        <f t="shared" si="4"/>
        <v>-7.2197833712029258E-2</v>
      </c>
      <c r="F53" s="449">
        <f t="shared" si="5"/>
        <v>-2.0809886603667279E-2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64224431</v>
      </c>
      <c r="D56" s="448">
        <v>64863374</v>
      </c>
      <c r="E56" s="448">
        <f t="shared" ref="E56:E63" si="6">D56-C56</f>
        <v>638943</v>
      </c>
      <c r="F56" s="449">
        <f t="shared" ref="F56:F63" si="7">IF(C56=0,0,E56/C56)</f>
        <v>9.9485972869109568E-3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30546862</v>
      </c>
      <c r="D57" s="448">
        <v>30363670</v>
      </c>
      <c r="E57" s="448">
        <f t="shared" si="6"/>
        <v>-183192</v>
      </c>
      <c r="F57" s="449">
        <f t="shared" si="7"/>
        <v>-5.997080813079916E-3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0.47562682182423693</v>
      </c>
      <c r="D58" s="453">
        <f>IF(LN_IB13=0,0,LN_IB14/LN_IB13)</f>
        <v>0.46811733845359327</v>
      </c>
      <c r="E58" s="454">
        <f t="shared" si="6"/>
        <v>-7.5094833706436659E-3</v>
      </c>
      <c r="F58" s="449">
        <f t="shared" si="7"/>
        <v>-1.5788603640647329E-2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2.8471759399642864</v>
      </c>
      <c r="D59" s="453">
        <f>IF(LN_IB1=0,0,LN_IB13/LN_IB1)</f>
        <v>3.2036541885081036</v>
      </c>
      <c r="E59" s="454">
        <f t="shared" si="6"/>
        <v>0.35647824854381716</v>
      </c>
      <c r="F59" s="449">
        <f t="shared" si="7"/>
        <v>0.12520415178427247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4512.7738648433942</v>
      </c>
      <c r="D60" s="463">
        <f>LN_IB16*LN_IB4</f>
        <v>4581.2254895665883</v>
      </c>
      <c r="E60" s="463">
        <f t="shared" si="6"/>
        <v>68.451624723194072</v>
      </c>
      <c r="F60" s="449">
        <f t="shared" si="7"/>
        <v>1.5168414543539184E-2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6768.9768897959302</v>
      </c>
      <c r="D61" s="465">
        <f>IF(LN_IB17=0,0,LN_IB14/LN_IB17)</f>
        <v>6627.8488297838812</v>
      </c>
      <c r="E61" s="465">
        <f t="shared" si="6"/>
        <v>-141.12806001204899</v>
      </c>
      <c r="F61" s="449">
        <f t="shared" si="7"/>
        <v>-2.0849245360077408E-2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4.3332606180401854</v>
      </c>
      <c r="D62" s="465">
        <f>LN_IA16-LN_IB18</f>
        <v>-78.201078331265307</v>
      </c>
      <c r="E62" s="465">
        <f t="shared" si="6"/>
        <v>-82.534338949305493</v>
      </c>
      <c r="F62" s="449">
        <f t="shared" si="7"/>
        <v>-19.046705523711037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19555.025266646884</v>
      </c>
      <c r="D63" s="448">
        <f>LN_IB19*LN_IB17</f>
        <v>-358256.77336278604</v>
      </c>
      <c r="E63" s="448">
        <f t="shared" si="6"/>
        <v>-377811.79862943292</v>
      </c>
      <c r="F63" s="449">
        <f t="shared" si="7"/>
        <v>-19.320445434239861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86781671</v>
      </c>
      <c r="D66" s="448">
        <f>LN_IB1+LN_IB13</f>
        <v>85110058</v>
      </c>
      <c r="E66" s="448">
        <f>D66-C66</f>
        <v>-1671613</v>
      </c>
      <c r="F66" s="449">
        <f>IF(C66=0,0,E66/C66)</f>
        <v>-1.9262281778372303E-2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44118488</v>
      </c>
      <c r="D67" s="448">
        <f>LN_IB2+LN_IB14</f>
        <v>42879604</v>
      </c>
      <c r="E67" s="448">
        <f>D67-C67</f>
        <v>-1238884</v>
      </c>
      <c r="F67" s="449">
        <f>IF(C67=0,0,E67/C67)</f>
        <v>-2.8080835408502668E-2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42663183</v>
      </c>
      <c r="D68" s="448">
        <f>LN_IB21-LN_IB22</f>
        <v>42230454</v>
      </c>
      <c r="E68" s="448">
        <f>D68-C68</f>
        <v>-432729</v>
      </c>
      <c r="F68" s="449">
        <f>IF(C68=0,0,E68/C68)</f>
        <v>-1.0142914090587193E-2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-192136.94194385738</v>
      </c>
      <c r="D70" s="441">
        <f>LN_IB9+LN_IB20</f>
        <v>-872816.88802400255</v>
      </c>
      <c r="E70" s="448">
        <f>D70-C70</f>
        <v>-680679.94608014519</v>
      </c>
      <c r="F70" s="449">
        <f>IF(C70=0,0,E70/C70)</f>
        <v>3.5426812730216168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86781671</v>
      </c>
      <c r="D73" s="488">
        <v>85110058</v>
      </c>
      <c r="E73" s="488">
        <f>D73-C73</f>
        <v>-1671613</v>
      </c>
      <c r="F73" s="489">
        <f>IF(C73=0,0,E73/C73)</f>
        <v>-1.9262281778372303E-2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49753368</v>
      </c>
      <c r="D74" s="488">
        <v>46887484</v>
      </c>
      <c r="E74" s="488">
        <f>D74-C74</f>
        <v>-2865884</v>
      </c>
      <c r="F74" s="489">
        <f>IF(C74=0,0,E74/C74)</f>
        <v>-5.7601808987082039E-2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37028303</v>
      </c>
      <c r="D76" s="441">
        <f>LN_IB32-LN_IB33</f>
        <v>38222574</v>
      </c>
      <c r="E76" s="488">
        <f>D76-C76</f>
        <v>1194271</v>
      </c>
      <c r="F76" s="489">
        <f>IF(E76=0,0,E76/C76)</f>
        <v>3.2252922852014039E-2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0.42668345254610274</v>
      </c>
      <c r="D77" s="453">
        <f>IF(LN_IB32=0,0,LN_IB34/LN_IB32)</f>
        <v>0.44909585186747258</v>
      </c>
      <c r="E77" s="493">
        <f>D77-C77</f>
        <v>2.2412399321369847E-2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1554063</v>
      </c>
      <c r="D83" s="448">
        <v>692425</v>
      </c>
      <c r="E83" s="448">
        <f t="shared" ref="E83:E95" si="8">D83-C83</f>
        <v>-861638</v>
      </c>
      <c r="F83" s="449">
        <f t="shared" ref="F83:F95" si="9">IF(C83=0,0,E83/C83)</f>
        <v>-0.55444213008095555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318975</v>
      </c>
      <c r="D84" s="448">
        <v>111960</v>
      </c>
      <c r="E84" s="448">
        <f t="shared" si="8"/>
        <v>-207015</v>
      </c>
      <c r="F84" s="449">
        <f t="shared" si="9"/>
        <v>-0.64900070538443455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0.20525229672156148</v>
      </c>
      <c r="D85" s="453">
        <f>IF(LN_IC1=0,0,LN_IC2/LN_IC1)</f>
        <v>0.16169260208686861</v>
      </c>
      <c r="E85" s="454">
        <f t="shared" si="8"/>
        <v>-4.3559694634692864E-2</v>
      </c>
      <c r="F85" s="449">
        <f t="shared" si="9"/>
        <v>-0.21222512649290601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137</v>
      </c>
      <c r="D86" s="456">
        <v>102</v>
      </c>
      <c r="E86" s="456">
        <f t="shared" si="8"/>
        <v>-35</v>
      </c>
      <c r="F86" s="449">
        <f t="shared" si="9"/>
        <v>-0.25547445255474455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1.0423</v>
      </c>
      <c r="D87" s="459">
        <v>1.0630999999999999</v>
      </c>
      <c r="E87" s="460">
        <f t="shared" si="8"/>
        <v>2.079999999999993E-2</v>
      </c>
      <c r="F87" s="449">
        <f t="shared" si="9"/>
        <v>1.9955866832965491E-2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142.79509999999999</v>
      </c>
      <c r="D88" s="463">
        <f>LN_IC4*LN_IC5</f>
        <v>108.4362</v>
      </c>
      <c r="E88" s="463">
        <f t="shared" si="8"/>
        <v>-34.358899999999991</v>
      </c>
      <c r="F88" s="449">
        <f t="shared" si="9"/>
        <v>-0.24061679987618617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2233.7951372280982</v>
      </c>
      <c r="D89" s="465">
        <f>IF(LN_IC6=0,0,LN_IC2/LN_IC6)</f>
        <v>1032.4965279122655</v>
      </c>
      <c r="E89" s="465">
        <f t="shared" si="8"/>
        <v>-1201.2986093158327</v>
      </c>
      <c r="F89" s="449">
        <f t="shared" si="9"/>
        <v>-0.53778369792966618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5232.6681197404068</v>
      </c>
      <c r="D90" s="465">
        <f>LN_IB7-LN_IC7</f>
        <v>7004.6030116666134</v>
      </c>
      <c r="E90" s="465">
        <f t="shared" si="8"/>
        <v>1771.9348919262065</v>
      </c>
      <c r="F90" s="449">
        <f t="shared" si="9"/>
        <v>0.3386293285525841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5116.2052659178353</v>
      </c>
      <c r="D91" s="465">
        <f>LN_IA7-LN_IC7</f>
        <v>6674.1785414968826</v>
      </c>
      <c r="E91" s="465">
        <f t="shared" si="8"/>
        <v>1557.9732755790474</v>
      </c>
      <c r="F91" s="449">
        <f t="shared" si="9"/>
        <v>0.30451735116213141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730569.04256726382</v>
      </c>
      <c r="D92" s="441">
        <f>LN_IC9*LN_IC6</f>
        <v>723722.55916146422</v>
      </c>
      <c r="E92" s="441">
        <f t="shared" si="8"/>
        <v>-6846.483405799605</v>
      </c>
      <c r="F92" s="449">
        <f t="shared" si="9"/>
        <v>-9.3714392574597034E-3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613</v>
      </c>
      <c r="D93" s="456">
        <v>394</v>
      </c>
      <c r="E93" s="456">
        <f t="shared" si="8"/>
        <v>-219</v>
      </c>
      <c r="F93" s="449">
        <f t="shared" si="9"/>
        <v>-0.35725938009787928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520.35073409461666</v>
      </c>
      <c r="D94" s="499">
        <f>IF(LN_IC11=0,0,LN_IC2/LN_IC11)</f>
        <v>284.16243654822335</v>
      </c>
      <c r="E94" s="499">
        <f t="shared" si="8"/>
        <v>-236.1882975463933</v>
      </c>
      <c r="F94" s="449">
        <f t="shared" si="9"/>
        <v>-0.45390211269202629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4.4744525547445253</v>
      </c>
      <c r="D95" s="466">
        <f>IF(LN_IC4=0,0,LN_IC11/LN_IC4)</f>
        <v>3.8627450980392157</v>
      </c>
      <c r="E95" s="466">
        <f t="shared" si="8"/>
        <v>-0.61170745670530957</v>
      </c>
      <c r="F95" s="449">
        <f t="shared" si="9"/>
        <v>-0.13671112817068093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4301269</v>
      </c>
      <c r="D98" s="448">
        <v>3470795</v>
      </c>
      <c r="E98" s="448">
        <f t="shared" ref="E98:E106" si="10">D98-C98</f>
        <v>-830474</v>
      </c>
      <c r="F98" s="449">
        <f t="shared" ref="F98:F106" si="11">IF(C98=0,0,E98/C98)</f>
        <v>-0.19307650835137258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882845</v>
      </c>
      <c r="D99" s="448">
        <v>561204</v>
      </c>
      <c r="E99" s="448">
        <f t="shared" si="10"/>
        <v>-321641</v>
      </c>
      <c r="F99" s="449">
        <f t="shared" si="11"/>
        <v>-0.36432329570875976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0.20525221742699654</v>
      </c>
      <c r="D100" s="453">
        <f>IF(LN_IC14=0,0,LN_IC15/LN_IC14)</f>
        <v>0.16169321437883827</v>
      </c>
      <c r="E100" s="454">
        <f t="shared" si="10"/>
        <v>-4.3559003048158268E-2</v>
      </c>
      <c r="F100" s="449">
        <f t="shared" si="11"/>
        <v>-0.21222183903397387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2.7677571629978965</v>
      </c>
      <c r="D101" s="453">
        <f>IF(LN_IC1=0,0,LN_IC14/LN_IC1)</f>
        <v>5.012521211683576</v>
      </c>
      <c r="E101" s="454">
        <f t="shared" si="10"/>
        <v>2.2447640486856795</v>
      </c>
      <c r="F101" s="449">
        <f t="shared" si="11"/>
        <v>0.81104082348549067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379.18273133071182</v>
      </c>
      <c r="D102" s="463">
        <f>LN_IC17*LN_IC4</f>
        <v>511.27716359172473</v>
      </c>
      <c r="E102" s="463">
        <f t="shared" si="10"/>
        <v>132.09443226101291</v>
      </c>
      <c r="F102" s="449">
        <f t="shared" si="11"/>
        <v>0.3483661605512412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2328.2837720529237</v>
      </c>
      <c r="D103" s="465">
        <f>IF(LN_IC18=0,0,LN_IC15/LN_IC18)</f>
        <v>1097.6512153555598</v>
      </c>
      <c r="E103" s="465">
        <f t="shared" si="10"/>
        <v>-1230.632556697364</v>
      </c>
      <c r="F103" s="449">
        <f t="shared" si="11"/>
        <v>-0.52855780359293369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4440.693117743007</v>
      </c>
      <c r="D104" s="465">
        <f>LN_IB18-LN_IC19</f>
        <v>5530.1976144283217</v>
      </c>
      <c r="E104" s="465">
        <f t="shared" si="10"/>
        <v>1089.5044966853147</v>
      </c>
      <c r="F104" s="449">
        <f t="shared" si="11"/>
        <v>0.24534559533784178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4445.0263783610462</v>
      </c>
      <c r="D105" s="465">
        <f>LN_IA16-LN_IC19</f>
        <v>5451.9965360970564</v>
      </c>
      <c r="E105" s="465">
        <f t="shared" si="10"/>
        <v>1006.9701577360102</v>
      </c>
      <c r="F105" s="449">
        <f t="shared" si="11"/>
        <v>0.2265386236261879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1685477.2429840036</v>
      </c>
      <c r="D106" s="448">
        <f>LN_IC21*LN_IC18</f>
        <v>2787481.3248876114</v>
      </c>
      <c r="E106" s="448">
        <f t="shared" si="10"/>
        <v>1102004.0819036078</v>
      </c>
      <c r="F106" s="449">
        <f t="shared" si="11"/>
        <v>0.65382317470664697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5855332</v>
      </c>
      <c r="D109" s="448">
        <f>LN_IC1+LN_IC14</f>
        <v>4163220</v>
      </c>
      <c r="E109" s="448">
        <f>D109-C109</f>
        <v>-1692112</v>
      </c>
      <c r="F109" s="449">
        <f>IF(C109=0,0,E109/C109)</f>
        <v>-0.28898651690459226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1201820</v>
      </c>
      <c r="D110" s="448">
        <f>LN_IC2+LN_IC15</f>
        <v>673164</v>
      </c>
      <c r="E110" s="448">
        <f>D110-C110</f>
        <v>-528656</v>
      </c>
      <c r="F110" s="449">
        <f>IF(C110=0,0,E110/C110)</f>
        <v>-0.43987951606729792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4653512</v>
      </c>
      <c r="D111" s="448">
        <f>LN_IC23-LN_IC24</f>
        <v>3490056</v>
      </c>
      <c r="E111" s="448">
        <f>D111-C111</f>
        <v>-1163456</v>
      </c>
      <c r="F111" s="449">
        <f>IF(C111=0,0,E111/C111)</f>
        <v>-0.25001676153408436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2416046.2855512677</v>
      </c>
      <c r="D113" s="448">
        <f>LN_IC10+LN_IC22</f>
        <v>3511203.8840490757</v>
      </c>
      <c r="E113" s="448">
        <f>D113-C113</f>
        <v>1095157.598497808</v>
      </c>
      <c r="F113" s="449">
        <f>IF(C113=0,0,E113/C113)</f>
        <v>0.45328502398617193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15720382</v>
      </c>
      <c r="D118" s="448">
        <v>15900445</v>
      </c>
      <c r="E118" s="448">
        <f t="shared" ref="E118:E130" si="12">D118-C118</f>
        <v>180063</v>
      </c>
      <c r="F118" s="449">
        <f t="shared" ref="F118:F130" si="13">IF(C118=0,0,E118/C118)</f>
        <v>1.145411097516587E-2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4645830</v>
      </c>
      <c r="D119" s="448">
        <v>4738255</v>
      </c>
      <c r="E119" s="448">
        <f t="shared" si="12"/>
        <v>92425</v>
      </c>
      <c r="F119" s="449">
        <f t="shared" si="13"/>
        <v>1.9894184677441921E-2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0.29552907811018841</v>
      </c>
      <c r="D120" s="453">
        <f>IF(LN_ID1=0,0,LN_1D2/LN_ID1)</f>
        <v>0.29799511900453102</v>
      </c>
      <c r="E120" s="454">
        <f t="shared" si="12"/>
        <v>2.4660408943426027E-3</v>
      </c>
      <c r="F120" s="449">
        <f t="shared" si="13"/>
        <v>8.3444949313012644E-3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1172</v>
      </c>
      <c r="D121" s="456">
        <v>1200</v>
      </c>
      <c r="E121" s="456">
        <f t="shared" si="12"/>
        <v>28</v>
      </c>
      <c r="F121" s="449">
        <f t="shared" si="13"/>
        <v>2.3890784982935155E-2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1.0141</v>
      </c>
      <c r="D122" s="459">
        <v>0.95740000000000003</v>
      </c>
      <c r="E122" s="460">
        <f t="shared" si="12"/>
        <v>-5.6699999999999973E-2</v>
      </c>
      <c r="F122" s="449">
        <f t="shared" si="13"/>
        <v>-5.5911645794300337E-2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1188.5252</v>
      </c>
      <c r="D123" s="463">
        <f>LN_ID4*LN_ID5</f>
        <v>1148.8800000000001</v>
      </c>
      <c r="E123" s="463">
        <f t="shared" si="12"/>
        <v>-39.645199999999932</v>
      </c>
      <c r="F123" s="449">
        <f t="shared" si="13"/>
        <v>-3.3356633919078817E-2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3908.9032357075812</v>
      </c>
      <c r="D124" s="465">
        <f>IF(LN_ID6=0,0,LN_1D2/LN_ID6)</f>
        <v>4124.238388691595</v>
      </c>
      <c r="E124" s="465">
        <f t="shared" si="12"/>
        <v>215.3351529840138</v>
      </c>
      <c r="F124" s="449">
        <f t="shared" si="13"/>
        <v>5.5088381573874981E-2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3557.5600212609243</v>
      </c>
      <c r="D125" s="465">
        <f>LN_IB7-LN_ID7</f>
        <v>3912.8611508872837</v>
      </c>
      <c r="E125" s="465">
        <f t="shared" si="12"/>
        <v>355.3011296263594</v>
      </c>
      <c r="F125" s="449">
        <f t="shared" si="13"/>
        <v>9.9872139191745299E-2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3441.0971674383527</v>
      </c>
      <c r="D126" s="465">
        <f>LN_IA7-LN_ID7</f>
        <v>3582.4366807175529</v>
      </c>
      <c r="E126" s="465">
        <f t="shared" si="12"/>
        <v>141.33951327920022</v>
      </c>
      <c r="F126" s="449">
        <f t="shared" si="13"/>
        <v>4.1073967517289617E-2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4089830.699149102</v>
      </c>
      <c r="D127" s="479">
        <f>LN_ID9*LN_ID6</f>
        <v>4115789.8537427825</v>
      </c>
      <c r="E127" s="479">
        <f t="shared" si="12"/>
        <v>25959.15459368052</v>
      </c>
      <c r="F127" s="449">
        <f t="shared" si="13"/>
        <v>6.3472443001323688E-3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4662</v>
      </c>
      <c r="D128" s="456">
        <v>4475</v>
      </c>
      <c r="E128" s="456">
        <f t="shared" si="12"/>
        <v>-187</v>
      </c>
      <c r="F128" s="449">
        <f t="shared" si="13"/>
        <v>-4.0111540111540112E-2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996.53153153153153</v>
      </c>
      <c r="D129" s="465">
        <f>IF(LN_ID11=0,0,LN_1D2/LN_ID11)</f>
        <v>1058.8279329608938</v>
      </c>
      <c r="E129" s="465">
        <f t="shared" si="12"/>
        <v>62.296401429362277</v>
      </c>
      <c r="F129" s="449">
        <f t="shared" si="13"/>
        <v>6.2513226584633305E-2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3.9778156996587031</v>
      </c>
      <c r="D130" s="466">
        <f>IF(LN_ID4=0,0,LN_ID11/LN_ID4)</f>
        <v>3.7291666666666665</v>
      </c>
      <c r="E130" s="466">
        <f t="shared" si="12"/>
        <v>-0.24864903299203656</v>
      </c>
      <c r="F130" s="449">
        <f t="shared" si="13"/>
        <v>-6.2508937508937545E-2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38108911</v>
      </c>
      <c r="D133" s="448">
        <v>44875620</v>
      </c>
      <c r="E133" s="448">
        <f t="shared" ref="E133:E141" si="14">D133-C133</f>
        <v>6766709</v>
      </c>
      <c r="F133" s="449">
        <f t="shared" ref="F133:F141" si="15">IF(C133=0,0,E133/C133)</f>
        <v>0.17756238166973598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9397695</v>
      </c>
      <c r="D134" s="448">
        <v>11150030</v>
      </c>
      <c r="E134" s="448">
        <f t="shared" si="14"/>
        <v>1752335</v>
      </c>
      <c r="F134" s="449">
        <f t="shared" si="15"/>
        <v>0.18646434045795271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0.24660098526562463</v>
      </c>
      <c r="D135" s="453">
        <f>IF(LN_ID14=0,0,LN_ID15/LN_ID14)</f>
        <v>0.24846520226350077</v>
      </c>
      <c r="E135" s="454">
        <f t="shared" si="14"/>
        <v>1.8642169978761447E-3</v>
      </c>
      <c r="F135" s="449">
        <f t="shared" si="15"/>
        <v>7.5596494307113805E-3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2.4241720716455872</v>
      </c>
      <c r="D136" s="453">
        <f>IF(LN_ID1=0,0,LN_ID14/LN_ID1)</f>
        <v>2.8222870491989376</v>
      </c>
      <c r="E136" s="454">
        <f t="shared" si="14"/>
        <v>0.39811497755335035</v>
      </c>
      <c r="F136" s="449">
        <f t="shared" si="15"/>
        <v>0.16422719418720974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2841.1296679686284</v>
      </c>
      <c r="D137" s="463">
        <f>LN_ID17*LN_ID4</f>
        <v>3386.7444590387249</v>
      </c>
      <c r="E137" s="463">
        <f t="shared" si="14"/>
        <v>545.61479107009654</v>
      </c>
      <c r="F137" s="449">
        <f t="shared" si="15"/>
        <v>0.19204149575482213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3307.7318173651793</v>
      </c>
      <c r="D138" s="465">
        <f>IF(LN_ID18=0,0,LN_ID15/LN_ID18)</f>
        <v>3292.256069170558</v>
      </c>
      <c r="E138" s="465">
        <f t="shared" si="14"/>
        <v>-15.475748194621247</v>
      </c>
      <c r="F138" s="449">
        <f t="shared" si="15"/>
        <v>-4.6786586848956433E-3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3461.245072430751</v>
      </c>
      <c r="D139" s="465">
        <f>LN_IB18-LN_ID19</f>
        <v>3335.5927606133232</v>
      </c>
      <c r="E139" s="465">
        <f t="shared" si="14"/>
        <v>-125.65231181742774</v>
      </c>
      <c r="F139" s="449">
        <f t="shared" si="15"/>
        <v>-3.6302633644252492E-2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3465.5783330487911</v>
      </c>
      <c r="D140" s="465">
        <f>LN_IA16-LN_ID19</f>
        <v>3257.3916822820579</v>
      </c>
      <c r="E140" s="465">
        <f t="shared" si="14"/>
        <v>-208.18665076673324</v>
      </c>
      <c r="F140" s="449">
        <f t="shared" si="15"/>
        <v>-6.0072700934618355E-2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9846157.4186941851</v>
      </c>
      <c r="D141" s="441">
        <f>LN_ID21*LN_ID18</f>
        <v>11031953.23088759</v>
      </c>
      <c r="E141" s="441">
        <f t="shared" si="14"/>
        <v>1185795.8121934049</v>
      </c>
      <c r="F141" s="449">
        <f t="shared" si="15"/>
        <v>0.12043234347868746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53829293</v>
      </c>
      <c r="D144" s="448">
        <f>LN_ID1+LN_ID14</f>
        <v>60776065</v>
      </c>
      <c r="E144" s="448">
        <f>D144-C144</f>
        <v>6946772</v>
      </c>
      <c r="F144" s="449">
        <f>IF(C144=0,0,E144/C144)</f>
        <v>0.12905189001832143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14043525</v>
      </c>
      <c r="D145" s="448">
        <f>LN_1D2+LN_ID15</f>
        <v>15888285</v>
      </c>
      <c r="E145" s="448">
        <f>D145-C145</f>
        <v>1844760</v>
      </c>
      <c r="F145" s="449">
        <f>IF(C145=0,0,E145/C145)</f>
        <v>0.13136018200558622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39785768</v>
      </c>
      <c r="D146" s="448">
        <f>LN_ID23-LN_ID24</f>
        <v>44887780</v>
      </c>
      <c r="E146" s="448">
        <f>D146-C146</f>
        <v>5102012</v>
      </c>
      <c r="F146" s="449">
        <f>IF(C146=0,0,E146/C146)</f>
        <v>0.12823711232619664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13935988.117843287</v>
      </c>
      <c r="D148" s="448">
        <f>LN_ID10+LN_ID22</f>
        <v>15147743.084630372</v>
      </c>
      <c r="E148" s="448">
        <f>D148-C148</f>
        <v>1211754.9667870849</v>
      </c>
      <c r="F148" s="503">
        <f>IF(C148=0,0,E148/C148)</f>
        <v>8.6951492534324465E-2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154236</v>
      </c>
      <c r="D153" s="448">
        <v>261193</v>
      </c>
      <c r="E153" s="448">
        <f t="shared" ref="E153:E165" si="16">D153-C153</f>
        <v>106957</v>
      </c>
      <c r="F153" s="449">
        <f t="shared" ref="F153:F165" si="17">IF(C153=0,0,E153/C153)</f>
        <v>0.69346326408879899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49026</v>
      </c>
      <c r="D154" s="448">
        <v>77834</v>
      </c>
      <c r="E154" s="448">
        <f t="shared" si="16"/>
        <v>28808</v>
      </c>
      <c r="F154" s="449">
        <f t="shared" si="17"/>
        <v>0.58760657610247624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0.31786353380533727</v>
      </c>
      <c r="D155" s="453">
        <f>IF(LN_IE1=0,0,LN_IE2/LN_IE1)</f>
        <v>0.29799420352000244</v>
      </c>
      <c r="E155" s="454">
        <f t="shared" si="16"/>
        <v>-1.986933028533483E-2</v>
      </c>
      <c r="F155" s="449">
        <f t="shared" si="17"/>
        <v>-6.2508995755087157E-2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11</v>
      </c>
      <c r="D156" s="506">
        <v>7</v>
      </c>
      <c r="E156" s="506">
        <f t="shared" si="16"/>
        <v>-4</v>
      </c>
      <c r="F156" s="449">
        <f t="shared" si="17"/>
        <v>-0.36363636363636365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0.88270000000000004</v>
      </c>
      <c r="D157" s="459">
        <v>1.1002000000000001</v>
      </c>
      <c r="E157" s="460">
        <f t="shared" si="16"/>
        <v>0.21750000000000003</v>
      </c>
      <c r="F157" s="449">
        <f t="shared" si="17"/>
        <v>0.24640308145462786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9.7096999999999998</v>
      </c>
      <c r="D158" s="463">
        <f>LN_IE4*LN_IE5</f>
        <v>7.7014000000000005</v>
      </c>
      <c r="E158" s="463">
        <f t="shared" si="16"/>
        <v>-2.0082999999999993</v>
      </c>
      <c r="F158" s="449">
        <f t="shared" si="17"/>
        <v>-0.20683440271069131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5049.1776264972141</v>
      </c>
      <c r="D159" s="465">
        <f>IF(LN_IE6=0,0,LN_IE2/LN_IE6)</f>
        <v>10106.474147557587</v>
      </c>
      <c r="E159" s="465">
        <f t="shared" si="16"/>
        <v>5057.2965210603725</v>
      </c>
      <c r="F159" s="449">
        <f t="shared" si="17"/>
        <v>1.0016079637445416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2417.2856304712914</v>
      </c>
      <c r="D160" s="465">
        <f>LN_IB7-LN_IE7</f>
        <v>-2069.3746079787079</v>
      </c>
      <c r="E160" s="465">
        <f t="shared" si="16"/>
        <v>-4486.6602384499993</v>
      </c>
      <c r="F160" s="449">
        <f t="shared" si="17"/>
        <v>-1.8560736811128307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2300.8227766487198</v>
      </c>
      <c r="D161" s="465">
        <f>LN_IA7-LN_IE7</f>
        <v>-2399.7990781484386</v>
      </c>
      <c r="E161" s="465">
        <f t="shared" si="16"/>
        <v>-4700.6218547971584</v>
      </c>
      <c r="F161" s="449">
        <f t="shared" si="17"/>
        <v>-2.0430177858565375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22340.298914426075</v>
      </c>
      <c r="D162" s="479">
        <f>LN_IE9*LN_IE6</f>
        <v>-18481.812620452387</v>
      </c>
      <c r="E162" s="479">
        <f t="shared" si="16"/>
        <v>-40822.111534878466</v>
      </c>
      <c r="F162" s="449">
        <f t="shared" si="17"/>
        <v>-1.827285825102273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40</v>
      </c>
      <c r="D163" s="456">
        <v>51</v>
      </c>
      <c r="E163" s="506">
        <f t="shared" si="16"/>
        <v>11</v>
      </c>
      <c r="F163" s="449">
        <f t="shared" si="17"/>
        <v>0.27500000000000002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1225.6500000000001</v>
      </c>
      <c r="D164" s="465">
        <f>IF(LN_IE11=0,0,LN_IE2/LN_IE11)</f>
        <v>1526.1568627450981</v>
      </c>
      <c r="E164" s="465">
        <f t="shared" si="16"/>
        <v>300.50686274509803</v>
      </c>
      <c r="F164" s="449">
        <f t="shared" si="17"/>
        <v>0.24518162831566762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3.6363636363636362</v>
      </c>
      <c r="D165" s="466">
        <f>IF(LN_IE4=0,0,LN_IE11/LN_IE4)</f>
        <v>7.2857142857142856</v>
      </c>
      <c r="E165" s="466">
        <f t="shared" si="16"/>
        <v>3.6493506493506493</v>
      </c>
      <c r="F165" s="449">
        <f t="shared" si="17"/>
        <v>1.0035714285714286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121983</v>
      </c>
      <c r="D168" s="511">
        <v>162584</v>
      </c>
      <c r="E168" s="511">
        <f t="shared" ref="E168:E176" si="18">D168-C168</f>
        <v>40601</v>
      </c>
      <c r="F168" s="449">
        <f t="shared" ref="F168:F176" si="19">IF(C168=0,0,E168/C168)</f>
        <v>0.33284146151512917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47662</v>
      </c>
      <c r="D169" s="511">
        <v>18747</v>
      </c>
      <c r="E169" s="511">
        <f t="shared" si="18"/>
        <v>-28915</v>
      </c>
      <c r="F169" s="449">
        <f t="shared" si="19"/>
        <v>-0.60666778565733703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0.39072657665412391</v>
      </c>
      <c r="D170" s="453">
        <f>IF(LN_IE14=0,0,LN_IE15/LN_IE14)</f>
        <v>0.11530654922993652</v>
      </c>
      <c r="E170" s="454">
        <f t="shared" si="18"/>
        <v>-0.27542002742418736</v>
      </c>
      <c r="F170" s="449">
        <f t="shared" si="19"/>
        <v>-0.70489197275155568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0.79088539640550848</v>
      </c>
      <c r="D171" s="453">
        <f>IF(LN_IE1=0,0,LN_IE14/LN_IE1)</f>
        <v>0.62246691144096511</v>
      </c>
      <c r="E171" s="454">
        <f t="shared" si="18"/>
        <v>-0.16841848496454337</v>
      </c>
      <c r="F171" s="449">
        <f t="shared" si="19"/>
        <v>-0.21294929167991694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8.6997393604605939</v>
      </c>
      <c r="D172" s="463">
        <f>LN_IE17*LN_IE4</f>
        <v>4.3572683800867562</v>
      </c>
      <c r="E172" s="463">
        <f t="shared" si="18"/>
        <v>-4.3424709803738377</v>
      </c>
      <c r="F172" s="449">
        <f t="shared" si="19"/>
        <v>-0.49914954925085625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5478.5549342568593</v>
      </c>
      <c r="D173" s="465">
        <f>IF(LN_IE18=0,0,LN_IE15/LN_IE18)</f>
        <v>4302.4662161449723</v>
      </c>
      <c r="E173" s="465">
        <f t="shared" si="18"/>
        <v>-1176.0887181118869</v>
      </c>
      <c r="F173" s="449">
        <f t="shared" si="19"/>
        <v>-0.21467133801249688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1290.421955539071</v>
      </c>
      <c r="D174" s="465">
        <f>LN_IB18-LN_IE19</f>
        <v>2325.3826136389089</v>
      </c>
      <c r="E174" s="465">
        <f t="shared" si="18"/>
        <v>1034.9606580998379</v>
      </c>
      <c r="F174" s="449">
        <f t="shared" si="19"/>
        <v>0.80203274104049582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1294.7552161571111</v>
      </c>
      <c r="D175" s="465">
        <f>LN_IA16-LN_IE19</f>
        <v>2247.1815353076436</v>
      </c>
      <c r="E175" s="465">
        <f t="shared" si="18"/>
        <v>952.42631915053244</v>
      </c>
      <c r="F175" s="449">
        <f t="shared" si="19"/>
        <v>0.73560338453578467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11264.032916163684</v>
      </c>
      <c r="D176" s="441">
        <f>LN_IE21*LN_IE18</f>
        <v>9791.5730481108058</v>
      </c>
      <c r="E176" s="441">
        <f t="shared" si="18"/>
        <v>-1472.4598680528779</v>
      </c>
      <c r="F176" s="449">
        <f t="shared" si="19"/>
        <v>-0.13072226253351271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276219</v>
      </c>
      <c r="D179" s="448">
        <f>LN_IE1+LN_IE14</f>
        <v>423777</v>
      </c>
      <c r="E179" s="448">
        <f>D179-C179</f>
        <v>147558</v>
      </c>
      <c r="F179" s="449">
        <f>IF(C179=0,0,E179/C179)</f>
        <v>0.53420655349559587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96688</v>
      </c>
      <c r="D180" s="448">
        <f>LN_IE15+LN_IE2</f>
        <v>96581</v>
      </c>
      <c r="E180" s="448">
        <f>D180-C180</f>
        <v>-107</v>
      </c>
      <c r="F180" s="449">
        <f>IF(C180=0,0,E180/C180)</f>
        <v>-1.106652325004137E-3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179531</v>
      </c>
      <c r="D181" s="448">
        <f>LN_IE23-LN_IE24</f>
        <v>327196</v>
      </c>
      <c r="E181" s="448">
        <f>D181-C181</f>
        <v>147665</v>
      </c>
      <c r="F181" s="449">
        <f>IF(C181=0,0,E181/C181)</f>
        <v>0.82250419147668086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33604.331830589756</v>
      </c>
      <c r="D183" s="448">
        <f>LN_IE10+LN_IE22</f>
        <v>-8690.2395723415812</v>
      </c>
      <c r="E183" s="441">
        <f>D183-C183</f>
        <v>-42294.571402931339</v>
      </c>
      <c r="F183" s="449">
        <f>IF(C183=0,0,E183/C183)</f>
        <v>-1.2586047422740578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15874618</v>
      </c>
      <c r="D188" s="448">
        <f>LN_ID1+LN_IE1</f>
        <v>16161638</v>
      </c>
      <c r="E188" s="448">
        <f t="shared" ref="E188:E200" si="20">D188-C188</f>
        <v>287020</v>
      </c>
      <c r="F188" s="449">
        <f t="shared" ref="F188:F200" si="21">IF(C188=0,0,E188/C188)</f>
        <v>1.8080435069366709E-2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4694856</v>
      </c>
      <c r="D189" s="448">
        <f>LN_1D2+LN_IE2</f>
        <v>4816089</v>
      </c>
      <c r="E189" s="448">
        <f t="shared" si="20"/>
        <v>121233</v>
      </c>
      <c r="F189" s="449">
        <f t="shared" si="21"/>
        <v>2.5822517240145386E-2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0.29574607716544737</v>
      </c>
      <c r="D190" s="453">
        <f>IF(LN_IF1=0,0,LN_IF2/LN_IF1)</f>
        <v>0.29799510420911546</v>
      </c>
      <c r="E190" s="454">
        <f t="shared" si="20"/>
        <v>2.2490270436680837E-3</v>
      </c>
      <c r="F190" s="449">
        <f t="shared" si="21"/>
        <v>7.6045879127922449E-3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1183</v>
      </c>
      <c r="D191" s="456">
        <f>LN_ID4+LN_IE4</f>
        <v>1207</v>
      </c>
      <c r="E191" s="456">
        <f t="shared" si="20"/>
        <v>24</v>
      </c>
      <c r="F191" s="449">
        <f t="shared" si="21"/>
        <v>2.0287404902789519E-2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1.0128781910397295</v>
      </c>
      <c r="D192" s="459">
        <f>IF((LN_ID4+LN_IE4)=0,0,(LN_ID6+LN_IE6)/(LN_ID4+LN_IE4))</f>
        <v>0.95822816901408459</v>
      </c>
      <c r="E192" s="460">
        <f t="shared" si="20"/>
        <v>-5.4650022025644951E-2</v>
      </c>
      <c r="F192" s="449">
        <f t="shared" si="21"/>
        <v>-5.3955176949309333E-2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1198.2349000000002</v>
      </c>
      <c r="D193" s="463">
        <f>LN_IF4*LN_IF5</f>
        <v>1156.5814</v>
      </c>
      <c r="E193" s="463">
        <f t="shared" si="20"/>
        <v>-41.653500000000122</v>
      </c>
      <c r="F193" s="449">
        <f t="shared" si="21"/>
        <v>-3.4762382567892255E-2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3918.1432622267967</v>
      </c>
      <c r="D194" s="465">
        <f>IF(LN_IF6=0,0,LN_IF2/LN_IF6)</f>
        <v>4164.0726714090333</v>
      </c>
      <c r="E194" s="465">
        <f t="shared" si="20"/>
        <v>245.92940918223667</v>
      </c>
      <c r="F194" s="449">
        <f t="shared" si="21"/>
        <v>6.2766824162133292E-2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3548.3199947417088</v>
      </c>
      <c r="D195" s="465">
        <f>LN_IB7-LN_IF7</f>
        <v>3873.0268681698453</v>
      </c>
      <c r="E195" s="465">
        <f t="shared" si="20"/>
        <v>324.70687342813653</v>
      </c>
      <c r="F195" s="449">
        <f t="shared" si="21"/>
        <v>9.1510031200490075E-2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3431.8571409191372</v>
      </c>
      <c r="D196" s="465">
        <f>LN_IA7-LN_IF7</f>
        <v>3542.6023980001146</v>
      </c>
      <c r="E196" s="465">
        <f t="shared" si="20"/>
        <v>110.74525708097735</v>
      </c>
      <c r="F196" s="449">
        <f t="shared" si="21"/>
        <v>3.2269774799342898E-2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4112170.998063528</v>
      </c>
      <c r="D197" s="479">
        <f>LN_IF9*LN_IF6</f>
        <v>4097308.0411223299</v>
      </c>
      <c r="E197" s="479">
        <f t="shared" si="20"/>
        <v>-14862.956941198092</v>
      </c>
      <c r="F197" s="449">
        <f t="shared" si="21"/>
        <v>-3.6143820255036189E-3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4702</v>
      </c>
      <c r="D198" s="456">
        <f>LN_ID11+LN_IE11</f>
        <v>4526</v>
      </c>
      <c r="E198" s="456">
        <f t="shared" si="20"/>
        <v>-176</v>
      </c>
      <c r="F198" s="449">
        <f t="shared" si="21"/>
        <v>-3.7430880476393022E-2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998.48064653339009</v>
      </c>
      <c r="D199" s="519">
        <f>IF(LN_IF11=0,0,LN_IF2/LN_IF11)</f>
        <v>1064.0939019001326</v>
      </c>
      <c r="E199" s="519">
        <f t="shared" si="20"/>
        <v>65.613255366742465</v>
      </c>
      <c r="F199" s="449">
        <f t="shared" si="21"/>
        <v>6.5713096788149211E-2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3.9746407438715132</v>
      </c>
      <c r="D200" s="466">
        <f>IF(LN_IF4=0,0,LN_IF11/LN_IF4)</f>
        <v>3.7497928748964373</v>
      </c>
      <c r="E200" s="466">
        <f t="shared" si="20"/>
        <v>-0.22484786897507592</v>
      </c>
      <c r="F200" s="449">
        <f t="shared" si="21"/>
        <v>-5.657061441886746E-2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38230894</v>
      </c>
      <c r="D203" s="448">
        <f>LN_ID14+LN_IE14</f>
        <v>45038204</v>
      </c>
      <c r="E203" s="448">
        <f t="shared" ref="E203:E211" si="22">D203-C203</f>
        <v>6807310</v>
      </c>
      <c r="F203" s="449">
        <f t="shared" ref="F203:F211" si="23">IF(C203=0,0,E203/C203)</f>
        <v>0.17805782935654083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9445357</v>
      </c>
      <c r="D204" s="448">
        <f>LN_ID15+LN_IE15</f>
        <v>11168777</v>
      </c>
      <c r="E204" s="448">
        <f t="shared" si="22"/>
        <v>1723420</v>
      </c>
      <c r="F204" s="449">
        <f t="shared" si="23"/>
        <v>0.18246213457045615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0.24706084560826644</v>
      </c>
      <c r="D205" s="453">
        <f>IF(LN_IF14=0,0,LN_IF15/LN_IF14)</f>
        <v>0.24798451110528297</v>
      </c>
      <c r="E205" s="454">
        <f t="shared" si="22"/>
        <v>9.2366549701652922E-4</v>
      </c>
      <c r="F205" s="449">
        <f t="shared" si="23"/>
        <v>3.7386154602622478E-3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2.4083032423205397</v>
      </c>
      <c r="D206" s="453">
        <f>IF(LN_IF1=0,0,LN_IF14/LN_IF1)</f>
        <v>2.7867351069241866</v>
      </c>
      <c r="E206" s="454">
        <f t="shared" si="22"/>
        <v>0.37843186460364686</v>
      </c>
      <c r="F206" s="449">
        <f t="shared" si="23"/>
        <v>0.15713630158924913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2849.829407329089</v>
      </c>
      <c r="D207" s="463">
        <f>LN_ID18+LN_IE18</f>
        <v>3391.1017274188116</v>
      </c>
      <c r="E207" s="463">
        <f t="shared" si="22"/>
        <v>541.2723200897226</v>
      </c>
      <c r="F207" s="449">
        <f t="shared" si="23"/>
        <v>0.18993148105556701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3314.3587387051202</v>
      </c>
      <c r="D208" s="465">
        <f>IF(LN_IF18=0,0,LN_IF15/LN_IF18)</f>
        <v>3293.5541006318567</v>
      </c>
      <c r="E208" s="465">
        <f t="shared" si="22"/>
        <v>-20.804638073263504</v>
      </c>
      <c r="F208" s="449">
        <f t="shared" si="23"/>
        <v>-6.2771231823238374E-3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3454.61815109081</v>
      </c>
      <c r="D209" s="465">
        <f>LN_IB18-LN_IF19</f>
        <v>3334.2947291520245</v>
      </c>
      <c r="E209" s="465">
        <f t="shared" si="22"/>
        <v>-120.32342193878549</v>
      </c>
      <c r="F209" s="449">
        <f t="shared" si="23"/>
        <v>-3.482973129773919E-2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3458.9514117088502</v>
      </c>
      <c r="D210" s="465">
        <f>LN_IA16-LN_IF19</f>
        <v>3256.0936508207592</v>
      </c>
      <c r="E210" s="465">
        <f t="shared" si="22"/>
        <v>-202.85776088809098</v>
      </c>
      <c r="F210" s="449">
        <f t="shared" si="23"/>
        <v>-5.8647184288683527E-2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9857421.4516103491</v>
      </c>
      <c r="D211" s="441">
        <f>LN_IF21*LN_IF18</f>
        <v>11041744.803935701</v>
      </c>
      <c r="E211" s="441">
        <f t="shared" si="22"/>
        <v>1184323.3523253519</v>
      </c>
      <c r="F211" s="449">
        <f t="shared" si="23"/>
        <v>0.1201453501951949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54105512</v>
      </c>
      <c r="D214" s="448">
        <f>LN_IF1+LN_IF14</f>
        <v>61199842</v>
      </c>
      <c r="E214" s="448">
        <f>D214-C214</f>
        <v>7094330</v>
      </c>
      <c r="F214" s="449">
        <f>IF(C214=0,0,E214/C214)</f>
        <v>0.13112028216274896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14140213</v>
      </c>
      <c r="D215" s="448">
        <f>LN_IF2+LN_IF15</f>
        <v>15984866</v>
      </c>
      <c r="E215" s="448">
        <f>D215-C215</f>
        <v>1844653</v>
      </c>
      <c r="F215" s="449">
        <f>IF(C215=0,0,E215/C215)</f>
        <v>0.13045439980288839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39965299</v>
      </c>
      <c r="D216" s="448">
        <f>LN_IF23-LN_IF24</f>
        <v>45214976</v>
      </c>
      <c r="E216" s="448">
        <f>D216-C216</f>
        <v>5249677</v>
      </c>
      <c r="F216" s="449">
        <f>IF(C216=0,0,E216/C216)</f>
        <v>0.13135587950937136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434960</v>
      </c>
      <c r="D221" s="448">
        <v>435255</v>
      </c>
      <c r="E221" s="448">
        <f t="shared" ref="E221:E230" si="24">D221-C221</f>
        <v>295</v>
      </c>
      <c r="F221" s="449">
        <f t="shared" ref="F221:F230" si="25">IF(C221=0,0,E221/C221)</f>
        <v>6.7822328489976094E-4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247000</v>
      </c>
      <c r="D222" s="448">
        <v>285025</v>
      </c>
      <c r="E222" s="448">
        <f t="shared" si="24"/>
        <v>38025</v>
      </c>
      <c r="F222" s="449">
        <f t="shared" si="25"/>
        <v>0.15394736842105264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0.56786830972963032</v>
      </c>
      <c r="D223" s="453">
        <f>IF(LN_IG1=0,0,LN_IG2/LN_IG1)</f>
        <v>0.65484600981034102</v>
      </c>
      <c r="E223" s="454">
        <f t="shared" si="24"/>
        <v>8.6977700080710707E-2</v>
      </c>
      <c r="F223" s="449">
        <f t="shared" si="25"/>
        <v>0.15316526488706853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39</v>
      </c>
      <c r="D224" s="456">
        <v>30</v>
      </c>
      <c r="E224" s="456">
        <f t="shared" si="24"/>
        <v>-9</v>
      </c>
      <c r="F224" s="449">
        <f t="shared" si="25"/>
        <v>-0.23076923076923078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0.95299999999999996</v>
      </c>
      <c r="D225" s="459">
        <v>1.0337000000000001</v>
      </c>
      <c r="E225" s="460">
        <f t="shared" si="24"/>
        <v>8.0700000000000105E-2</v>
      </c>
      <c r="F225" s="449">
        <f t="shared" si="25"/>
        <v>8.4679958027282384E-2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37.167000000000002</v>
      </c>
      <c r="D226" s="463">
        <f>LN_IG3*LN_IG4</f>
        <v>31.011000000000003</v>
      </c>
      <c r="E226" s="463">
        <f t="shared" si="24"/>
        <v>-6.1559999999999988</v>
      </c>
      <c r="F226" s="449">
        <f t="shared" si="25"/>
        <v>-0.16563080151747514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6645.6803077999293</v>
      </c>
      <c r="D227" s="465">
        <f>IF(LN_IG5=0,0,LN_IG2/LN_IG5)</f>
        <v>9191.0934829576599</v>
      </c>
      <c r="E227" s="465">
        <f t="shared" si="24"/>
        <v>2545.4131751577306</v>
      </c>
      <c r="F227" s="449">
        <f t="shared" si="25"/>
        <v>0.38301769830399751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133</v>
      </c>
      <c r="D228" s="456">
        <v>119</v>
      </c>
      <c r="E228" s="456">
        <f t="shared" si="24"/>
        <v>-14</v>
      </c>
      <c r="F228" s="449">
        <f t="shared" si="25"/>
        <v>-0.10526315789473684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1857.1428571428571</v>
      </c>
      <c r="D229" s="465">
        <f>IF(LN_IG6=0,0,LN_IG2/LN_IG6)</f>
        <v>2395.1680672268908</v>
      </c>
      <c r="E229" s="465">
        <f t="shared" si="24"/>
        <v>538.02521008403369</v>
      </c>
      <c r="F229" s="449">
        <f t="shared" si="25"/>
        <v>0.2897058823529412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3.4102564102564101</v>
      </c>
      <c r="D230" s="466">
        <f>IF(LN_IG3=0,0,LN_IG6/LN_IG3)</f>
        <v>3.9666666666666668</v>
      </c>
      <c r="E230" s="466">
        <f t="shared" si="24"/>
        <v>0.55641025641025665</v>
      </c>
      <c r="F230" s="449">
        <f t="shared" si="25"/>
        <v>0.1631578947368422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708431</v>
      </c>
      <c r="D233" s="448">
        <v>584223</v>
      </c>
      <c r="E233" s="448">
        <f>D233-C233</f>
        <v>-124208</v>
      </c>
      <c r="F233" s="449">
        <f>IF(C233=0,0,E233/C233)</f>
        <v>-0.17532829591025803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242948</v>
      </c>
      <c r="D234" s="448">
        <v>232518</v>
      </c>
      <c r="E234" s="448">
        <f>D234-C234</f>
        <v>-10430</v>
      </c>
      <c r="F234" s="449">
        <f>IF(C234=0,0,E234/C234)</f>
        <v>-4.2930997579728992E-2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1143391</v>
      </c>
      <c r="D237" s="448">
        <f>LN_IG1+LN_IG9</f>
        <v>1019478</v>
      </c>
      <c r="E237" s="448">
        <f>D237-C237</f>
        <v>-123913</v>
      </c>
      <c r="F237" s="449">
        <f>IF(C237=0,0,E237/C237)</f>
        <v>-0.10837325114505886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489948</v>
      </c>
      <c r="D238" s="448">
        <f>LN_IG2+LN_IG10</f>
        <v>517543</v>
      </c>
      <c r="E238" s="448">
        <f>D238-C238</f>
        <v>27595</v>
      </c>
      <c r="F238" s="449">
        <f>IF(C238=0,0,E238/C238)</f>
        <v>5.6322303591401536E-2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653443</v>
      </c>
      <c r="D239" s="448">
        <f>LN_IG13-LN_IG14</f>
        <v>501935</v>
      </c>
      <c r="E239" s="448">
        <f>D239-C239</f>
        <v>-151508</v>
      </c>
      <c r="F239" s="449">
        <f>IF(C239=0,0,E239/C239)</f>
        <v>-0.23186108046149395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7533927</v>
      </c>
      <c r="D243" s="448">
        <v>6810203</v>
      </c>
      <c r="E243" s="441">
        <f>D243-C243</f>
        <v>-723724</v>
      </c>
      <c r="F243" s="503">
        <f>IF(C243=0,0,E243/C243)</f>
        <v>-9.6061987327458839E-2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121998831</v>
      </c>
      <c r="D244" s="448">
        <v>121979251</v>
      </c>
      <c r="E244" s="441">
        <f>D244-C244</f>
        <v>-19580</v>
      </c>
      <c r="F244" s="503">
        <f>IF(C244=0,0,E244/C244)</f>
        <v>-1.6049334112062106E-4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2935378</v>
      </c>
      <c r="D248" s="441">
        <v>1613966</v>
      </c>
      <c r="E248" s="441">
        <f>D248-C248</f>
        <v>-1321412</v>
      </c>
      <c r="F248" s="449">
        <f>IF(C248=0,0,E248/C248)</f>
        <v>-0.45016757637346877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2699503</v>
      </c>
      <c r="D249" s="441">
        <v>2393914</v>
      </c>
      <c r="E249" s="441">
        <f>D249-C249</f>
        <v>-305589</v>
      </c>
      <c r="F249" s="449">
        <f>IF(C249=0,0,E249/C249)</f>
        <v>-0.11320194865499315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5634881</v>
      </c>
      <c r="D250" s="441">
        <f>LN_IH4+LN_IH5</f>
        <v>4007880</v>
      </c>
      <c r="E250" s="441">
        <f>D250-C250</f>
        <v>-1627001</v>
      </c>
      <c r="F250" s="449">
        <f>IF(C250=0,0,E250/C250)</f>
        <v>-0.28873741965447008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2435857.2224224932</v>
      </c>
      <c r="D251" s="441">
        <f>LN_IH6*LN_III10</f>
        <v>1649523.376058999</v>
      </c>
      <c r="E251" s="441">
        <f>D251-C251</f>
        <v>-786333.84636349417</v>
      </c>
      <c r="F251" s="449">
        <f>IF(C251=0,0,E251/C251)</f>
        <v>-0.32281606619844266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54105512</v>
      </c>
      <c r="D254" s="441">
        <f>LN_IF23</f>
        <v>61199842</v>
      </c>
      <c r="E254" s="441">
        <f>D254-C254</f>
        <v>7094330</v>
      </c>
      <c r="F254" s="449">
        <f>IF(C254=0,0,E254/C254)</f>
        <v>0.13112028216274896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14140213</v>
      </c>
      <c r="D255" s="441">
        <f>LN_IF24</f>
        <v>15984866</v>
      </c>
      <c r="E255" s="441">
        <f>D255-C255</f>
        <v>1844653</v>
      </c>
      <c r="F255" s="449">
        <f>IF(C255=0,0,E255/C255)</f>
        <v>0.13045439980288839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23388835.039829034</v>
      </c>
      <c r="D256" s="441">
        <f>LN_IH8*LN_III10</f>
        <v>25188022.094004139</v>
      </c>
      <c r="E256" s="441">
        <f>D256-C256</f>
        <v>1799187.0541751049</v>
      </c>
      <c r="F256" s="449">
        <f>IF(C256=0,0,E256/C256)</f>
        <v>7.6925039280975507E-2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9248622.0398290344</v>
      </c>
      <c r="D257" s="441">
        <f>LN_IH10-LN_IH9</f>
        <v>9203156.0940041393</v>
      </c>
      <c r="E257" s="441">
        <f>D257-C257</f>
        <v>-45465.945824895054</v>
      </c>
      <c r="F257" s="449">
        <f>IF(C257=0,0,E257/C257)</f>
        <v>-4.9159697119307861E-3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100430007</v>
      </c>
      <c r="D261" s="448">
        <f>LN_IA1+LN_IB1+LN_IF1+LN_IG1</f>
        <v>106415245</v>
      </c>
      <c r="E261" s="448">
        <f t="shared" ref="E261:E274" si="26">D261-C261</f>
        <v>5985238</v>
      </c>
      <c r="F261" s="503">
        <f t="shared" ref="F261:F274" si="27">IF(C261=0,0,E261/C261)</f>
        <v>5.9596112544331496E-2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52241965</v>
      </c>
      <c r="D262" s="448">
        <f>+LN_IA2+LN_IB2+LN_IF2+LN_IG2</f>
        <v>54002694</v>
      </c>
      <c r="E262" s="448">
        <f t="shared" si="26"/>
        <v>1760729</v>
      </c>
      <c r="F262" s="503">
        <f t="shared" si="27"/>
        <v>3.3703345576683419E-2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0.52018282742925626</v>
      </c>
      <c r="D263" s="453">
        <f>IF(LN_IIA1=0,0,LN_IIA2/LN_IIA1)</f>
        <v>0.50747140600014595</v>
      </c>
      <c r="E263" s="454">
        <f t="shared" si="26"/>
        <v>-1.2711421429110303E-2</v>
      </c>
      <c r="F263" s="458">
        <f t="shared" si="27"/>
        <v>-2.4436449568952811E-2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6106</v>
      </c>
      <c r="D264" s="456">
        <f>LN_IA4+LN_IB4+LN_IF4+LN_IG3</f>
        <v>6030</v>
      </c>
      <c r="E264" s="456">
        <f t="shared" si="26"/>
        <v>-76</v>
      </c>
      <c r="F264" s="503">
        <f t="shared" si="27"/>
        <v>-1.2446773665247298E-2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1.2515540288241074</v>
      </c>
      <c r="D265" s="525">
        <f>IF(LN_IIA4=0,0,LN_IIA6/LN_IIA4)</f>
        <v>1.2381721558872305</v>
      </c>
      <c r="E265" s="525">
        <f t="shared" si="26"/>
        <v>-1.3381872936876871E-2</v>
      </c>
      <c r="F265" s="503">
        <f t="shared" si="27"/>
        <v>-1.0692205553003377E-2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7641.9889000000003</v>
      </c>
      <c r="D266" s="463">
        <f>LN_IA6+LN_IB6+LN_IF6+LN_IG5</f>
        <v>7466.1781000000001</v>
      </c>
      <c r="E266" s="463">
        <f t="shared" si="26"/>
        <v>-175.8108000000002</v>
      </c>
      <c r="F266" s="503">
        <f t="shared" si="27"/>
        <v>-2.3005895755750207E-2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167608154</v>
      </c>
      <c r="D267" s="448">
        <f>LN_IA11+LN_IB13+LN_IF14+LN_IG9</f>
        <v>178904828</v>
      </c>
      <c r="E267" s="448">
        <f t="shared" si="26"/>
        <v>11296674</v>
      </c>
      <c r="F267" s="503">
        <f t="shared" si="27"/>
        <v>6.7399310417797453E-2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1.6689051311128555</v>
      </c>
      <c r="D268" s="453">
        <f>IF(LN_IIA1=0,0,LN_IIA7/LN_IIA1)</f>
        <v>1.6811954715698865</v>
      </c>
      <c r="E268" s="454">
        <f t="shared" si="26"/>
        <v>1.2290340457030924E-2</v>
      </c>
      <c r="F268" s="458">
        <f t="shared" si="27"/>
        <v>7.3643134219591663E-3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63626089</v>
      </c>
      <c r="D269" s="448">
        <f>LN_IA12+LN_IB14+LN_IF15+LN_IG10</f>
        <v>63426503</v>
      </c>
      <c r="E269" s="448">
        <f t="shared" si="26"/>
        <v>-199586</v>
      </c>
      <c r="F269" s="503">
        <f t="shared" si="27"/>
        <v>-3.1368579011669252E-3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0.37961213390608667</v>
      </c>
      <c r="D270" s="453">
        <f>IF(LN_IIA7=0,0,LN_IIA9/LN_IIA7)</f>
        <v>0.354526502772748</v>
      </c>
      <c r="E270" s="454">
        <f t="shared" si="26"/>
        <v>-2.5085631133338671E-2</v>
      </c>
      <c r="F270" s="458">
        <f t="shared" si="27"/>
        <v>-6.6082268960203139E-2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268038161</v>
      </c>
      <c r="D271" s="441">
        <f>LN_IIA1+LN_IIA7</f>
        <v>285320073</v>
      </c>
      <c r="E271" s="441">
        <f t="shared" si="26"/>
        <v>17281912</v>
      </c>
      <c r="F271" s="503">
        <f t="shared" si="27"/>
        <v>6.4475565477409763E-2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115868054</v>
      </c>
      <c r="D272" s="441">
        <f>LN_IIA2+LN_IIA9</f>
        <v>117429197</v>
      </c>
      <c r="E272" s="441">
        <f t="shared" si="26"/>
        <v>1561143</v>
      </c>
      <c r="F272" s="503">
        <f t="shared" si="27"/>
        <v>1.3473454900692471E-2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0.43228193167613921</v>
      </c>
      <c r="D273" s="453">
        <f>IF(LN_IIA11=0,0,LN_IIA12/LN_IIA11)</f>
        <v>0.41157005101425165</v>
      </c>
      <c r="E273" s="454">
        <f t="shared" si="26"/>
        <v>-2.0711880661887561E-2</v>
      </c>
      <c r="F273" s="458">
        <f t="shared" si="27"/>
        <v>-4.7912899300645927E-2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25604</v>
      </c>
      <c r="D274" s="508">
        <f>LN_IA8+LN_IB10+LN_IF11+LN_IG6</f>
        <v>26064</v>
      </c>
      <c r="E274" s="528">
        <f t="shared" si="26"/>
        <v>460</v>
      </c>
      <c r="F274" s="458">
        <f t="shared" si="27"/>
        <v>1.7965942821434152E-2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77872767</v>
      </c>
      <c r="D277" s="448">
        <f>LN_IA1+LN_IF1+LN_IG1</f>
        <v>86168561</v>
      </c>
      <c r="E277" s="448">
        <f t="shared" ref="E277:E291" si="28">D277-C277</f>
        <v>8295794</v>
      </c>
      <c r="F277" s="503">
        <f t="shared" ref="F277:F291" si="29">IF(C277=0,0,E277/C277)</f>
        <v>0.10653010442020122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38670339</v>
      </c>
      <c r="D278" s="448">
        <f>LN_IA2+LN_IF2+LN_IG2</f>
        <v>41486760</v>
      </c>
      <c r="E278" s="448">
        <f t="shared" si="28"/>
        <v>2816421</v>
      </c>
      <c r="F278" s="503">
        <f t="shared" si="29"/>
        <v>7.2831557023588539E-2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0.49658360027196669</v>
      </c>
      <c r="D279" s="453">
        <f>IF(D277=0,0,LN_IIB2/D277)</f>
        <v>0.4814605178331805</v>
      </c>
      <c r="E279" s="454">
        <f t="shared" si="28"/>
        <v>-1.5123082438786184E-2</v>
      </c>
      <c r="F279" s="458">
        <f t="shared" si="29"/>
        <v>-3.0454252678710377E-2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4521</v>
      </c>
      <c r="D280" s="456">
        <f>LN_IA4+LN_IF4+LN_IG3</f>
        <v>4600</v>
      </c>
      <c r="E280" s="456">
        <f t="shared" si="28"/>
        <v>79</v>
      </c>
      <c r="F280" s="503">
        <f t="shared" si="29"/>
        <v>1.7474010174740102E-2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1.2882793408537936</v>
      </c>
      <c r="D281" s="525">
        <f>IF(LN_IIB4=0,0,LN_IIB6/LN_IIB4)</f>
        <v>1.2845452391304348</v>
      </c>
      <c r="E281" s="525">
        <f t="shared" si="28"/>
        <v>-3.7341017233587515E-3</v>
      </c>
      <c r="F281" s="503">
        <f t="shared" si="29"/>
        <v>-2.8985186713341338E-3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5824.3109000000004</v>
      </c>
      <c r="D282" s="463">
        <f>LN_IA6+LN_IF6+LN_IG5</f>
        <v>5908.9081000000006</v>
      </c>
      <c r="E282" s="463">
        <f t="shared" si="28"/>
        <v>84.597200000000157</v>
      </c>
      <c r="F282" s="503">
        <f t="shared" si="29"/>
        <v>1.4524842758651527E-2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103383723</v>
      </c>
      <c r="D283" s="448">
        <f>LN_IA11+LN_IF14+LN_IG9</f>
        <v>114041454</v>
      </c>
      <c r="E283" s="448">
        <f t="shared" si="28"/>
        <v>10657731</v>
      </c>
      <c r="F283" s="503">
        <f t="shared" si="29"/>
        <v>0.10308906170848578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1.327597913658314</v>
      </c>
      <c r="D284" s="453">
        <f>IF(D277=0,0,LN_IIB7/D277)</f>
        <v>1.323469403185229</v>
      </c>
      <c r="E284" s="454">
        <f t="shared" si="28"/>
        <v>-4.1285104730850453E-3</v>
      </c>
      <c r="F284" s="458">
        <f t="shared" si="29"/>
        <v>-3.1097596874859255E-3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33079227</v>
      </c>
      <c r="D285" s="448">
        <f>LN_IA12+LN_IF15+LN_IG10</f>
        <v>33062833</v>
      </c>
      <c r="E285" s="448">
        <f t="shared" si="28"/>
        <v>-16394</v>
      </c>
      <c r="F285" s="503">
        <f t="shared" si="29"/>
        <v>-4.9559803800735733E-4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0.31996552300597647</v>
      </c>
      <c r="D286" s="453">
        <f>IF(LN_IIB7=0,0,LN_IIB9/LN_IIB7)</f>
        <v>0.28991942701817885</v>
      </c>
      <c r="E286" s="454">
        <f t="shared" si="28"/>
        <v>-3.0046095987797616E-2</v>
      </c>
      <c r="F286" s="458">
        <f t="shared" si="29"/>
        <v>-9.3904167253783782E-2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181256490</v>
      </c>
      <c r="D287" s="441">
        <f>D277+LN_IIB7</f>
        <v>200210015</v>
      </c>
      <c r="E287" s="441">
        <f t="shared" si="28"/>
        <v>18953525</v>
      </c>
      <c r="F287" s="503">
        <f t="shared" si="29"/>
        <v>0.10456742817870963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71749566</v>
      </c>
      <c r="D288" s="441">
        <f>LN_IIB2+LN_IIB9</f>
        <v>74549593</v>
      </c>
      <c r="E288" s="441">
        <f t="shared" si="28"/>
        <v>2800027</v>
      </c>
      <c r="F288" s="503">
        <f t="shared" si="29"/>
        <v>3.9025002604196939E-2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0.39584550048387235</v>
      </c>
      <c r="D289" s="453">
        <f>IF(LN_IIB11=0,0,LN_IIB12/LN_IIB11)</f>
        <v>0.37235696226285181</v>
      </c>
      <c r="E289" s="454">
        <f t="shared" si="28"/>
        <v>-2.3488538221020538E-2</v>
      </c>
      <c r="F289" s="458">
        <f t="shared" si="29"/>
        <v>-5.9337641055181113E-2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20105</v>
      </c>
      <c r="D290" s="508">
        <f>LN_IA8+LN_IF11+LN_IG6</f>
        <v>21206</v>
      </c>
      <c r="E290" s="528">
        <f t="shared" si="28"/>
        <v>1101</v>
      </c>
      <c r="F290" s="458">
        <f t="shared" si="29"/>
        <v>5.4762496891320567E-2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109506924</v>
      </c>
      <c r="D291" s="516">
        <f>LN_IIB11-LN_IIB12</f>
        <v>125660422</v>
      </c>
      <c r="E291" s="441">
        <f t="shared" si="28"/>
        <v>16153498</v>
      </c>
      <c r="F291" s="503">
        <f t="shared" si="29"/>
        <v>0.1475112021227078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4.6286753561685359</v>
      </c>
      <c r="D294" s="466">
        <f>IF(LN_IA4=0,0,LN_IA8/LN_IA4)</f>
        <v>4.9244721974427597</v>
      </c>
      <c r="E294" s="466">
        <f t="shared" ref="E294:E300" si="30">D294-C294</f>
        <v>0.29579684127422379</v>
      </c>
      <c r="F294" s="503">
        <f t="shared" ref="F294:F300" si="31">IF(C294=0,0,E294/C294)</f>
        <v>6.3905290069657131E-2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3.4694006309148264</v>
      </c>
      <c r="D295" s="466">
        <f>IF(LN_IB4=0,0,(LN_IB10)/(LN_IB4))</f>
        <v>3.3972027972027972</v>
      </c>
      <c r="E295" s="466">
        <f t="shared" si="30"/>
        <v>-7.2197833712029258E-2</v>
      </c>
      <c r="F295" s="503">
        <f t="shared" si="31"/>
        <v>-2.0809886603667279E-2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4.4744525547445253</v>
      </c>
      <c r="D296" s="466">
        <f>IF(LN_IC4=0,0,LN_IC11/LN_IC4)</f>
        <v>3.8627450980392157</v>
      </c>
      <c r="E296" s="466">
        <f t="shared" si="30"/>
        <v>-0.61170745670530957</v>
      </c>
      <c r="F296" s="503">
        <f t="shared" si="31"/>
        <v>-0.13671112817068093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3.9778156996587031</v>
      </c>
      <c r="D297" s="466">
        <f>IF(LN_ID4=0,0,LN_ID11/LN_ID4)</f>
        <v>3.7291666666666665</v>
      </c>
      <c r="E297" s="466">
        <f t="shared" si="30"/>
        <v>-0.24864903299203656</v>
      </c>
      <c r="F297" s="503">
        <f t="shared" si="31"/>
        <v>-6.2508937508937545E-2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3.6363636363636362</v>
      </c>
      <c r="D298" s="466">
        <f>IF(LN_IE4=0,0,LN_IE11/LN_IE4)</f>
        <v>7.2857142857142856</v>
      </c>
      <c r="E298" s="466">
        <f t="shared" si="30"/>
        <v>3.6493506493506493</v>
      </c>
      <c r="F298" s="503">
        <f t="shared" si="31"/>
        <v>1.0035714285714286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3.4102564102564101</v>
      </c>
      <c r="D299" s="466">
        <f>IF(LN_IG3=0,0,LN_IG6/LN_IG3)</f>
        <v>3.9666666666666668</v>
      </c>
      <c r="E299" s="466">
        <f t="shared" si="30"/>
        <v>0.55641025641025665</v>
      </c>
      <c r="F299" s="503">
        <f t="shared" si="31"/>
        <v>0.1631578947368422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4.1932525384867345</v>
      </c>
      <c r="D300" s="466">
        <f>IF(LN_IIA4=0,0,LN_IIA14/LN_IIA4)</f>
        <v>4.3223880597014928</v>
      </c>
      <c r="E300" s="466">
        <f t="shared" si="30"/>
        <v>0.12913552121475824</v>
      </c>
      <c r="F300" s="503">
        <f t="shared" si="31"/>
        <v>3.0796027672914929E-2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268038161</v>
      </c>
      <c r="D304" s="441">
        <f>LN_IIA11</f>
        <v>285320073</v>
      </c>
      <c r="E304" s="441">
        <f t="shared" ref="E304:E316" si="32">D304-C304</f>
        <v>17281912</v>
      </c>
      <c r="F304" s="449">
        <f>IF(C304=0,0,E304/C304)</f>
        <v>6.4475565477409763E-2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109506924</v>
      </c>
      <c r="D305" s="441">
        <f>LN_IIB14</f>
        <v>125660422</v>
      </c>
      <c r="E305" s="441">
        <f t="shared" si="32"/>
        <v>16153498</v>
      </c>
      <c r="F305" s="449">
        <f>IF(C305=0,0,E305/C305)</f>
        <v>0.1475112021227078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5634881</v>
      </c>
      <c r="D306" s="441">
        <f>LN_IH6</f>
        <v>4007880</v>
      </c>
      <c r="E306" s="441">
        <f t="shared" si="32"/>
        <v>-1627001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37028303</v>
      </c>
      <c r="D307" s="441">
        <f>LN_IB32-LN_IB33</f>
        <v>38222574</v>
      </c>
      <c r="E307" s="441">
        <f t="shared" si="32"/>
        <v>1194271</v>
      </c>
      <c r="F307" s="449">
        <f t="shared" ref="F307:F316" si="33">IF(C307=0,0,E307/C307)</f>
        <v>3.2252922852014039E-2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152170108</v>
      </c>
      <c r="D309" s="441">
        <f>LN_III2+LN_III3+LN_III4+LN_III5</f>
        <v>167890876</v>
      </c>
      <c r="E309" s="441">
        <f t="shared" si="32"/>
        <v>15720768</v>
      </c>
      <c r="F309" s="449">
        <f t="shared" si="33"/>
        <v>0.10331048723445738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115868053</v>
      </c>
      <c r="D310" s="441">
        <f>LN_III1-LN_III6</f>
        <v>117429197</v>
      </c>
      <c r="E310" s="441">
        <f t="shared" si="32"/>
        <v>1561144</v>
      </c>
      <c r="F310" s="449">
        <f t="shared" si="33"/>
        <v>1.3473463647481847E-2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115868053</v>
      </c>
      <c r="D312" s="441">
        <f>LN_III7+LN_III8</f>
        <v>117429197</v>
      </c>
      <c r="E312" s="441">
        <f t="shared" si="32"/>
        <v>1561144</v>
      </c>
      <c r="F312" s="449">
        <f t="shared" si="33"/>
        <v>1.3473463647481847E-2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0.43228192794532716</v>
      </c>
      <c r="D313" s="532">
        <f>IF(LN_III1=0,0,LN_III9/LN_III1)</f>
        <v>0.41157005101425165</v>
      </c>
      <c r="E313" s="532">
        <f t="shared" si="32"/>
        <v>-2.0711876931075512E-2</v>
      </c>
      <c r="F313" s="449">
        <f t="shared" si="33"/>
        <v>-4.7912891083651883E-2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2435857.2224224932</v>
      </c>
      <c r="D314" s="441">
        <f>D313*LN_III5</f>
        <v>1649523.376058999</v>
      </c>
      <c r="E314" s="441">
        <f t="shared" si="32"/>
        <v>-786333.84636349417</v>
      </c>
      <c r="F314" s="449">
        <f t="shared" si="33"/>
        <v>-0.32281606619844266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9248622.0398290344</v>
      </c>
      <c r="D315" s="441">
        <f>D313*LN_IH8-LN_IH9</f>
        <v>9203156.0940041393</v>
      </c>
      <c r="E315" s="441">
        <f t="shared" si="32"/>
        <v>-45465.945824895054</v>
      </c>
      <c r="F315" s="449">
        <f t="shared" si="33"/>
        <v>-4.9159697119307861E-3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11684479.262251528</v>
      </c>
      <c r="D318" s="441">
        <f>D314+D315+D316</f>
        <v>10852679.470063139</v>
      </c>
      <c r="E318" s="441">
        <f>D318-C318</f>
        <v>-831799.79218838923</v>
      </c>
      <c r="F318" s="449">
        <f>IF(C318=0,0,E318/C318)</f>
        <v>-7.1188434975929471E-2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9846157.4186941851</v>
      </c>
      <c r="D322" s="441">
        <f>LN_ID22</f>
        <v>11031953.23088759</v>
      </c>
      <c r="E322" s="441">
        <f>LN_IV2-C322</f>
        <v>1185795.8121934049</v>
      </c>
      <c r="F322" s="449">
        <f>IF(C322=0,0,E322/C322)</f>
        <v>0.12043234347868746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33604.331830589756</v>
      </c>
      <c r="D323" s="441">
        <f>LN_IE10+LN_IE22</f>
        <v>-8690.2395723415812</v>
      </c>
      <c r="E323" s="441">
        <f>LN_IV3-C323</f>
        <v>-42294.571402931339</v>
      </c>
      <c r="F323" s="449">
        <f>IF(C323=0,0,E323/C323)</f>
        <v>-1.2586047422740578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2416046.2855512677</v>
      </c>
      <c r="D324" s="441">
        <f>LN_IC10+LN_IC22</f>
        <v>3511203.8840490757</v>
      </c>
      <c r="E324" s="441">
        <f>LN_IV1-C324</f>
        <v>1095157.598497808</v>
      </c>
      <c r="F324" s="449">
        <f>IF(C324=0,0,E324/C324)</f>
        <v>0.45328502398617193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12295808.036076041</v>
      </c>
      <c r="D325" s="516">
        <f>LN_IV1+LN_IV2+LN_IV3</f>
        <v>14534466.875364322</v>
      </c>
      <c r="E325" s="441">
        <f>LN_IV4-C325</f>
        <v>2238658.8392882813</v>
      </c>
      <c r="F325" s="449">
        <f>IF(C325=0,0,E325/C325)</f>
        <v>0.18206683389330988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-1245995</v>
      </c>
      <c r="D330" s="516">
        <v>-3693469</v>
      </c>
      <c r="E330" s="518">
        <f t="shared" si="34"/>
        <v>-2447474</v>
      </c>
      <c r="F330" s="543">
        <f t="shared" si="35"/>
        <v>1.9642727298263636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114622050</v>
      </c>
      <c r="D331" s="516">
        <v>113735732</v>
      </c>
      <c r="E331" s="518">
        <f t="shared" si="34"/>
        <v>-886318</v>
      </c>
      <c r="F331" s="542">
        <f t="shared" si="35"/>
        <v>-7.7325261587975437E-3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-2935378</v>
      </c>
      <c r="D332" s="516">
        <v>-1613966</v>
      </c>
      <c r="E332" s="518">
        <f t="shared" si="34"/>
        <v>1321412</v>
      </c>
      <c r="F332" s="543">
        <f t="shared" si="35"/>
        <v>-0.45016757637346877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265102773</v>
      </c>
      <c r="D333" s="516">
        <v>283706107</v>
      </c>
      <c r="E333" s="518">
        <f t="shared" si="34"/>
        <v>18603334</v>
      </c>
      <c r="F333" s="542">
        <f t="shared" si="35"/>
        <v>7.0174045293747267E-2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5634881</v>
      </c>
      <c r="D335" s="516">
        <v>4007880</v>
      </c>
      <c r="E335" s="516">
        <f t="shared" si="34"/>
        <v>-1627001</v>
      </c>
      <c r="F335" s="542">
        <f t="shared" si="35"/>
        <v>-0.28873741965447008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1" orientation="portrait" horizontalDpi="1200" verticalDpi="1200" r:id="rId1"/>
  <headerFooter>
    <oddHeader>&amp;LOFFICE OF HEALTH CARE ACCESS&amp;CTWELVE MONTHS ACTUAL FILING&amp;RCHARLOTTE HUNGERFORD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0"/>
  <sheetViews>
    <sheetView zoomScale="75" zoomScaleNormal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22557240</v>
      </c>
      <c r="D14" s="589">
        <v>20246684</v>
      </c>
      <c r="E14" s="590">
        <f t="shared" ref="E14:E22" si="0">D14-C14</f>
        <v>-2310556</v>
      </c>
    </row>
    <row r="15" spans="1:5" s="421" customFormat="1" x14ac:dyDescent="0.2">
      <c r="A15" s="588">
        <v>2</v>
      </c>
      <c r="B15" s="587" t="s">
        <v>636</v>
      </c>
      <c r="C15" s="589">
        <v>61563189</v>
      </c>
      <c r="D15" s="591">
        <v>69571668</v>
      </c>
      <c r="E15" s="590">
        <f t="shared" si="0"/>
        <v>8008479</v>
      </c>
    </row>
    <row r="16" spans="1:5" s="421" customFormat="1" x14ac:dyDescent="0.2">
      <c r="A16" s="588">
        <v>3</v>
      </c>
      <c r="B16" s="587" t="s">
        <v>778</v>
      </c>
      <c r="C16" s="589">
        <v>15874618</v>
      </c>
      <c r="D16" s="591">
        <v>16161638</v>
      </c>
      <c r="E16" s="590">
        <f t="shared" si="0"/>
        <v>287020</v>
      </c>
    </row>
    <row r="17" spans="1:5" s="421" customFormat="1" x14ac:dyDescent="0.2">
      <c r="A17" s="588">
        <v>4</v>
      </c>
      <c r="B17" s="587" t="s">
        <v>115</v>
      </c>
      <c r="C17" s="589">
        <v>15720382</v>
      </c>
      <c r="D17" s="591">
        <v>15900445</v>
      </c>
      <c r="E17" s="590">
        <f t="shared" si="0"/>
        <v>180063</v>
      </c>
    </row>
    <row r="18" spans="1:5" s="421" customFormat="1" x14ac:dyDescent="0.2">
      <c r="A18" s="588">
        <v>5</v>
      </c>
      <c r="B18" s="587" t="s">
        <v>744</v>
      </c>
      <c r="C18" s="589">
        <v>154236</v>
      </c>
      <c r="D18" s="591">
        <v>261193</v>
      </c>
      <c r="E18" s="590">
        <f t="shared" si="0"/>
        <v>106957</v>
      </c>
    </row>
    <row r="19" spans="1:5" s="421" customFormat="1" x14ac:dyDescent="0.2">
      <c r="A19" s="588">
        <v>6</v>
      </c>
      <c r="B19" s="587" t="s">
        <v>424</v>
      </c>
      <c r="C19" s="589">
        <v>434960</v>
      </c>
      <c r="D19" s="591">
        <v>435255</v>
      </c>
      <c r="E19" s="590">
        <f t="shared" si="0"/>
        <v>295</v>
      </c>
    </row>
    <row r="20" spans="1:5" s="421" customFormat="1" x14ac:dyDescent="0.2">
      <c r="A20" s="588">
        <v>7</v>
      </c>
      <c r="B20" s="587" t="s">
        <v>759</v>
      </c>
      <c r="C20" s="589">
        <v>1554063</v>
      </c>
      <c r="D20" s="591">
        <v>692425</v>
      </c>
      <c r="E20" s="590">
        <f t="shared" si="0"/>
        <v>-861638</v>
      </c>
    </row>
    <row r="21" spans="1:5" s="421" customFormat="1" x14ac:dyDescent="0.2">
      <c r="A21" s="588"/>
      <c r="B21" s="592" t="s">
        <v>779</v>
      </c>
      <c r="C21" s="593">
        <f>SUM(C15+C16+C19)</f>
        <v>77872767</v>
      </c>
      <c r="D21" s="593">
        <f>SUM(D15+D16+D19)</f>
        <v>86168561</v>
      </c>
      <c r="E21" s="593">
        <f t="shared" si="0"/>
        <v>8295794</v>
      </c>
    </row>
    <row r="22" spans="1:5" s="421" customFormat="1" x14ac:dyDescent="0.2">
      <c r="A22" s="588"/>
      <c r="B22" s="592" t="s">
        <v>465</v>
      </c>
      <c r="C22" s="593">
        <f>SUM(C14+C21)</f>
        <v>100430007</v>
      </c>
      <c r="D22" s="593">
        <f>SUM(D14+D21)</f>
        <v>106415245</v>
      </c>
      <c r="E22" s="593">
        <f t="shared" si="0"/>
        <v>5985238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64224431</v>
      </c>
      <c r="D25" s="589">
        <v>64863374</v>
      </c>
      <c r="E25" s="590">
        <f t="shared" ref="E25:E33" si="1">D25-C25</f>
        <v>638943</v>
      </c>
    </row>
    <row r="26" spans="1:5" s="421" customFormat="1" x14ac:dyDescent="0.2">
      <c r="A26" s="588">
        <v>2</v>
      </c>
      <c r="B26" s="587" t="s">
        <v>636</v>
      </c>
      <c r="C26" s="589">
        <v>64444398</v>
      </c>
      <c r="D26" s="591">
        <v>68419027</v>
      </c>
      <c r="E26" s="590">
        <f t="shared" si="1"/>
        <v>3974629</v>
      </c>
    </row>
    <row r="27" spans="1:5" s="421" customFormat="1" x14ac:dyDescent="0.2">
      <c r="A27" s="588">
        <v>3</v>
      </c>
      <c r="B27" s="587" t="s">
        <v>778</v>
      </c>
      <c r="C27" s="589">
        <v>38230894</v>
      </c>
      <c r="D27" s="591">
        <v>45038204</v>
      </c>
      <c r="E27" s="590">
        <f t="shared" si="1"/>
        <v>6807310</v>
      </c>
    </row>
    <row r="28" spans="1:5" s="421" customFormat="1" x14ac:dyDescent="0.2">
      <c r="A28" s="588">
        <v>4</v>
      </c>
      <c r="B28" s="587" t="s">
        <v>115</v>
      </c>
      <c r="C28" s="589">
        <v>38108911</v>
      </c>
      <c r="D28" s="591">
        <v>44875620</v>
      </c>
      <c r="E28" s="590">
        <f t="shared" si="1"/>
        <v>6766709</v>
      </c>
    </row>
    <row r="29" spans="1:5" s="421" customFormat="1" x14ac:dyDescent="0.2">
      <c r="A29" s="588">
        <v>5</v>
      </c>
      <c r="B29" s="587" t="s">
        <v>744</v>
      </c>
      <c r="C29" s="589">
        <v>121983</v>
      </c>
      <c r="D29" s="591">
        <v>162584</v>
      </c>
      <c r="E29" s="590">
        <f t="shared" si="1"/>
        <v>40601</v>
      </c>
    </row>
    <row r="30" spans="1:5" s="421" customFormat="1" x14ac:dyDescent="0.2">
      <c r="A30" s="588">
        <v>6</v>
      </c>
      <c r="B30" s="587" t="s">
        <v>424</v>
      </c>
      <c r="C30" s="589">
        <v>708431</v>
      </c>
      <c r="D30" s="591">
        <v>584223</v>
      </c>
      <c r="E30" s="590">
        <f t="shared" si="1"/>
        <v>-124208</v>
      </c>
    </row>
    <row r="31" spans="1:5" s="421" customFormat="1" x14ac:dyDescent="0.2">
      <c r="A31" s="588">
        <v>7</v>
      </c>
      <c r="B31" s="587" t="s">
        <v>759</v>
      </c>
      <c r="C31" s="590">
        <v>4301269</v>
      </c>
      <c r="D31" s="594">
        <v>3470795</v>
      </c>
      <c r="E31" s="590">
        <f t="shared" si="1"/>
        <v>-830474</v>
      </c>
    </row>
    <row r="32" spans="1:5" s="421" customFormat="1" x14ac:dyDescent="0.2">
      <c r="A32" s="588"/>
      <c r="B32" s="592" t="s">
        <v>781</v>
      </c>
      <c r="C32" s="593">
        <f>SUM(C26+C27+C30)</f>
        <v>103383723</v>
      </c>
      <c r="D32" s="593">
        <f>SUM(D26+D27+D30)</f>
        <v>114041454</v>
      </c>
      <c r="E32" s="593">
        <f t="shared" si="1"/>
        <v>10657731</v>
      </c>
    </row>
    <row r="33" spans="1:5" s="421" customFormat="1" x14ac:dyDescent="0.2">
      <c r="A33" s="588"/>
      <c r="B33" s="592" t="s">
        <v>467</v>
      </c>
      <c r="C33" s="593">
        <f>SUM(C25+C32)</f>
        <v>167608154</v>
      </c>
      <c r="D33" s="593">
        <f>SUM(D25+D32)</f>
        <v>178904828</v>
      </c>
      <c r="E33" s="593">
        <f t="shared" si="1"/>
        <v>11296674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86781671</v>
      </c>
      <c r="D36" s="590">
        <f t="shared" si="2"/>
        <v>85110058</v>
      </c>
      <c r="E36" s="590">
        <f t="shared" ref="E36:E44" si="3">D36-C36</f>
        <v>-1671613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126007587</v>
      </c>
      <c r="D37" s="590">
        <f t="shared" si="2"/>
        <v>137990695</v>
      </c>
      <c r="E37" s="590">
        <f t="shared" si="3"/>
        <v>11983108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54105512</v>
      </c>
      <c r="D38" s="590">
        <f t="shared" si="2"/>
        <v>61199842</v>
      </c>
      <c r="E38" s="590">
        <f t="shared" si="3"/>
        <v>7094330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53829293</v>
      </c>
      <c r="D39" s="590">
        <f t="shared" si="2"/>
        <v>60776065</v>
      </c>
      <c r="E39" s="590">
        <f t="shared" si="3"/>
        <v>6946772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276219</v>
      </c>
      <c r="D40" s="590">
        <f t="shared" si="2"/>
        <v>423777</v>
      </c>
      <c r="E40" s="590">
        <f t="shared" si="3"/>
        <v>147558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1143391</v>
      </c>
      <c r="D41" s="590">
        <f t="shared" si="2"/>
        <v>1019478</v>
      </c>
      <c r="E41" s="590">
        <f t="shared" si="3"/>
        <v>-123913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5855332</v>
      </c>
      <c r="D42" s="590">
        <f t="shared" si="2"/>
        <v>4163220</v>
      </c>
      <c r="E42" s="590">
        <f t="shared" si="3"/>
        <v>-1692112</v>
      </c>
    </row>
    <row r="43" spans="1:5" s="421" customFormat="1" x14ac:dyDescent="0.2">
      <c r="A43" s="588"/>
      <c r="B43" s="592" t="s">
        <v>789</v>
      </c>
      <c r="C43" s="593">
        <f>SUM(C37+C38+C41)</f>
        <v>181256490</v>
      </c>
      <c r="D43" s="593">
        <f>SUM(D37+D38+D41)</f>
        <v>200210015</v>
      </c>
      <c r="E43" s="593">
        <f t="shared" si="3"/>
        <v>18953525</v>
      </c>
    </row>
    <row r="44" spans="1:5" s="421" customFormat="1" x14ac:dyDescent="0.2">
      <c r="A44" s="588"/>
      <c r="B44" s="592" t="s">
        <v>726</v>
      </c>
      <c r="C44" s="593">
        <f>SUM(C36+C43)</f>
        <v>268038161</v>
      </c>
      <c r="D44" s="593">
        <f>SUM(D36+D43)</f>
        <v>285320073</v>
      </c>
      <c r="E44" s="593">
        <f t="shared" si="3"/>
        <v>17281912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13571626</v>
      </c>
      <c r="D47" s="589">
        <v>12515934</v>
      </c>
      <c r="E47" s="590">
        <f t="shared" ref="E47:E55" si="4">D47-C47</f>
        <v>-1055692</v>
      </c>
    </row>
    <row r="48" spans="1:5" s="421" customFormat="1" x14ac:dyDescent="0.2">
      <c r="A48" s="588">
        <v>2</v>
      </c>
      <c r="B48" s="587" t="s">
        <v>636</v>
      </c>
      <c r="C48" s="589">
        <v>33728483</v>
      </c>
      <c r="D48" s="591">
        <v>36385646</v>
      </c>
      <c r="E48" s="590">
        <f t="shared" si="4"/>
        <v>2657163</v>
      </c>
    </row>
    <row r="49" spans="1:5" s="421" customFormat="1" x14ac:dyDescent="0.2">
      <c r="A49" s="588">
        <v>3</v>
      </c>
      <c r="B49" s="587" t="s">
        <v>778</v>
      </c>
      <c r="C49" s="589">
        <v>4694856</v>
      </c>
      <c r="D49" s="591">
        <v>4816089</v>
      </c>
      <c r="E49" s="590">
        <f t="shared" si="4"/>
        <v>121233</v>
      </c>
    </row>
    <row r="50" spans="1:5" s="421" customFormat="1" x14ac:dyDescent="0.2">
      <c r="A50" s="588">
        <v>4</v>
      </c>
      <c r="B50" s="587" t="s">
        <v>115</v>
      </c>
      <c r="C50" s="589">
        <v>4645830</v>
      </c>
      <c r="D50" s="591">
        <v>4738255</v>
      </c>
      <c r="E50" s="590">
        <f t="shared" si="4"/>
        <v>92425</v>
      </c>
    </row>
    <row r="51" spans="1:5" s="421" customFormat="1" x14ac:dyDescent="0.2">
      <c r="A51" s="588">
        <v>5</v>
      </c>
      <c r="B51" s="587" t="s">
        <v>744</v>
      </c>
      <c r="C51" s="589">
        <v>49026</v>
      </c>
      <c r="D51" s="591">
        <v>77834</v>
      </c>
      <c r="E51" s="590">
        <f t="shared" si="4"/>
        <v>28808</v>
      </c>
    </row>
    <row r="52" spans="1:5" s="421" customFormat="1" x14ac:dyDescent="0.2">
      <c r="A52" s="588">
        <v>6</v>
      </c>
      <c r="B52" s="587" t="s">
        <v>424</v>
      </c>
      <c r="C52" s="589">
        <v>247000</v>
      </c>
      <c r="D52" s="591">
        <v>285025</v>
      </c>
      <c r="E52" s="590">
        <f t="shared" si="4"/>
        <v>38025</v>
      </c>
    </row>
    <row r="53" spans="1:5" s="421" customFormat="1" x14ac:dyDescent="0.2">
      <c r="A53" s="588">
        <v>7</v>
      </c>
      <c r="B53" s="587" t="s">
        <v>759</v>
      </c>
      <c r="C53" s="589">
        <v>318975</v>
      </c>
      <c r="D53" s="591">
        <v>111960</v>
      </c>
      <c r="E53" s="590">
        <f t="shared" si="4"/>
        <v>-207015</v>
      </c>
    </row>
    <row r="54" spans="1:5" s="421" customFormat="1" x14ac:dyDescent="0.2">
      <c r="A54" s="588"/>
      <c r="B54" s="592" t="s">
        <v>791</v>
      </c>
      <c r="C54" s="593">
        <f>SUM(C48+C49+C52)</f>
        <v>38670339</v>
      </c>
      <c r="D54" s="593">
        <f>SUM(D48+D49+D52)</f>
        <v>41486760</v>
      </c>
      <c r="E54" s="593">
        <f t="shared" si="4"/>
        <v>2816421</v>
      </c>
    </row>
    <row r="55" spans="1:5" s="421" customFormat="1" x14ac:dyDescent="0.2">
      <c r="A55" s="588"/>
      <c r="B55" s="592" t="s">
        <v>466</v>
      </c>
      <c r="C55" s="593">
        <f>SUM(C47+C54)</f>
        <v>52241965</v>
      </c>
      <c r="D55" s="593">
        <f>SUM(D47+D54)</f>
        <v>54002694</v>
      </c>
      <c r="E55" s="593">
        <f t="shared" si="4"/>
        <v>1760729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30546862</v>
      </c>
      <c r="D58" s="589">
        <v>30363670</v>
      </c>
      <c r="E58" s="590">
        <f t="shared" ref="E58:E66" si="5">D58-C58</f>
        <v>-183192</v>
      </c>
    </row>
    <row r="59" spans="1:5" s="421" customFormat="1" x14ac:dyDescent="0.2">
      <c r="A59" s="588">
        <v>2</v>
      </c>
      <c r="B59" s="587" t="s">
        <v>636</v>
      </c>
      <c r="C59" s="589">
        <v>23390922</v>
      </c>
      <c r="D59" s="591">
        <v>21661538</v>
      </c>
      <c r="E59" s="590">
        <f t="shared" si="5"/>
        <v>-1729384</v>
      </c>
    </row>
    <row r="60" spans="1:5" s="421" customFormat="1" x14ac:dyDescent="0.2">
      <c r="A60" s="588">
        <v>3</v>
      </c>
      <c r="B60" s="587" t="s">
        <v>778</v>
      </c>
      <c r="C60" s="589">
        <f>C61+C62</f>
        <v>9445357</v>
      </c>
      <c r="D60" s="591">
        <f>D61+D62</f>
        <v>11168777</v>
      </c>
      <c r="E60" s="590">
        <f t="shared" si="5"/>
        <v>1723420</v>
      </c>
    </row>
    <row r="61" spans="1:5" s="421" customFormat="1" x14ac:dyDescent="0.2">
      <c r="A61" s="588">
        <v>4</v>
      </c>
      <c r="B61" s="587" t="s">
        <v>115</v>
      </c>
      <c r="C61" s="589">
        <v>9397695</v>
      </c>
      <c r="D61" s="591">
        <v>11150030</v>
      </c>
      <c r="E61" s="590">
        <f t="shared" si="5"/>
        <v>1752335</v>
      </c>
    </row>
    <row r="62" spans="1:5" s="421" customFormat="1" x14ac:dyDescent="0.2">
      <c r="A62" s="588">
        <v>5</v>
      </c>
      <c r="B62" s="587" t="s">
        <v>744</v>
      </c>
      <c r="C62" s="589">
        <v>47662</v>
      </c>
      <c r="D62" s="591">
        <v>18747</v>
      </c>
      <c r="E62" s="590">
        <f t="shared" si="5"/>
        <v>-28915</v>
      </c>
    </row>
    <row r="63" spans="1:5" s="421" customFormat="1" x14ac:dyDescent="0.2">
      <c r="A63" s="588">
        <v>6</v>
      </c>
      <c r="B63" s="587" t="s">
        <v>424</v>
      </c>
      <c r="C63" s="589">
        <v>242948</v>
      </c>
      <c r="D63" s="591">
        <v>232518</v>
      </c>
      <c r="E63" s="590">
        <f t="shared" si="5"/>
        <v>-10430</v>
      </c>
    </row>
    <row r="64" spans="1:5" s="421" customFormat="1" x14ac:dyDescent="0.2">
      <c r="A64" s="588">
        <v>7</v>
      </c>
      <c r="B64" s="587" t="s">
        <v>759</v>
      </c>
      <c r="C64" s="589">
        <v>882845</v>
      </c>
      <c r="D64" s="591">
        <v>561204</v>
      </c>
      <c r="E64" s="590">
        <f t="shared" si="5"/>
        <v>-321641</v>
      </c>
    </row>
    <row r="65" spans="1:5" s="421" customFormat="1" x14ac:dyDescent="0.2">
      <c r="A65" s="588"/>
      <c r="B65" s="592" t="s">
        <v>793</v>
      </c>
      <c r="C65" s="593">
        <f>SUM(C59+C60+C63)</f>
        <v>33079227</v>
      </c>
      <c r="D65" s="593">
        <f>SUM(D59+D60+D63)</f>
        <v>33062833</v>
      </c>
      <c r="E65" s="593">
        <f t="shared" si="5"/>
        <v>-16394</v>
      </c>
    </row>
    <row r="66" spans="1:5" s="421" customFormat="1" x14ac:dyDescent="0.2">
      <c r="A66" s="588"/>
      <c r="B66" s="592" t="s">
        <v>468</v>
      </c>
      <c r="C66" s="593">
        <f>SUM(C58+C65)</f>
        <v>63626089</v>
      </c>
      <c r="D66" s="593">
        <f>SUM(D58+D65)</f>
        <v>63426503</v>
      </c>
      <c r="E66" s="593">
        <f t="shared" si="5"/>
        <v>-199586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44118488</v>
      </c>
      <c r="D69" s="590">
        <f t="shared" si="6"/>
        <v>42879604</v>
      </c>
      <c r="E69" s="590">
        <f t="shared" ref="E69:E77" si="7">D69-C69</f>
        <v>-1238884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57119405</v>
      </c>
      <c r="D70" s="590">
        <f t="shared" si="6"/>
        <v>58047184</v>
      </c>
      <c r="E70" s="590">
        <f t="shared" si="7"/>
        <v>927779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14140213</v>
      </c>
      <c r="D71" s="590">
        <f t="shared" si="6"/>
        <v>15984866</v>
      </c>
      <c r="E71" s="590">
        <f t="shared" si="7"/>
        <v>1844653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14043525</v>
      </c>
      <c r="D72" s="590">
        <f t="shared" si="6"/>
        <v>15888285</v>
      </c>
      <c r="E72" s="590">
        <f t="shared" si="7"/>
        <v>1844760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96688</v>
      </c>
      <c r="D73" s="590">
        <f t="shared" si="6"/>
        <v>96581</v>
      </c>
      <c r="E73" s="590">
        <f t="shared" si="7"/>
        <v>-107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489948</v>
      </c>
      <c r="D74" s="590">
        <f t="shared" si="6"/>
        <v>517543</v>
      </c>
      <c r="E74" s="590">
        <f t="shared" si="7"/>
        <v>27595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1201820</v>
      </c>
      <c r="D75" s="590">
        <f t="shared" si="6"/>
        <v>673164</v>
      </c>
      <c r="E75" s="590">
        <f t="shared" si="7"/>
        <v>-528656</v>
      </c>
    </row>
    <row r="76" spans="1:5" s="421" customFormat="1" x14ac:dyDescent="0.2">
      <c r="A76" s="588"/>
      <c r="B76" s="592" t="s">
        <v>794</v>
      </c>
      <c r="C76" s="593">
        <f>SUM(C70+C71+C74)</f>
        <v>71749566</v>
      </c>
      <c r="D76" s="593">
        <f>SUM(D70+D71+D74)</f>
        <v>74549593</v>
      </c>
      <c r="E76" s="593">
        <f t="shared" si="7"/>
        <v>2800027</v>
      </c>
    </row>
    <row r="77" spans="1:5" s="421" customFormat="1" x14ac:dyDescent="0.2">
      <c r="A77" s="588"/>
      <c r="B77" s="592" t="s">
        <v>727</v>
      </c>
      <c r="C77" s="593">
        <f>SUM(C69+C76)</f>
        <v>115868054</v>
      </c>
      <c r="D77" s="593">
        <f>SUM(D69+D76)</f>
        <v>117429197</v>
      </c>
      <c r="E77" s="593">
        <f t="shared" si="7"/>
        <v>1561143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8.4156822729432174E-2</v>
      </c>
      <c r="D83" s="599">
        <f t="shared" si="8"/>
        <v>7.0961302466791387E-2</v>
      </c>
      <c r="E83" s="599">
        <f t="shared" ref="E83:E91" si="9">D83-C83</f>
        <v>-1.3195520262640786E-2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0.22968068714663356</v>
      </c>
      <c r="D84" s="599">
        <f t="shared" si="8"/>
        <v>0.24383727113374179</v>
      </c>
      <c r="E84" s="599">
        <f t="shared" si="9"/>
        <v>1.4156583987108229E-2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5.9225216069140246E-2</v>
      </c>
      <c r="D85" s="599">
        <f t="shared" si="8"/>
        <v>5.664388709167336E-2</v>
      </c>
      <c r="E85" s="599">
        <f t="shared" si="9"/>
        <v>-2.581328977466886E-3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5.8649790542325053E-2</v>
      </c>
      <c r="D86" s="599">
        <f t="shared" si="8"/>
        <v>5.5728448520339473E-2</v>
      </c>
      <c r="E86" s="599">
        <f t="shared" si="9"/>
        <v>-2.9213420219855804E-3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5.7542552681519104E-4</v>
      </c>
      <c r="D87" s="599">
        <f t="shared" si="8"/>
        <v>9.1543857133388577E-4</v>
      </c>
      <c r="E87" s="599">
        <f t="shared" si="9"/>
        <v>3.4001304451869473E-4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1.6227540077772731E-3</v>
      </c>
      <c r="D88" s="599">
        <f t="shared" si="8"/>
        <v>1.5254972965046171E-3</v>
      </c>
      <c r="E88" s="599">
        <f t="shared" si="9"/>
        <v>-9.7256711272655999E-5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5.7979169615329515E-3</v>
      </c>
      <c r="D89" s="599">
        <f t="shared" si="8"/>
        <v>2.4268359135040597E-3</v>
      </c>
      <c r="E89" s="599">
        <f t="shared" si="9"/>
        <v>-3.3710810480288918E-3</v>
      </c>
    </row>
    <row r="90" spans="1:5" s="421" customFormat="1" x14ac:dyDescent="0.2">
      <c r="A90" s="588"/>
      <c r="B90" s="592" t="s">
        <v>797</v>
      </c>
      <c r="C90" s="600">
        <f>SUM(C84+C85+C88)</f>
        <v>0.29052865722355109</v>
      </c>
      <c r="D90" s="600">
        <f>SUM(D84+D85+D88)</f>
        <v>0.3020066555219198</v>
      </c>
      <c r="E90" s="601">
        <f t="shared" si="9"/>
        <v>1.1477998298368708E-2</v>
      </c>
    </row>
    <row r="91" spans="1:5" s="421" customFormat="1" x14ac:dyDescent="0.2">
      <c r="A91" s="588"/>
      <c r="B91" s="592" t="s">
        <v>798</v>
      </c>
      <c r="C91" s="600">
        <f>SUM(C83+C90)</f>
        <v>0.37468547995298329</v>
      </c>
      <c r="D91" s="600">
        <f>SUM(D83+D90)</f>
        <v>0.37296795798871119</v>
      </c>
      <c r="E91" s="601">
        <f t="shared" si="9"/>
        <v>-1.7175219642721062E-3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0.23960928085907887</v>
      </c>
      <c r="D95" s="599">
        <f t="shared" si="10"/>
        <v>0.22733547386972666</v>
      </c>
      <c r="E95" s="599">
        <f t="shared" ref="E95:E103" si="11">D95-C95</f>
        <v>-1.2273806989352209E-2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0.24042993639252733</v>
      </c>
      <c r="D96" s="599">
        <f t="shared" si="10"/>
        <v>0.23979745371788125</v>
      </c>
      <c r="E96" s="599">
        <f t="shared" si="11"/>
        <v>-6.3248267464607877E-4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0.14263227988644497</v>
      </c>
      <c r="D97" s="599">
        <f t="shared" si="10"/>
        <v>0.15785150875101592</v>
      </c>
      <c r="E97" s="599">
        <f t="shared" si="11"/>
        <v>1.5219228864570944E-2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0.14217718424056788</v>
      </c>
      <c r="D98" s="599">
        <f t="shared" si="10"/>
        <v>0.15728167853090377</v>
      </c>
      <c r="E98" s="599">
        <f t="shared" si="11"/>
        <v>1.510449429033589E-2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4.5509564587708091E-4</v>
      </c>
      <c r="D99" s="599">
        <f t="shared" si="10"/>
        <v>5.698302201121335E-4</v>
      </c>
      <c r="E99" s="599">
        <f t="shared" si="11"/>
        <v>1.1473457423505259E-4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2.6430229089655635E-3</v>
      </c>
      <c r="D100" s="599">
        <f t="shared" si="10"/>
        <v>2.0476056726650284E-3</v>
      </c>
      <c r="E100" s="599">
        <f t="shared" si="11"/>
        <v>-5.9541723630053512E-4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1.6047226200749824E-2</v>
      </c>
      <c r="D101" s="599">
        <f t="shared" si="10"/>
        <v>1.2164566493714586E-2</v>
      </c>
      <c r="E101" s="599">
        <f t="shared" si="11"/>
        <v>-3.8826597070352378E-3</v>
      </c>
    </row>
    <row r="102" spans="1:5" s="421" customFormat="1" x14ac:dyDescent="0.2">
      <c r="A102" s="588"/>
      <c r="B102" s="592" t="s">
        <v>800</v>
      </c>
      <c r="C102" s="600">
        <f>SUM(C96+C97+C100)</f>
        <v>0.38570523918793786</v>
      </c>
      <c r="D102" s="600">
        <f>SUM(D96+D97+D100)</f>
        <v>0.39969656814156218</v>
      </c>
      <c r="E102" s="601">
        <f t="shared" si="11"/>
        <v>1.3991328953624316E-2</v>
      </c>
    </row>
    <row r="103" spans="1:5" s="421" customFormat="1" x14ac:dyDescent="0.2">
      <c r="A103" s="588"/>
      <c r="B103" s="592" t="s">
        <v>801</v>
      </c>
      <c r="C103" s="600">
        <f>SUM(C95+C102)</f>
        <v>0.62531452004701671</v>
      </c>
      <c r="D103" s="600">
        <f>SUM(D95+D102)</f>
        <v>0.62703204201128881</v>
      </c>
      <c r="E103" s="601">
        <f t="shared" si="11"/>
        <v>1.7175219642721062E-3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0.11713000720630036</v>
      </c>
      <c r="D109" s="599">
        <f t="shared" si="12"/>
        <v>0.10658281176869497</v>
      </c>
      <c r="E109" s="599">
        <f t="shared" ref="E109:E117" si="13">D109-C109</f>
        <v>-1.0547195437605392E-2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0.29109389374917782</v>
      </c>
      <c r="D110" s="599">
        <f t="shared" si="12"/>
        <v>0.3098517824319279</v>
      </c>
      <c r="E110" s="599">
        <f t="shared" si="13"/>
        <v>1.8757888682750079E-2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4.0518985500524587E-2</v>
      </c>
      <c r="D111" s="599">
        <f t="shared" si="12"/>
        <v>4.1012704872707251E-2</v>
      </c>
      <c r="E111" s="599">
        <f t="shared" si="13"/>
        <v>4.9371937218266326E-4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4.009586628597387E-2</v>
      </c>
      <c r="D112" s="599">
        <f t="shared" si="12"/>
        <v>4.0349888452358235E-2</v>
      </c>
      <c r="E112" s="599">
        <f t="shared" si="13"/>
        <v>2.540221663843642E-4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4.2311921455071645E-4</v>
      </c>
      <c r="D113" s="599">
        <f t="shared" si="12"/>
        <v>6.6281642034902099E-4</v>
      </c>
      <c r="E113" s="599">
        <f t="shared" si="13"/>
        <v>2.3969720579830454E-4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2.1317351200184995E-3</v>
      </c>
      <c r="D114" s="599">
        <f t="shared" si="12"/>
        <v>2.4272072643058266E-3</v>
      </c>
      <c r="E114" s="599">
        <f t="shared" si="13"/>
        <v>2.9547214428732706E-4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2.7529158295866436E-3</v>
      </c>
      <c r="D115" s="599">
        <f t="shared" si="12"/>
        <v>9.534255777973173E-4</v>
      </c>
      <c r="E115" s="599">
        <f t="shared" si="13"/>
        <v>-1.7994902517893263E-3</v>
      </c>
    </row>
    <row r="116" spans="1:5" s="421" customFormat="1" x14ac:dyDescent="0.2">
      <c r="A116" s="588"/>
      <c r="B116" s="592" t="s">
        <v>797</v>
      </c>
      <c r="C116" s="600">
        <f>SUM(C110+C111+C114)</f>
        <v>0.33374461436972092</v>
      </c>
      <c r="D116" s="600">
        <f>SUM(D110+D111+D114)</f>
        <v>0.35329169456894099</v>
      </c>
      <c r="E116" s="601">
        <f t="shared" si="13"/>
        <v>1.9547080199220079E-2</v>
      </c>
    </row>
    <row r="117" spans="1:5" s="421" customFormat="1" x14ac:dyDescent="0.2">
      <c r="A117" s="588"/>
      <c r="B117" s="592" t="s">
        <v>798</v>
      </c>
      <c r="C117" s="600">
        <f>SUM(C109+C116)</f>
        <v>0.45087462157602126</v>
      </c>
      <c r="D117" s="600">
        <f>SUM(D109+D116)</f>
        <v>0.45987450633763594</v>
      </c>
      <c r="E117" s="601">
        <f t="shared" si="13"/>
        <v>8.9998847616146738E-3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0.26363489284112773</v>
      </c>
      <c r="D121" s="599">
        <f t="shared" si="14"/>
        <v>0.25857002155945935</v>
      </c>
      <c r="E121" s="599">
        <f t="shared" ref="E121:E129" si="15">D121-C121</f>
        <v>-5.0648712816683816E-3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0.20187550573689622</v>
      </c>
      <c r="D122" s="599">
        <f t="shared" si="14"/>
        <v>0.18446466937860437</v>
      </c>
      <c r="E122" s="599">
        <f t="shared" si="15"/>
        <v>-1.7410836358291853E-2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8.1518215538512448E-2</v>
      </c>
      <c r="D123" s="599">
        <f t="shared" si="14"/>
        <v>9.5110732980657267E-2</v>
      </c>
      <c r="E123" s="599">
        <f t="shared" si="15"/>
        <v>1.3592517442144819E-2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8.1106868334907906E-2</v>
      </c>
      <c r="D124" s="599">
        <f t="shared" si="14"/>
        <v>9.4951087845725451E-2</v>
      </c>
      <c r="E124" s="599">
        <f t="shared" si="15"/>
        <v>1.3844219510817546E-2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4.1134720360454143E-4</v>
      </c>
      <c r="D125" s="599">
        <f t="shared" si="14"/>
        <v>1.5964513493181768E-4</v>
      </c>
      <c r="E125" s="599">
        <f t="shared" si="15"/>
        <v>-2.5170206867272378E-4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2.0967643074423256E-3</v>
      </c>
      <c r="D126" s="599">
        <f t="shared" si="14"/>
        <v>1.9800697436430565E-3</v>
      </c>
      <c r="E126" s="599">
        <f t="shared" si="15"/>
        <v>-1.1669456379926908E-4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7.6193995628855557E-3</v>
      </c>
      <c r="D127" s="599">
        <f t="shared" si="14"/>
        <v>4.7790840296727905E-3</v>
      </c>
      <c r="E127" s="599">
        <f t="shared" si="15"/>
        <v>-2.8403155332127651E-3</v>
      </c>
    </row>
    <row r="128" spans="1:5" s="421" customFormat="1" x14ac:dyDescent="0.2">
      <c r="A128" s="588"/>
      <c r="B128" s="592" t="s">
        <v>800</v>
      </c>
      <c r="C128" s="600">
        <f>SUM(C122+C123+C126)</f>
        <v>0.28549048558285101</v>
      </c>
      <c r="D128" s="600">
        <f>SUM(D122+D123+D126)</f>
        <v>0.28155547210290471</v>
      </c>
      <c r="E128" s="601">
        <f t="shared" si="15"/>
        <v>-3.9350134799462921E-3</v>
      </c>
    </row>
    <row r="129" spans="1:5" s="421" customFormat="1" x14ac:dyDescent="0.2">
      <c r="A129" s="588"/>
      <c r="B129" s="592" t="s">
        <v>801</v>
      </c>
      <c r="C129" s="600">
        <f>SUM(C121+C128)</f>
        <v>0.54912537842397868</v>
      </c>
      <c r="D129" s="600">
        <f>SUM(D121+D128)</f>
        <v>0.54012549366236406</v>
      </c>
      <c r="E129" s="601">
        <f t="shared" si="15"/>
        <v>-8.9998847616146183E-3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1585</v>
      </c>
      <c r="D137" s="606">
        <v>1430</v>
      </c>
      <c r="E137" s="607">
        <f t="shared" ref="E137:E145" si="16">D137-C137</f>
        <v>-155</v>
      </c>
    </row>
    <row r="138" spans="1:5" s="421" customFormat="1" x14ac:dyDescent="0.2">
      <c r="A138" s="588">
        <v>2</v>
      </c>
      <c r="B138" s="587" t="s">
        <v>636</v>
      </c>
      <c r="C138" s="606">
        <v>3299</v>
      </c>
      <c r="D138" s="606">
        <v>3363</v>
      </c>
      <c r="E138" s="607">
        <f t="shared" si="16"/>
        <v>64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1183</v>
      </c>
      <c r="D139" s="606">
        <f>D140+D141</f>
        <v>1207</v>
      </c>
      <c r="E139" s="607">
        <f t="shared" si="16"/>
        <v>24</v>
      </c>
    </row>
    <row r="140" spans="1:5" s="421" customFormat="1" x14ac:dyDescent="0.2">
      <c r="A140" s="588">
        <v>4</v>
      </c>
      <c r="B140" s="587" t="s">
        <v>115</v>
      </c>
      <c r="C140" s="606">
        <v>1172</v>
      </c>
      <c r="D140" s="606">
        <v>1200</v>
      </c>
      <c r="E140" s="607">
        <f t="shared" si="16"/>
        <v>28</v>
      </c>
    </row>
    <row r="141" spans="1:5" s="421" customFormat="1" x14ac:dyDescent="0.2">
      <c r="A141" s="588">
        <v>5</v>
      </c>
      <c r="B141" s="587" t="s">
        <v>744</v>
      </c>
      <c r="C141" s="606">
        <v>11</v>
      </c>
      <c r="D141" s="606">
        <v>7</v>
      </c>
      <c r="E141" s="607">
        <f t="shared" si="16"/>
        <v>-4</v>
      </c>
    </row>
    <row r="142" spans="1:5" s="421" customFormat="1" x14ac:dyDescent="0.2">
      <c r="A142" s="588">
        <v>6</v>
      </c>
      <c r="B142" s="587" t="s">
        <v>424</v>
      </c>
      <c r="C142" s="606">
        <v>39</v>
      </c>
      <c r="D142" s="606">
        <v>30</v>
      </c>
      <c r="E142" s="607">
        <f t="shared" si="16"/>
        <v>-9</v>
      </c>
    </row>
    <row r="143" spans="1:5" s="421" customFormat="1" x14ac:dyDescent="0.2">
      <c r="A143" s="588">
        <v>7</v>
      </c>
      <c r="B143" s="587" t="s">
        <v>759</v>
      </c>
      <c r="C143" s="606">
        <v>137</v>
      </c>
      <c r="D143" s="606">
        <v>102</v>
      </c>
      <c r="E143" s="607">
        <f t="shared" si="16"/>
        <v>-35</v>
      </c>
    </row>
    <row r="144" spans="1:5" s="421" customFormat="1" x14ac:dyDescent="0.2">
      <c r="A144" s="588"/>
      <c r="B144" s="592" t="s">
        <v>808</v>
      </c>
      <c r="C144" s="608">
        <f>SUM(C138+C139+C142)</f>
        <v>4521</v>
      </c>
      <c r="D144" s="608">
        <f>SUM(D138+D139+D142)</f>
        <v>4600</v>
      </c>
      <c r="E144" s="609">
        <f t="shared" si="16"/>
        <v>79</v>
      </c>
    </row>
    <row r="145" spans="1:5" s="421" customFormat="1" x14ac:dyDescent="0.2">
      <c r="A145" s="588"/>
      <c r="B145" s="592" t="s">
        <v>138</v>
      </c>
      <c r="C145" s="608">
        <f>SUM(C137+C144)</f>
        <v>6106</v>
      </c>
      <c r="D145" s="608">
        <f>SUM(D137+D144)</f>
        <v>6030</v>
      </c>
      <c r="E145" s="609">
        <f t="shared" si="16"/>
        <v>-76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5499</v>
      </c>
      <c r="D149" s="610">
        <v>4858</v>
      </c>
      <c r="E149" s="607">
        <f t="shared" ref="E149:E157" si="17">D149-C149</f>
        <v>-641</v>
      </c>
    </row>
    <row r="150" spans="1:5" s="421" customFormat="1" x14ac:dyDescent="0.2">
      <c r="A150" s="588">
        <v>2</v>
      </c>
      <c r="B150" s="587" t="s">
        <v>636</v>
      </c>
      <c r="C150" s="610">
        <v>15270</v>
      </c>
      <c r="D150" s="610">
        <v>16561</v>
      </c>
      <c r="E150" s="607">
        <f t="shared" si="17"/>
        <v>1291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4702</v>
      </c>
      <c r="D151" s="610">
        <f>D152+D153</f>
        <v>4526</v>
      </c>
      <c r="E151" s="607">
        <f t="shared" si="17"/>
        <v>-176</v>
      </c>
    </row>
    <row r="152" spans="1:5" s="421" customFormat="1" x14ac:dyDescent="0.2">
      <c r="A152" s="588">
        <v>4</v>
      </c>
      <c r="B152" s="587" t="s">
        <v>115</v>
      </c>
      <c r="C152" s="610">
        <v>4662</v>
      </c>
      <c r="D152" s="610">
        <v>4475</v>
      </c>
      <c r="E152" s="607">
        <f t="shared" si="17"/>
        <v>-187</v>
      </c>
    </row>
    <row r="153" spans="1:5" s="421" customFormat="1" x14ac:dyDescent="0.2">
      <c r="A153" s="588">
        <v>5</v>
      </c>
      <c r="B153" s="587" t="s">
        <v>744</v>
      </c>
      <c r="C153" s="611">
        <v>40</v>
      </c>
      <c r="D153" s="610">
        <v>51</v>
      </c>
      <c r="E153" s="607">
        <f t="shared" si="17"/>
        <v>11</v>
      </c>
    </row>
    <row r="154" spans="1:5" s="421" customFormat="1" x14ac:dyDescent="0.2">
      <c r="A154" s="588">
        <v>6</v>
      </c>
      <c r="B154" s="587" t="s">
        <v>424</v>
      </c>
      <c r="C154" s="610">
        <v>133</v>
      </c>
      <c r="D154" s="610">
        <v>119</v>
      </c>
      <c r="E154" s="607">
        <f t="shared" si="17"/>
        <v>-14</v>
      </c>
    </row>
    <row r="155" spans="1:5" s="421" customFormat="1" x14ac:dyDescent="0.2">
      <c r="A155" s="588">
        <v>7</v>
      </c>
      <c r="B155" s="587" t="s">
        <v>759</v>
      </c>
      <c r="C155" s="610">
        <v>613</v>
      </c>
      <c r="D155" s="610">
        <v>394</v>
      </c>
      <c r="E155" s="607">
        <f t="shared" si="17"/>
        <v>-219</v>
      </c>
    </row>
    <row r="156" spans="1:5" s="421" customFormat="1" x14ac:dyDescent="0.2">
      <c r="A156" s="588"/>
      <c r="B156" s="592" t="s">
        <v>809</v>
      </c>
      <c r="C156" s="608">
        <f>SUM(C150+C151+C154)</f>
        <v>20105</v>
      </c>
      <c r="D156" s="608">
        <f>SUM(D150+D151+D154)</f>
        <v>21206</v>
      </c>
      <c r="E156" s="609">
        <f t="shared" si="17"/>
        <v>1101</v>
      </c>
    </row>
    <row r="157" spans="1:5" s="421" customFormat="1" x14ac:dyDescent="0.2">
      <c r="A157" s="588"/>
      <c r="B157" s="592" t="s">
        <v>140</v>
      </c>
      <c r="C157" s="608">
        <f>SUM(C149+C156)</f>
        <v>25604</v>
      </c>
      <c r="D157" s="608">
        <f>SUM(D149+D156)</f>
        <v>26064</v>
      </c>
      <c r="E157" s="609">
        <f t="shared" si="17"/>
        <v>460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3.4694006309148264</v>
      </c>
      <c r="D161" s="612">
        <f t="shared" si="18"/>
        <v>3.3972027972027972</v>
      </c>
      <c r="E161" s="613">
        <f t="shared" ref="E161:E169" si="19">D161-C161</f>
        <v>-7.2197833712029258E-2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4.6286753561685359</v>
      </c>
      <c r="D162" s="612">
        <f t="shared" si="18"/>
        <v>4.9244721974427597</v>
      </c>
      <c r="E162" s="613">
        <f t="shared" si="19"/>
        <v>0.29579684127422379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3.9746407438715132</v>
      </c>
      <c r="D163" s="612">
        <f t="shared" si="18"/>
        <v>3.7497928748964373</v>
      </c>
      <c r="E163" s="613">
        <f t="shared" si="19"/>
        <v>-0.22484786897507592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3.9778156996587031</v>
      </c>
      <c r="D164" s="612">
        <f t="shared" si="18"/>
        <v>3.7291666666666665</v>
      </c>
      <c r="E164" s="613">
        <f t="shared" si="19"/>
        <v>-0.24864903299203656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3.6363636363636362</v>
      </c>
      <c r="D165" s="612">
        <f t="shared" si="18"/>
        <v>7.2857142857142856</v>
      </c>
      <c r="E165" s="613">
        <f t="shared" si="19"/>
        <v>3.6493506493506493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3.4102564102564101</v>
      </c>
      <c r="D166" s="612">
        <f t="shared" si="18"/>
        <v>3.9666666666666668</v>
      </c>
      <c r="E166" s="613">
        <f t="shared" si="19"/>
        <v>0.55641025641025665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4.4744525547445253</v>
      </c>
      <c r="D167" s="612">
        <f t="shared" si="18"/>
        <v>3.8627450980392157</v>
      </c>
      <c r="E167" s="613">
        <f t="shared" si="19"/>
        <v>-0.61170745670530957</v>
      </c>
    </row>
    <row r="168" spans="1:5" s="421" customFormat="1" x14ac:dyDescent="0.2">
      <c r="A168" s="588"/>
      <c r="B168" s="592" t="s">
        <v>811</v>
      </c>
      <c r="C168" s="614">
        <f t="shared" si="18"/>
        <v>4.44702499447025</v>
      </c>
      <c r="D168" s="614">
        <f t="shared" si="18"/>
        <v>4.6100000000000003</v>
      </c>
      <c r="E168" s="615">
        <f t="shared" si="19"/>
        <v>0.16297500552975031</v>
      </c>
    </row>
    <row r="169" spans="1:5" s="421" customFormat="1" x14ac:dyDescent="0.2">
      <c r="A169" s="588"/>
      <c r="B169" s="592" t="s">
        <v>745</v>
      </c>
      <c r="C169" s="614">
        <f t="shared" si="18"/>
        <v>4.1932525384867345</v>
      </c>
      <c r="D169" s="614">
        <f t="shared" si="18"/>
        <v>4.3223880597014928</v>
      </c>
      <c r="E169" s="615">
        <f t="shared" si="19"/>
        <v>0.12913552121475824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1.1468</v>
      </c>
      <c r="D173" s="617">
        <f t="shared" si="20"/>
        <v>1.089</v>
      </c>
      <c r="E173" s="618">
        <f t="shared" ref="E173:E181" si="21">D173-C173</f>
        <v>-5.7800000000000074E-2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1.3909999999999998</v>
      </c>
      <c r="D174" s="617">
        <f t="shared" si="20"/>
        <v>1.4038999999999999</v>
      </c>
      <c r="E174" s="618">
        <f t="shared" si="21"/>
        <v>1.2900000000000134E-2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1.0128781910397295</v>
      </c>
      <c r="D175" s="617">
        <f t="shared" si="20"/>
        <v>0.95822816901408459</v>
      </c>
      <c r="E175" s="618">
        <f t="shared" si="21"/>
        <v>-5.4650022025644951E-2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1.0141</v>
      </c>
      <c r="D176" s="617">
        <f t="shared" si="20"/>
        <v>0.95740000000000014</v>
      </c>
      <c r="E176" s="618">
        <f t="shared" si="21"/>
        <v>-5.6699999999999862E-2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0.88269999999999993</v>
      </c>
      <c r="D177" s="617">
        <f t="shared" si="20"/>
        <v>1.1002000000000001</v>
      </c>
      <c r="E177" s="618">
        <f t="shared" si="21"/>
        <v>0.21750000000000014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0.95300000000000007</v>
      </c>
      <c r="D178" s="617">
        <f t="shared" si="20"/>
        <v>1.0337000000000001</v>
      </c>
      <c r="E178" s="618">
        <f t="shared" si="21"/>
        <v>8.0699999999999994E-2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1.0423</v>
      </c>
      <c r="D179" s="617">
        <f t="shared" si="20"/>
        <v>1.0630999999999999</v>
      </c>
      <c r="E179" s="618">
        <f t="shared" si="21"/>
        <v>2.079999999999993E-2</v>
      </c>
    </row>
    <row r="180" spans="1:5" s="421" customFormat="1" x14ac:dyDescent="0.2">
      <c r="A180" s="588"/>
      <c r="B180" s="592" t="s">
        <v>813</v>
      </c>
      <c r="C180" s="619">
        <f t="shared" si="20"/>
        <v>1.2882793408537936</v>
      </c>
      <c r="D180" s="619">
        <f t="shared" si="20"/>
        <v>1.2845452391304348</v>
      </c>
      <c r="E180" s="620">
        <f t="shared" si="21"/>
        <v>-3.7341017233587515E-3</v>
      </c>
    </row>
    <row r="181" spans="1:5" s="421" customFormat="1" x14ac:dyDescent="0.2">
      <c r="A181" s="588"/>
      <c r="B181" s="592" t="s">
        <v>724</v>
      </c>
      <c r="C181" s="619">
        <f t="shared" si="20"/>
        <v>1.2515540288241074</v>
      </c>
      <c r="D181" s="619">
        <f t="shared" si="20"/>
        <v>1.2381721558872307</v>
      </c>
      <c r="E181" s="620">
        <f t="shared" si="21"/>
        <v>-1.3381872936876649E-2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86781671</v>
      </c>
      <c r="D185" s="589">
        <v>85110058</v>
      </c>
      <c r="E185" s="590">
        <f>D185-C185</f>
        <v>-1671613</v>
      </c>
    </row>
    <row r="186" spans="1:5" s="421" customFormat="1" ht="25.5" x14ac:dyDescent="0.2">
      <c r="A186" s="588">
        <v>2</v>
      </c>
      <c r="B186" s="587" t="s">
        <v>816</v>
      </c>
      <c r="C186" s="589">
        <v>49753368</v>
      </c>
      <c r="D186" s="589">
        <v>46887484</v>
      </c>
      <c r="E186" s="590">
        <f>D186-C186</f>
        <v>-2865884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37028303</v>
      </c>
      <c r="D188" s="622">
        <f>+D185-D186</f>
        <v>38222574</v>
      </c>
      <c r="E188" s="590">
        <f t="shared" ref="E188:E197" si="22">D188-C188</f>
        <v>1194271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0.42668345254610274</v>
      </c>
      <c r="D189" s="623">
        <f>IF(D185=0,0,+D188/D185)</f>
        <v>0.44909585186747258</v>
      </c>
      <c r="E189" s="599">
        <f t="shared" si="22"/>
        <v>2.2412399321369847E-2</v>
      </c>
    </row>
    <row r="190" spans="1:5" s="421" customFormat="1" x14ac:dyDescent="0.2">
      <c r="A190" s="588">
        <v>5</v>
      </c>
      <c r="B190" s="587" t="s">
        <v>763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749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2935378</v>
      </c>
      <c r="D193" s="589">
        <v>1613966</v>
      </c>
      <c r="E193" s="622">
        <f t="shared" si="22"/>
        <v>-1321412</v>
      </c>
    </row>
    <row r="194" spans="1:5" s="421" customFormat="1" x14ac:dyDescent="0.2">
      <c r="A194" s="588">
        <v>9</v>
      </c>
      <c r="B194" s="587" t="s">
        <v>819</v>
      </c>
      <c r="C194" s="589">
        <v>2699503</v>
      </c>
      <c r="D194" s="589">
        <v>2393914</v>
      </c>
      <c r="E194" s="622">
        <f t="shared" si="22"/>
        <v>-305589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5634881</v>
      </c>
      <c r="D195" s="589">
        <f>+D193+D194</f>
        <v>4007880</v>
      </c>
      <c r="E195" s="625">
        <f t="shared" si="22"/>
        <v>-1627001</v>
      </c>
    </row>
    <row r="196" spans="1:5" s="421" customFormat="1" x14ac:dyDescent="0.2">
      <c r="A196" s="588">
        <v>11</v>
      </c>
      <c r="B196" s="587" t="s">
        <v>821</v>
      </c>
      <c r="C196" s="589">
        <v>7533927</v>
      </c>
      <c r="D196" s="589">
        <v>6810203</v>
      </c>
      <c r="E196" s="622">
        <f t="shared" si="22"/>
        <v>-723724</v>
      </c>
    </row>
    <row r="197" spans="1:5" s="421" customFormat="1" x14ac:dyDescent="0.2">
      <c r="A197" s="588">
        <v>12</v>
      </c>
      <c r="B197" s="587" t="s">
        <v>711</v>
      </c>
      <c r="C197" s="589">
        <v>121998831</v>
      </c>
      <c r="D197" s="589">
        <v>121979251</v>
      </c>
      <c r="E197" s="622">
        <f t="shared" si="22"/>
        <v>-19580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1817.6780000000001</v>
      </c>
      <c r="D203" s="629">
        <v>1557.27</v>
      </c>
      <c r="E203" s="630">
        <f t="shared" ref="E203:E211" si="23">D203-C203</f>
        <v>-260.40800000000013</v>
      </c>
    </row>
    <row r="204" spans="1:5" s="421" customFormat="1" x14ac:dyDescent="0.2">
      <c r="A204" s="588">
        <v>2</v>
      </c>
      <c r="B204" s="587" t="s">
        <v>636</v>
      </c>
      <c r="C204" s="629">
        <v>4588.9089999999997</v>
      </c>
      <c r="D204" s="629">
        <v>4721.3157000000001</v>
      </c>
      <c r="E204" s="630">
        <f t="shared" si="23"/>
        <v>132.40670000000046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1198.2349000000002</v>
      </c>
      <c r="D205" s="629">
        <f>D206+D207</f>
        <v>1156.5814</v>
      </c>
      <c r="E205" s="630">
        <f t="shared" si="23"/>
        <v>-41.653500000000122</v>
      </c>
    </row>
    <row r="206" spans="1:5" s="421" customFormat="1" x14ac:dyDescent="0.2">
      <c r="A206" s="588">
        <v>4</v>
      </c>
      <c r="B206" s="587" t="s">
        <v>115</v>
      </c>
      <c r="C206" s="629">
        <v>1188.5252</v>
      </c>
      <c r="D206" s="629">
        <v>1148.8800000000001</v>
      </c>
      <c r="E206" s="630">
        <f t="shared" si="23"/>
        <v>-39.645199999999932</v>
      </c>
    </row>
    <row r="207" spans="1:5" s="421" customFormat="1" x14ac:dyDescent="0.2">
      <c r="A207" s="588">
        <v>5</v>
      </c>
      <c r="B207" s="587" t="s">
        <v>744</v>
      </c>
      <c r="C207" s="629">
        <v>9.7096999999999998</v>
      </c>
      <c r="D207" s="629">
        <v>7.7014000000000005</v>
      </c>
      <c r="E207" s="630">
        <f t="shared" si="23"/>
        <v>-2.0082999999999993</v>
      </c>
    </row>
    <row r="208" spans="1:5" s="421" customFormat="1" x14ac:dyDescent="0.2">
      <c r="A208" s="588">
        <v>6</v>
      </c>
      <c r="B208" s="587" t="s">
        <v>424</v>
      </c>
      <c r="C208" s="629">
        <v>37.167000000000002</v>
      </c>
      <c r="D208" s="629">
        <v>31.011000000000003</v>
      </c>
      <c r="E208" s="630">
        <f t="shared" si="23"/>
        <v>-6.1559999999999988</v>
      </c>
    </row>
    <row r="209" spans="1:5" s="421" customFormat="1" x14ac:dyDescent="0.2">
      <c r="A209" s="588">
        <v>7</v>
      </c>
      <c r="B209" s="587" t="s">
        <v>759</v>
      </c>
      <c r="C209" s="629">
        <v>142.79509999999999</v>
      </c>
      <c r="D209" s="629">
        <v>108.4362</v>
      </c>
      <c r="E209" s="630">
        <f t="shared" si="23"/>
        <v>-34.358899999999991</v>
      </c>
    </row>
    <row r="210" spans="1:5" s="421" customFormat="1" x14ac:dyDescent="0.2">
      <c r="A210" s="588"/>
      <c r="B210" s="592" t="s">
        <v>824</v>
      </c>
      <c r="C210" s="631">
        <f>C204+C205+C208</f>
        <v>5824.3109000000004</v>
      </c>
      <c r="D210" s="631">
        <f>D204+D205+D208</f>
        <v>5908.9081000000006</v>
      </c>
      <c r="E210" s="632">
        <f t="shared" si="23"/>
        <v>84.597200000000157</v>
      </c>
    </row>
    <row r="211" spans="1:5" s="421" customFormat="1" x14ac:dyDescent="0.2">
      <c r="A211" s="588"/>
      <c r="B211" s="592" t="s">
        <v>725</v>
      </c>
      <c r="C211" s="631">
        <f>C210+C203</f>
        <v>7641.9889000000003</v>
      </c>
      <c r="D211" s="631">
        <f>D210+D203</f>
        <v>7466.178100000001</v>
      </c>
      <c r="E211" s="632">
        <f t="shared" si="23"/>
        <v>-175.81079999999929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4512.7738648433942</v>
      </c>
      <c r="D215" s="633">
        <f>IF(D14*D137=0,0,D25/D14*D137)</f>
        <v>4581.2254895665883</v>
      </c>
      <c r="E215" s="633">
        <f t="shared" ref="E215:E223" si="24">D215-C215</f>
        <v>68.451624723194072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3453.3959733957254</v>
      </c>
      <c r="D216" s="633">
        <f>IF(D15*D138=0,0,D26/D15*D138)</f>
        <v>3307.2828985643982</v>
      </c>
      <c r="E216" s="633">
        <f t="shared" si="24"/>
        <v>-146.11307483132714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2849.829407329089</v>
      </c>
      <c r="D217" s="633">
        <f>D218+D219</f>
        <v>3391.1017274188116</v>
      </c>
      <c r="E217" s="633">
        <f t="shared" si="24"/>
        <v>541.2723200897226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2841.1296679686284</v>
      </c>
      <c r="D218" s="633">
        <f t="shared" si="25"/>
        <v>3386.7444590387249</v>
      </c>
      <c r="E218" s="633">
        <f t="shared" si="24"/>
        <v>545.61479107009654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8.6997393604605939</v>
      </c>
      <c r="D219" s="633">
        <f t="shared" si="25"/>
        <v>4.3572683800867562</v>
      </c>
      <c r="E219" s="633">
        <f t="shared" si="24"/>
        <v>-4.3424709803738377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63.520344399485012</v>
      </c>
      <c r="D220" s="633">
        <f t="shared" si="25"/>
        <v>40.267636213254299</v>
      </c>
      <c r="E220" s="633">
        <f t="shared" si="24"/>
        <v>-23.252708186230713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379.18273133071182</v>
      </c>
      <c r="D221" s="633">
        <f t="shared" si="25"/>
        <v>511.27716359172473</v>
      </c>
      <c r="E221" s="633">
        <f t="shared" si="24"/>
        <v>132.09443226101291</v>
      </c>
    </row>
    <row r="222" spans="1:5" s="421" customFormat="1" x14ac:dyDescent="0.2">
      <c r="A222" s="588"/>
      <c r="B222" s="592" t="s">
        <v>826</v>
      </c>
      <c r="C222" s="634">
        <f>C216+C218+C219+C220</f>
        <v>6366.7457251242995</v>
      </c>
      <c r="D222" s="634">
        <f>D216+D218+D219+D220</f>
        <v>6738.6522621964641</v>
      </c>
      <c r="E222" s="634">
        <f t="shared" si="24"/>
        <v>371.90653707216461</v>
      </c>
    </row>
    <row r="223" spans="1:5" s="421" customFormat="1" x14ac:dyDescent="0.2">
      <c r="A223" s="588"/>
      <c r="B223" s="592" t="s">
        <v>827</v>
      </c>
      <c r="C223" s="634">
        <f>C215+C222</f>
        <v>10879.519589967695</v>
      </c>
      <c r="D223" s="634">
        <f>D215+D222</f>
        <v>11319.877751763051</v>
      </c>
      <c r="E223" s="634">
        <f t="shared" si="24"/>
        <v>440.35816179535686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7466.4632569685054</v>
      </c>
      <c r="D227" s="636">
        <f t="shared" si="26"/>
        <v>8037.0995395788786</v>
      </c>
      <c r="E227" s="636">
        <f t="shared" ref="E227:E235" si="27">D227-C227</f>
        <v>570.6362826103732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7350.0004031459339</v>
      </c>
      <c r="D228" s="636">
        <f t="shared" si="26"/>
        <v>7706.6750694091479</v>
      </c>
      <c r="E228" s="636">
        <f t="shared" si="27"/>
        <v>356.67466626321402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3918.1432622267967</v>
      </c>
      <c r="D229" s="636">
        <f t="shared" si="26"/>
        <v>4164.0726714090333</v>
      </c>
      <c r="E229" s="636">
        <f t="shared" si="27"/>
        <v>245.92940918223667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3908.9032357075812</v>
      </c>
      <c r="D230" s="636">
        <f t="shared" si="26"/>
        <v>4124.238388691595</v>
      </c>
      <c r="E230" s="636">
        <f t="shared" si="27"/>
        <v>215.3351529840138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5049.1776264972141</v>
      </c>
      <c r="D231" s="636">
        <f t="shared" si="26"/>
        <v>10106.474147557587</v>
      </c>
      <c r="E231" s="636">
        <f t="shared" si="27"/>
        <v>5057.2965210603725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6645.6803077999293</v>
      </c>
      <c r="D232" s="636">
        <f t="shared" si="26"/>
        <v>9191.0934829576599</v>
      </c>
      <c r="E232" s="636">
        <f t="shared" si="27"/>
        <v>2545.4131751577306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2233.7951372280982</v>
      </c>
      <c r="D233" s="636">
        <f t="shared" si="26"/>
        <v>1032.4965279122655</v>
      </c>
      <c r="E233" s="636">
        <f t="shared" si="27"/>
        <v>-1201.2986093158327</v>
      </c>
    </row>
    <row r="234" spans="1:5" x14ac:dyDescent="0.2">
      <c r="A234" s="588"/>
      <c r="B234" s="592" t="s">
        <v>829</v>
      </c>
      <c r="C234" s="637">
        <f t="shared" si="26"/>
        <v>6639.4702590481556</v>
      </c>
      <c r="D234" s="637">
        <f t="shared" si="26"/>
        <v>7021.0535174848965</v>
      </c>
      <c r="E234" s="637">
        <f t="shared" si="27"/>
        <v>381.58325843674083</v>
      </c>
    </row>
    <row r="235" spans="1:5" s="421" customFormat="1" x14ac:dyDescent="0.2">
      <c r="A235" s="588"/>
      <c r="B235" s="592" t="s">
        <v>830</v>
      </c>
      <c r="C235" s="637">
        <f t="shared" si="26"/>
        <v>6836.1738918516357</v>
      </c>
      <c r="D235" s="637">
        <f t="shared" si="26"/>
        <v>7232.976936352482</v>
      </c>
      <c r="E235" s="637">
        <f t="shared" si="27"/>
        <v>396.80304450084623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6768.9768897959302</v>
      </c>
      <c r="D239" s="636">
        <f t="shared" si="28"/>
        <v>6627.8488297838812</v>
      </c>
      <c r="E239" s="638">
        <f t="shared" ref="E239:E247" si="29">D239-C239</f>
        <v>-141.12806001204899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6773.3101504139704</v>
      </c>
      <c r="D240" s="636">
        <f t="shared" si="28"/>
        <v>6549.6477514526159</v>
      </c>
      <c r="E240" s="638">
        <f t="shared" si="29"/>
        <v>-223.66239896135448</v>
      </c>
    </row>
    <row r="241" spans="1:5" x14ac:dyDescent="0.2">
      <c r="A241" s="588">
        <v>3</v>
      </c>
      <c r="B241" s="587" t="s">
        <v>778</v>
      </c>
      <c r="C241" s="636">
        <f t="shared" si="28"/>
        <v>3314.3587387051202</v>
      </c>
      <c r="D241" s="636">
        <f t="shared" si="28"/>
        <v>3293.5541006318567</v>
      </c>
      <c r="E241" s="638">
        <f t="shared" si="29"/>
        <v>-20.804638073263504</v>
      </c>
    </row>
    <row r="242" spans="1:5" x14ac:dyDescent="0.2">
      <c r="A242" s="588">
        <v>4</v>
      </c>
      <c r="B242" s="587" t="s">
        <v>115</v>
      </c>
      <c r="C242" s="636">
        <f t="shared" si="28"/>
        <v>3307.7318173651793</v>
      </c>
      <c r="D242" s="636">
        <f t="shared" si="28"/>
        <v>3292.256069170558</v>
      </c>
      <c r="E242" s="638">
        <f t="shared" si="29"/>
        <v>-15.475748194621247</v>
      </c>
    </row>
    <row r="243" spans="1:5" x14ac:dyDescent="0.2">
      <c r="A243" s="588">
        <v>5</v>
      </c>
      <c r="B243" s="587" t="s">
        <v>744</v>
      </c>
      <c r="C243" s="636">
        <f t="shared" si="28"/>
        <v>5478.5549342568593</v>
      </c>
      <c r="D243" s="636">
        <f t="shared" si="28"/>
        <v>4302.4662161449723</v>
      </c>
      <c r="E243" s="638">
        <f t="shared" si="29"/>
        <v>-1176.0887181118869</v>
      </c>
    </row>
    <row r="244" spans="1:5" x14ac:dyDescent="0.2">
      <c r="A244" s="588">
        <v>6</v>
      </c>
      <c r="B244" s="587" t="s">
        <v>424</v>
      </c>
      <c r="C244" s="636">
        <f t="shared" si="28"/>
        <v>3824.7273735179824</v>
      </c>
      <c r="D244" s="636">
        <f t="shared" si="28"/>
        <v>5774.314607607027</v>
      </c>
      <c r="E244" s="638">
        <f t="shared" si="29"/>
        <v>1949.5872340890446</v>
      </c>
    </row>
    <row r="245" spans="1:5" x14ac:dyDescent="0.2">
      <c r="A245" s="588">
        <v>7</v>
      </c>
      <c r="B245" s="587" t="s">
        <v>759</v>
      </c>
      <c r="C245" s="636">
        <f t="shared" si="28"/>
        <v>2328.2837720529237</v>
      </c>
      <c r="D245" s="636">
        <f t="shared" si="28"/>
        <v>1097.6512153555598</v>
      </c>
      <c r="E245" s="638">
        <f t="shared" si="29"/>
        <v>-1230.632556697364</v>
      </c>
    </row>
    <row r="246" spans="1:5" ht="25.5" x14ac:dyDescent="0.2">
      <c r="A246" s="588"/>
      <c r="B246" s="592" t="s">
        <v>832</v>
      </c>
      <c r="C246" s="637">
        <f t="shared" si="28"/>
        <v>5195.6255877258527</v>
      </c>
      <c r="D246" s="637">
        <f t="shared" si="28"/>
        <v>4906.4459351139103</v>
      </c>
      <c r="E246" s="639">
        <f t="shared" si="29"/>
        <v>-289.1796526119424</v>
      </c>
    </row>
    <row r="247" spans="1:5" x14ac:dyDescent="0.2">
      <c r="A247" s="588"/>
      <c r="B247" s="592" t="s">
        <v>833</v>
      </c>
      <c r="C247" s="637">
        <f t="shared" si="28"/>
        <v>5848.2443525053604</v>
      </c>
      <c r="D247" s="637">
        <f t="shared" si="28"/>
        <v>5603.1084779269313</v>
      </c>
      <c r="E247" s="639">
        <f t="shared" si="29"/>
        <v>-245.13587457842914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9846157.4186941851</v>
      </c>
      <c r="D251" s="622">
        <f>((IF((IF(D15=0,0,D26/D15)*D138)=0,0,D59/(IF(D15=0,0,D26/D15)*D138)))-(IF((IF(D17=0,0,D28/D17)*D140)=0,0,D61/(IF(D17=0,0,D28/D17)*D140))))*(IF(D17=0,0,D28/D17)*D140)</f>
        <v>11031953.23088759</v>
      </c>
      <c r="E251" s="622">
        <f>D251-C251</f>
        <v>1185795.8121934049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33604.331830589756</v>
      </c>
      <c r="D252" s="622">
        <f>IF(D231=0,0,(D228-D231)*D207)+IF(D243=0,0,(D240-D243)*D219)</f>
        <v>-8690.2395723415812</v>
      </c>
      <c r="E252" s="622">
        <f>D252-C252</f>
        <v>-42294.571402931339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2416046.2855512677</v>
      </c>
      <c r="D253" s="622">
        <f>IF(D233=0,0,(D228-D233)*D209+IF(D221=0,0,(D240-D245)*D221))</f>
        <v>3511203.8840490757</v>
      </c>
      <c r="E253" s="622">
        <f>D253-C253</f>
        <v>1095157.598497808</v>
      </c>
    </row>
    <row r="254" spans="1:5" ht="15" customHeight="1" x14ac:dyDescent="0.2">
      <c r="A254" s="588"/>
      <c r="B254" s="592" t="s">
        <v>760</v>
      </c>
      <c r="C254" s="640">
        <f>+C251+C252+C253</f>
        <v>12295808.036076043</v>
      </c>
      <c r="D254" s="640">
        <f>+D251+D252+D253</f>
        <v>14534466.875364322</v>
      </c>
      <c r="E254" s="640">
        <f>D254-C254</f>
        <v>2238658.8392882794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268038161</v>
      </c>
      <c r="D258" s="625">
        <f>+D44</f>
        <v>285320073</v>
      </c>
      <c r="E258" s="622">
        <f t="shared" ref="E258:E271" si="30">D258-C258</f>
        <v>17281912</v>
      </c>
    </row>
    <row r="259" spans="1:5" x14ac:dyDescent="0.2">
      <c r="A259" s="588">
        <v>2</v>
      </c>
      <c r="B259" s="587" t="s">
        <v>743</v>
      </c>
      <c r="C259" s="622">
        <f>+(C43-C76)</f>
        <v>109506924</v>
      </c>
      <c r="D259" s="625">
        <f>+(D43-D76)</f>
        <v>125660422</v>
      </c>
      <c r="E259" s="622">
        <f t="shared" si="30"/>
        <v>16153498</v>
      </c>
    </row>
    <row r="260" spans="1:5" x14ac:dyDescent="0.2">
      <c r="A260" s="588">
        <v>3</v>
      </c>
      <c r="B260" s="587" t="s">
        <v>747</v>
      </c>
      <c r="C260" s="622">
        <f>C195</f>
        <v>5634881</v>
      </c>
      <c r="D260" s="622">
        <f>D195</f>
        <v>4007880</v>
      </c>
      <c r="E260" s="622">
        <f t="shared" si="30"/>
        <v>-1627001</v>
      </c>
    </row>
    <row r="261" spans="1:5" x14ac:dyDescent="0.2">
      <c r="A261" s="588">
        <v>4</v>
      </c>
      <c r="B261" s="587" t="s">
        <v>748</v>
      </c>
      <c r="C261" s="622">
        <f>C188</f>
        <v>37028303</v>
      </c>
      <c r="D261" s="622">
        <f>D188</f>
        <v>38222574</v>
      </c>
      <c r="E261" s="622">
        <f t="shared" si="30"/>
        <v>1194271</v>
      </c>
    </row>
    <row r="262" spans="1:5" x14ac:dyDescent="0.2">
      <c r="A262" s="588">
        <v>5</v>
      </c>
      <c r="B262" s="587" t="s">
        <v>749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750</v>
      </c>
      <c r="C263" s="622">
        <f>+C259+C260+C261+C262</f>
        <v>152170108</v>
      </c>
      <c r="D263" s="622">
        <f>+D259+D260+D261+D262</f>
        <v>167890876</v>
      </c>
      <c r="E263" s="622">
        <f t="shared" si="30"/>
        <v>15720768</v>
      </c>
    </row>
    <row r="264" spans="1:5" x14ac:dyDescent="0.2">
      <c r="A264" s="588">
        <v>7</v>
      </c>
      <c r="B264" s="587" t="s">
        <v>655</v>
      </c>
      <c r="C264" s="622">
        <f>+C258-C263</f>
        <v>115868053</v>
      </c>
      <c r="D264" s="622">
        <f>+D258-D263</f>
        <v>117429197</v>
      </c>
      <c r="E264" s="622">
        <f t="shared" si="30"/>
        <v>1561144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115868053</v>
      </c>
      <c r="D266" s="622">
        <f>+D264+D265</f>
        <v>117429197</v>
      </c>
      <c r="E266" s="641">
        <f t="shared" si="30"/>
        <v>1561144</v>
      </c>
    </row>
    <row r="267" spans="1:5" x14ac:dyDescent="0.2">
      <c r="A267" s="588">
        <v>10</v>
      </c>
      <c r="B267" s="587" t="s">
        <v>838</v>
      </c>
      <c r="C267" s="642">
        <f>IF(C258=0,0,C266/C258)</f>
        <v>0.43228192794532716</v>
      </c>
      <c r="D267" s="642">
        <f>IF(D258=0,0,D266/D258)</f>
        <v>0.41157005101425165</v>
      </c>
      <c r="E267" s="643">
        <f t="shared" si="30"/>
        <v>-2.0711876931075512E-2</v>
      </c>
    </row>
    <row r="268" spans="1:5" x14ac:dyDescent="0.2">
      <c r="A268" s="588">
        <v>11</v>
      </c>
      <c r="B268" s="587" t="s">
        <v>717</v>
      </c>
      <c r="C268" s="622">
        <f>+C260*C267</f>
        <v>2435857.2224224932</v>
      </c>
      <c r="D268" s="644">
        <f>+D260*D267</f>
        <v>1649523.376058999</v>
      </c>
      <c r="E268" s="622">
        <f t="shared" si="30"/>
        <v>-786333.84636349417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9248622.0398290344</v>
      </c>
      <c r="D269" s="644">
        <f>((D17+D18+D28+D29)*D267)-(D50+D51+D61+D62)</f>
        <v>9203156.0940041393</v>
      </c>
      <c r="E269" s="622">
        <f t="shared" si="30"/>
        <v>-45465.945824895054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11684479.262251528</v>
      </c>
      <c r="D271" s="622">
        <f>+D268+D269+D270</f>
        <v>10852679.470063139</v>
      </c>
      <c r="E271" s="625">
        <f t="shared" si="30"/>
        <v>-831799.79218838923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0.60165277312295296</v>
      </c>
      <c r="D276" s="623">
        <f t="shared" si="31"/>
        <v>0.61817204239469536</v>
      </c>
      <c r="E276" s="650">
        <f t="shared" ref="E276:E284" si="32">D276-C276</f>
        <v>1.6519269271742409E-2</v>
      </c>
    </row>
    <row r="277" spans="1:5" x14ac:dyDescent="0.2">
      <c r="A277" s="588">
        <v>2</v>
      </c>
      <c r="B277" s="587" t="s">
        <v>636</v>
      </c>
      <c r="C277" s="623">
        <f t="shared" si="31"/>
        <v>0.54786770386439854</v>
      </c>
      <c r="D277" s="623">
        <f t="shared" si="31"/>
        <v>0.52299516521581746</v>
      </c>
      <c r="E277" s="650">
        <f t="shared" si="32"/>
        <v>-2.4872538648581077E-2</v>
      </c>
    </row>
    <row r="278" spans="1:5" x14ac:dyDescent="0.2">
      <c r="A278" s="588">
        <v>3</v>
      </c>
      <c r="B278" s="587" t="s">
        <v>778</v>
      </c>
      <c r="C278" s="623">
        <f t="shared" si="31"/>
        <v>0.29574607716544737</v>
      </c>
      <c r="D278" s="623">
        <f t="shared" si="31"/>
        <v>0.29799510420911546</v>
      </c>
      <c r="E278" s="650">
        <f t="shared" si="32"/>
        <v>2.2490270436680837E-3</v>
      </c>
    </row>
    <row r="279" spans="1:5" x14ac:dyDescent="0.2">
      <c r="A279" s="588">
        <v>4</v>
      </c>
      <c r="B279" s="587" t="s">
        <v>115</v>
      </c>
      <c r="C279" s="623">
        <f t="shared" si="31"/>
        <v>0.29552907811018841</v>
      </c>
      <c r="D279" s="623">
        <f t="shared" si="31"/>
        <v>0.29799511900453102</v>
      </c>
      <c r="E279" s="650">
        <f t="shared" si="32"/>
        <v>2.4660408943426027E-3</v>
      </c>
    </row>
    <row r="280" spans="1:5" x14ac:dyDescent="0.2">
      <c r="A280" s="588">
        <v>5</v>
      </c>
      <c r="B280" s="587" t="s">
        <v>744</v>
      </c>
      <c r="C280" s="623">
        <f t="shared" si="31"/>
        <v>0.31786353380533727</v>
      </c>
      <c r="D280" s="623">
        <f t="shared" si="31"/>
        <v>0.29799420352000244</v>
      </c>
      <c r="E280" s="650">
        <f t="shared" si="32"/>
        <v>-1.986933028533483E-2</v>
      </c>
    </row>
    <row r="281" spans="1:5" x14ac:dyDescent="0.2">
      <c r="A281" s="588">
        <v>6</v>
      </c>
      <c r="B281" s="587" t="s">
        <v>424</v>
      </c>
      <c r="C281" s="623">
        <f t="shared" si="31"/>
        <v>0.56786830972963032</v>
      </c>
      <c r="D281" s="623">
        <f t="shared" si="31"/>
        <v>0.65484600981034102</v>
      </c>
      <c r="E281" s="650">
        <f t="shared" si="32"/>
        <v>8.6977700080710707E-2</v>
      </c>
    </row>
    <row r="282" spans="1:5" x14ac:dyDescent="0.2">
      <c r="A282" s="588">
        <v>7</v>
      </c>
      <c r="B282" s="587" t="s">
        <v>759</v>
      </c>
      <c r="C282" s="623">
        <f t="shared" si="31"/>
        <v>0.20525229672156148</v>
      </c>
      <c r="D282" s="623">
        <f t="shared" si="31"/>
        <v>0.16169260208686861</v>
      </c>
      <c r="E282" s="650">
        <f t="shared" si="32"/>
        <v>-4.3559694634692864E-2</v>
      </c>
    </row>
    <row r="283" spans="1:5" ht="29.25" customHeight="1" x14ac:dyDescent="0.2">
      <c r="A283" s="588"/>
      <c r="B283" s="592" t="s">
        <v>845</v>
      </c>
      <c r="C283" s="651">
        <f t="shared" si="31"/>
        <v>0.49658360027196669</v>
      </c>
      <c r="D283" s="651">
        <f t="shared" si="31"/>
        <v>0.4814605178331805</v>
      </c>
      <c r="E283" s="652">
        <f t="shared" si="32"/>
        <v>-1.5123082438786184E-2</v>
      </c>
    </row>
    <row r="284" spans="1:5" x14ac:dyDescent="0.2">
      <c r="A284" s="588"/>
      <c r="B284" s="592" t="s">
        <v>846</v>
      </c>
      <c r="C284" s="651">
        <f t="shared" si="31"/>
        <v>0.52018282742925626</v>
      </c>
      <c r="D284" s="651">
        <f t="shared" si="31"/>
        <v>0.50747140600014595</v>
      </c>
      <c r="E284" s="652">
        <f t="shared" si="32"/>
        <v>-1.2711421429110303E-2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0.47562682182423693</v>
      </c>
      <c r="D287" s="623">
        <f t="shared" si="33"/>
        <v>0.46811733845359327</v>
      </c>
      <c r="E287" s="650">
        <f t="shared" ref="E287:E295" si="34">D287-C287</f>
        <v>-7.5094833706436659E-3</v>
      </c>
    </row>
    <row r="288" spans="1:5" x14ac:dyDescent="0.2">
      <c r="A288" s="588">
        <v>2</v>
      </c>
      <c r="B288" s="587" t="s">
        <v>636</v>
      </c>
      <c r="C288" s="623">
        <f t="shared" si="33"/>
        <v>0.36296284434218784</v>
      </c>
      <c r="D288" s="623">
        <f t="shared" si="33"/>
        <v>0.31660108232758116</v>
      </c>
      <c r="E288" s="650">
        <f t="shared" si="34"/>
        <v>-4.6361762014606678E-2</v>
      </c>
    </row>
    <row r="289" spans="1:5" x14ac:dyDescent="0.2">
      <c r="A289" s="588">
        <v>3</v>
      </c>
      <c r="B289" s="587" t="s">
        <v>778</v>
      </c>
      <c r="C289" s="623">
        <f t="shared" si="33"/>
        <v>0.24706084560826644</v>
      </c>
      <c r="D289" s="623">
        <f t="shared" si="33"/>
        <v>0.24798451110528297</v>
      </c>
      <c r="E289" s="650">
        <f t="shared" si="34"/>
        <v>9.2366549701652922E-4</v>
      </c>
    </row>
    <row r="290" spans="1:5" x14ac:dyDescent="0.2">
      <c r="A290" s="588">
        <v>4</v>
      </c>
      <c r="B290" s="587" t="s">
        <v>115</v>
      </c>
      <c r="C290" s="623">
        <f t="shared" si="33"/>
        <v>0.24660098526562463</v>
      </c>
      <c r="D290" s="623">
        <f t="shared" si="33"/>
        <v>0.24846520226350077</v>
      </c>
      <c r="E290" s="650">
        <f t="shared" si="34"/>
        <v>1.8642169978761447E-3</v>
      </c>
    </row>
    <row r="291" spans="1:5" x14ac:dyDescent="0.2">
      <c r="A291" s="588">
        <v>5</v>
      </c>
      <c r="B291" s="587" t="s">
        <v>744</v>
      </c>
      <c r="C291" s="623">
        <f t="shared" si="33"/>
        <v>0.39072657665412391</v>
      </c>
      <c r="D291" s="623">
        <f t="shared" si="33"/>
        <v>0.11530654922993652</v>
      </c>
      <c r="E291" s="650">
        <f t="shared" si="34"/>
        <v>-0.27542002742418736</v>
      </c>
    </row>
    <row r="292" spans="1:5" x14ac:dyDescent="0.2">
      <c r="A292" s="588">
        <v>6</v>
      </c>
      <c r="B292" s="587" t="s">
        <v>424</v>
      </c>
      <c r="C292" s="623">
        <f t="shared" si="33"/>
        <v>0.34293812664889028</v>
      </c>
      <c r="D292" s="623">
        <f t="shared" si="33"/>
        <v>0.39799528604659523</v>
      </c>
      <c r="E292" s="650">
        <f t="shared" si="34"/>
        <v>5.5057159397704947E-2</v>
      </c>
    </row>
    <row r="293" spans="1:5" x14ac:dyDescent="0.2">
      <c r="A293" s="588">
        <v>7</v>
      </c>
      <c r="B293" s="587" t="s">
        <v>759</v>
      </c>
      <c r="C293" s="623">
        <f t="shared" si="33"/>
        <v>0.20525221742699654</v>
      </c>
      <c r="D293" s="623">
        <f t="shared" si="33"/>
        <v>0.16169321437883827</v>
      </c>
      <c r="E293" s="650">
        <f t="shared" si="34"/>
        <v>-4.3559003048158268E-2</v>
      </c>
    </row>
    <row r="294" spans="1:5" ht="29.25" customHeight="1" x14ac:dyDescent="0.2">
      <c r="A294" s="588"/>
      <c r="B294" s="592" t="s">
        <v>848</v>
      </c>
      <c r="C294" s="651">
        <f t="shared" si="33"/>
        <v>0.31996552300597647</v>
      </c>
      <c r="D294" s="651">
        <f t="shared" si="33"/>
        <v>0.28991942701817885</v>
      </c>
      <c r="E294" s="652">
        <f t="shared" si="34"/>
        <v>-3.0046095987797616E-2</v>
      </c>
    </row>
    <row r="295" spans="1:5" x14ac:dyDescent="0.2">
      <c r="A295" s="588"/>
      <c r="B295" s="592" t="s">
        <v>849</v>
      </c>
      <c r="C295" s="651">
        <f t="shared" si="33"/>
        <v>0.37961213390608667</v>
      </c>
      <c r="D295" s="651">
        <f t="shared" si="33"/>
        <v>0.354526502772748</v>
      </c>
      <c r="E295" s="652">
        <f t="shared" si="34"/>
        <v>-2.5085631133338671E-2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115868054</v>
      </c>
      <c r="D301" s="590">
        <f>+D48+D47+D50+D51+D52+D59+D58+D61+D62+D63</f>
        <v>117429197</v>
      </c>
      <c r="E301" s="590">
        <f>D301-C301</f>
        <v>1561143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115868054</v>
      </c>
      <c r="D303" s="593">
        <f>+D301+D302</f>
        <v>117429197</v>
      </c>
      <c r="E303" s="593">
        <f>D303-C303</f>
        <v>1561143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-1245995</v>
      </c>
      <c r="D305" s="654">
        <v>-3693469</v>
      </c>
      <c r="E305" s="655">
        <f>D305-C305</f>
        <v>-2447474</v>
      </c>
    </row>
    <row r="306" spans="1:5" x14ac:dyDescent="0.2">
      <c r="A306" s="588">
        <v>4</v>
      </c>
      <c r="B306" s="592" t="s">
        <v>856</v>
      </c>
      <c r="C306" s="593">
        <f>+C303+C305+C194+C190-C191</f>
        <v>117321562</v>
      </c>
      <c r="D306" s="593">
        <f>+D303+D305</f>
        <v>113735728</v>
      </c>
      <c r="E306" s="656">
        <f>D306-C306</f>
        <v>-3585834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114622050</v>
      </c>
      <c r="D308" s="589">
        <v>113735732</v>
      </c>
      <c r="E308" s="590">
        <f>D308-C308</f>
        <v>-886318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2699512</v>
      </c>
      <c r="D310" s="658">
        <f>D306-D308</f>
        <v>-4</v>
      </c>
      <c r="E310" s="656">
        <f>D310-C310</f>
        <v>-2699516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268038161</v>
      </c>
      <c r="D314" s="590">
        <f>+D14+D15+D16+D19+D25+D26+D27+D30</f>
        <v>285320073</v>
      </c>
      <c r="E314" s="590">
        <f>D314-C314</f>
        <v>17281912</v>
      </c>
    </row>
    <row r="315" spans="1:5" x14ac:dyDescent="0.2">
      <c r="A315" s="588">
        <v>2</v>
      </c>
      <c r="B315" s="659" t="s">
        <v>861</v>
      </c>
      <c r="C315" s="589">
        <v>-2935378</v>
      </c>
      <c r="D315" s="589">
        <v>-1613966</v>
      </c>
      <c r="E315" s="590">
        <f>D315-C315</f>
        <v>1321412</v>
      </c>
    </row>
    <row r="316" spans="1:5" x14ac:dyDescent="0.2">
      <c r="A316" s="588"/>
      <c r="B316" s="592" t="s">
        <v>862</v>
      </c>
      <c r="C316" s="657">
        <f>C314+C315</f>
        <v>265102783</v>
      </c>
      <c r="D316" s="657">
        <f>D314+D315</f>
        <v>283706107</v>
      </c>
      <c r="E316" s="593">
        <f>D316-C316</f>
        <v>18603324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265102773</v>
      </c>
      <c r="D318" s="589">
        <v>283706107</v>
      </c>
      <c r="E318" s="590">
        <f>D318-C318</f>
        <v>18603334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10</v>
      </c>
      <c r="D320" s="657">
        <f>D316-D318</f>
        <v>0</v>
      </c>
      <c r="E320" s="593">
        <f>D320-C320</f>
        <v>-10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5634881</v>
      </c>
      <c r="D324" s="589">
        <f>+D193+D194</f>
        <v>4007880</v>
      </c>
      <c r="E324" s="590">
        <f>D324-C324</f>
        <v>-1627001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5634881</v>
      </c>
      <c r="D326" s="657">
        <f>D324+D325</f>
        <v>4007880</v>
      </c>
      <c r="E326" s="593">
        <f>D326-C326</f>
        <v>-1627001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5634881</v>
      </c>
      <c r="D328" s="589">
        <v>4007880</v>
      </c>
      <c r="E328" s="590">
        <f>D328-C328</f>
        <v>-1627001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5" orientation="portrait" horizontalDpi="1200" verticalDpi="1200" r:id="rId1"/>
  <headerFooter>
    <oddHeader>_x000D_
                &amp;LOFFICE OF HEALTH CARE ACCESS&amp;CTWELVE MONTHS ACTUAL FILING&amp;RCHARLOTTE HUNGERFORD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20246684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69571668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16161638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15900445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261193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435255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692425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86168561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106415245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64863374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68419027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45038204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44875620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162584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584223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3470795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114041454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178904828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85110058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200210015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285320073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12515934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36385646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4816089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4738255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77834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285025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111960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41486760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54002694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30363670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21661538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11168777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11150030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18747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232518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561204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33062833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63426503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42879604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74549593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117429197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1430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3363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1207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1200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7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30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102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4600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6030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1.089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1.4038999999999999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0.95822816901408459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0.95740000000000003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1.1002000000000001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1.0337000000000001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1.0630999999999999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1.2845452391304348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1.2381721558872305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85110058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46887484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38222574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0.44909585186747258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1613966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2393914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4007880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6810203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121979251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117429197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117429197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-3693469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113735728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113735732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-4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285320073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-1613966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283706107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283706107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4007880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4007880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4007880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67" orientation="portrait" r:id="rId1"/>
  <headerFooter>
    <oddHeader>&amp;LOFFICE OF HEALTH CARE ACCESS&amp;CTWELVE MONTHS ACTUAL FILING&amp;RCHARLOTTE HUNGERFORD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883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1741</v>
      </c>
      <c r="D12" s="185">
        <v>1411</v>
      </c>
      <c r="E12" s="185">
        <f>+D12-C12</f>
        <v>-330</v>
      </c>
      <c r="F12" s="77">
        <f>IF(C12=0,0,+E12/C12)</f>
        <v>-0.18954623779437105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1736</v>
      </c>
      <c r="D13" s="185">
        <v>1399</v>
      </c>
      <c r="E13" s="185">
        <f>+D13-C13</f>
        <v>-337</v>
      </c>
      <c r="F13" s="77">
        <f>IF(C13=0,0,+E13/C13)</f>
        <v>-0.19412442396313365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2935378</v>
      </c>
      <c r="D15" s="76">
        <v>1613966</v>
      </c>
      <c r="E15" s="76">
        <f>+D15-C15</f>
        <v>-1321412</v>
      </c>
      <c r="F15" s="77">
        <f>IF(C15=0,0,+E15/C15)</f>
        <v>-0.45016757637346877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1690.8859447004609</v>
      </c>
      <c r="D16" s="79">
        <f>IF(D13=0,0,+D15/+D13)</f>
        <v>1153.6568977841316</v>
      </c>
      <c r="E16" s="79">
        <f>+D16-C16</f>
        <v>-537.22904691632925</v>
      </c>
      <c r="F16" s="80">
        <f>IF(C16=0,0,+E16/C16)</f>
        <v>-0.31772045216893618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0.46571600000000002</v>
      </c>
      <c r="D18" s="704">
        <v>0.44271100000000002</v>
      </c>
      <c r="E18" s="704">
        <f>+D18-C18</f>
        <v>-2.3004999999999998E-2</v>
      </c>
      <c r="F18" s="77">
        <f>IF(C18=0,0,+E18/C18)</f>
        <v>-4.9397057434144409E-2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1367052.500648</v>
      </c>
      <c r="D19" s="79">
        <f>+D15*D18</f>
        <v>714520.50182600005</v>
      </c>
      <c r="E19" s="79">
        <f>+D19-C19</f>
        <v>-652531.99882199999</v>
      </c>
      <c r="F19" s="80">
        <f>IF(C19=0,0,+E19/C19)</f>
        <v>-0.47732768018250332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787.4726386221198</v>
      </c>
      <c r="D20" s="79">
        <f>IF(D13=0,0,+D19/D13)</f>
        <v>510.73659887491067</v>
      </c>
      <c r="E20" s="79">
        <f>+D20-C20</f>
        <v>-276.73603974720913</v>
      </c>
      <c r="F20" s="80">
        <f>IF(C20=0,0,+E20/C20)</f>
        <v>-0.35142305417928932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1227241</v>
      </c>
      <c r="D22" s="76">
        <v>442989</v>
      </c>
      <c r="E22" s="76">
        <f>+D22-C22</f>
        <v>-784252</v>
      </c>
      <c r="F22" s="77">
        <f>IF(C22=0,0,+E22/C22)</f>
        <v>-0.6390366684294283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762562</v>
      </c>
      <c r="D23" s="185">
        <v>564334</v>
      </c>
      <c r="E23" s="185">
        <f>+D23-C23</f>
        <v>-198228</v>
      </c>
      <c r="F23" s="77">
        <f>IF(C23=0,0,+E23/C23)</f>
        <v>-0.25995001062208711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945575</v>
      </c>
      <c r="D24" s="185">
        <v>606643</v>
      </c>
      <c r="E24" s="185">
        <f>+D24-C24</f>
        <v>-338932</v>
      </c>
      <c r="F24" s="77">
        <f>IF(C24=0,0,+E24/C24)</f>
        <v>-0.35844010258308434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2935378</v>
      </c>
      <c r="D25" s="79">
        <f>+D22+D23+D24</f>
        <v>1613966</v>
      </c>
      <c r="E25" s="79">
        <f>+E22+E23+E24</f>
        <v>-1321412</v>
      </c>
      <c r="F25" s="80">
        <f>IF(C25=0,0,+E25/C25)</f>
        <v>-0.45016757637346877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243</v>
      </c>
      <c r="D27" s="185">
        <v>120</v>
      </c>
      <c r="E27" s="185">
        <f>+D27-C27</f>
        <v>-123</v>
      </c>
      <c r="F27" s="77">
        <f>IF(C27=0,0,+E27/C27)</f>
        <v>-0.50617283950617287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46</v>
      </c>
      <c r="D28" s="185">
        <v>29</v>
      </c>
      <c r="E28" s="185">
        <f>+D28-C28</f>
        <v>-17</v>
      </c>
      <c r="F28" s="77">
        <f>IF(C28=0,0,+E28/C28)</f>
        <v>-0.36956521739130432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1728</v>
      </c>
      <c r="D29" s="185">
        <v>1480</v>
      </c>
      <c r="E29" s="185">
        <f>+D29-C29</f>
        <v>-248</v>
      </c>
      <c r="F29" s="77">
        <f>IF(C29=0,0,+E29/C29)</f>
        <v>-0.14351851851851852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3983</v>
      </c>
      <c r="D30" s="185">
        <v>3023</v>
      </c>
      <c r="E30" s="185">
        <f>+D30-C30</f>
        <v>-960</v>
      </c>
      <c r="F30" s="77">
        <f>IF(C30=0,0,+E30/C30)</f>
        <v>-0.24102435350238513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738812</v>
      </c>
      <c r="D33" s="76">
        <v>583876</v>
      </c>
      <c r="E33" s="76">
        <f>+D33-C33</f>
        <v>-154936</v>
      </c>
      <c r="F33" s="77">
        <f>IF(C33=0,0,+E33/C33)</f>
        <v>-0.20970964196575043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879559</v>
      </c>
      <c r="D34" s="185">
        <v>832364</v>
      </c>
      <c r="E34" s="185">
        <f>+D34-C34</f>
        <v>-47195</v>
      </c>
      <c r="F34" s="77">
        <f>IF(C34=0,0,+E34/C34)</f>
        <v>-5.365757157848422E-2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1081132</v>
      </c>
      <c r="D35" s="185">
        <v>977674</v>
      </c>
      <c r="E35" s="185">
        <f>+D35-C35</f>
        <v>-103458</v>
      </c>
      <c r="F35" s="77">
        <f>IF(C35=0,0,+E35/C35)</f>
        <v>-9.569414280587385E-2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2699503</v>
      </c>
      <c r="D36" s="79">
        <f>+D33+D34+D35</f>
        <v>2393914</v>
      </c>
      <c r="E36" s="79">
        <f>+E33+E34+E35</f>
        <v>-305589</v>
      </c>
      <c r="F36" s="80">
        <f>IF(C36=0,0,+E36/C36)</f>
        <v>-0.11320194865499315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2935378</v>
      </c>
      <c r="D39" s="76">
        <f>+D25</f>
        <v>1613966</v>
      </c>
      <c r="E39" s="76">
        <f>+D39-C39</f>
        <v>-1321412</v>
      </c>
      <c r="F39" s="77">
        <f>IF(C39=0,0,+E39/C39)</f>
        <v>-0.45016757637346877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2699503</v>
      </c>
      <c r="D40" s="185">
        <f>+D36</f>
        <v>2393914</v>
      </c>
      <c r="E40" s="185">
        <f>+D40-C40</f>
        <v>-305589</v>
      </c>
      <c r="F40" s="77">
        <f>IF(C40=0,0,+E40/C40)</f>
        <v>-0.11320194865499315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5634881</v>
      </c>
      <c r="D41" s="79">
        <f>+D39+D40</f>
        <v>4007880</v>
      </c>
      <c r="E41" s="79">
        <f>+E39+E40</f>
        <v>-1627001</v>
      </c>
      <c r="F41" s="80">
        <f>IF(C41=0,0,+E41/C41)</f>
        <v>-0.28873741965447008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1966053</v>
      </c>
      <c r="D43" s="76">
        <f t="shared" si="0"/>
        <v>1026865</v>
      </c>
      <c r="E43" s="76">
        <f>+D43-C43</f>
        <v>-939188</v>
      </c>
      <c r="F43" s="77">
        <f>IF(C43=0,0,+E43/C43)</f>
        <v>-0.47770227964352946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1642121</v>
      </c>
      <c r="D44" s="185">
        <f t="shared" si="0"/>
        <v>1396698</v>
      </c>
      <c r="E44" s="185">
        <f>+D44-C44</f>
        <v>-245423</v>
      </c>
      <c r="F44" s="77">
        <f>IF(C44=0,0,+E44/C44)</f>
        <v>-0.14945488182661326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2026707</v>
      </c>
      <c r="D45" s="185">
        <f t="shared" si="0"/>
        <v>1584317</v>
      </c>
      <c r="E45" s="185">
        <f>+D45-C45</f>
        <v>-442390</v>
      </c>
      <c r="F45" s="77">
        <f>IF(C45=0,0,+E45/C45)</f>
        <v>-0.21828019541058474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5634881</v>
      </c>
      <c r="D46" s="79">
        <f>+D43+D44+D45</f>
        <v>4007880</v>
      </c>
      <c r="E46" s="79">
        <f>+E43+E44+E45</f>
        <v>-1627001</v>
      </c>
      <c r="F46" s="80">
        <f>IF(C46=0,0,+E46/C46)</f>
        <v>-0.28873741965447008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912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FILING&amp;RCHARLOTTE HUNGERFORD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Normal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913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914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86781671</v>
      </c>
      <c r="D15" s="76">
        <v>85110058</v>
      </c>
      <c r="E15" s="76">
        <f>+D15-C15</f>
        <v>-1671613</v>
      </c>
      <c r="F15" s="77">
        <f>IF(C15=0,0,E15/C15)</f>
        <v>-1.9262281778372303E-2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37028303</v>
      </c>
      <c r="D17" s="76">
        <v>38222574</v>
      </c>
      <c r="E17" s="76">
        <f>+D17-C17</f>
        <v>1194271</v>
      </c>
      <c r="F17" s="77">
        <f>IF(C17=0,0,E17/C17)</f>
        <v>3.2252922852014039E-2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49753368</v>
      </c>
      <c r="D19" s="79">
        <f>+D15-D17</f>
        <v>46887484</v>
      </c>
      <c r="E19" s="79">
        <f>+D19-C19</f>
        <v>-2865884</v>
      </c>
      <c r="F19" s="80">
        <f>IF(C19=0,0,E19/C19)</f>
        <v>-5.7601808987082039E-2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0.42668345254610274</v>
      </c>
      <c r="D21" s="720">
        <f>IF(D15=0,0,D17/D15)</f>
        <v>0.44909585186747258</v>
      </c>
      <c r="E21" s="720">
        <f>+D21-C21</f>
        <v>2.2412399321369847E-2</v>
      </c>
      <c r="F21" s="80">
        <f>IF(C21=0,0,E21/C21)</f>
        <v>5.2526994397440824E-2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FILING&amp;R&amp;12CHARLOTTE HUNGERFORD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zoomScale="75" zoomScaleNormal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101429210</v>
      </c>
      <c r="D10" s="744">
        <v>100430007</v>
      </c>
      <c r="E10" s="744">
        <v>106415245</v>
      </c>
    </row>
    <row r="11" spans="1:6" ht="26.1" customHeight="1" x14ac:dyDescent="0.25">
      <c r="A11" s="742">
        <v>2</v>
      </c>
      <c r="B11" s="743" t="s">
        <v>933</v>
      </c>
      <c r="C11" s="744">
        <v>158509361</v>
      </c>
      <c r="D11" s="744">
        <v>167608154</v>
      </c>
      <c r="E11" s="744">
        <v>178904828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259938571</v>
      </c>
      <c r="D12" s="744">
        <f>+D11+D10</f>
        <v>268038161</v>
      </c>
      <c r="E12" s="744">
        <f>+E11+E10</f>
        <v>285320073</v>
      </c>
    </row>
    <row r="13" spans="1:6" ht="26.1" customHeight="1" x14ac:dyDescent="0.25">
      <c r="A13" s="742">
        <v>4</v>
      </c>
      <c r="B13" s="743" t="s">
        <v>507</v>
      </c>
      <c r="C13" s="744">
        <v>116677548</v>
      </c>
      <c r="D13" s="744">
        <v>114622054</v>
      </c>
      <c r="E13" s="744">
        <v>113735731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124899985</v>
      </c>
      <c r="D16" s="744">
        <v>121998831</v>
      </c>
      <c r="E16" s="744">
        <v>121979251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26574</v>
      </c>
      <c r="D19" s="747">
        <v>25604</v>
      </c>
      <c r="E19" s="747">
        <v>26064</v>
      </c>
    </row>
    <row r="20" spans="1:5" ht="26.1" customHeight="1" x14ac:dyDescent="0.25">
      <c r="A20" s="742">
        <v>2</v>
      </c>
      <c r="B20" s="743" t="s">
        <v>381</v>
      </c>
      <c r="C20" s="748">
        <v>6533</v>
      </c>
      <c r="D20" s="748">
        <v>6106</v>
      </c>
      <c r="E20" s="748">
        <v>6030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4.0676565130874023</v>
      </c>
      <c r="D21" s="749">
        <f>IF(D20=0,0,+D19/D20)</f>
        <v>4.1932525384867345</v>
      </c>
      <c r="E21" s="749">
        <f>IF(E20=0,0,+E19/E20)</f>
        <v>4.3223880597014928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68102.744621140198</v>
      </c>
      <c r="D22" s="748">
        <f>IF(D10=0,0,D19*(D12/D10))</f>
        <v>68334.646977013545</v>
      </c>
      <c r="E22" s="748">
        <f>IF(E10=0,0,E19*(E12/E10))</f>
        <v>69882.678770997518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16742.501340028182</v>
      </c>
      <c r="D23" s="748">
        <f>IF(D10=0,0,D20*(D12/D10))</f>
        <v>16296.334730575094</v>
      </c>
      <c r="E23" s="748">
        <f>IF(E10=0,0,E20*(E12/E10))</f>
        <v>16167.608693566415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1.2741052655747744</v>
      </c>
      <c r="D26" s="750">
        <v>1.2515540288241074</v>
      </c>
      <c r="E26" s="750">
        <v>1.2381721558872305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33858.073327384052</v>
      </c>
      <c r="D27" s="748">
        <f>D19*D26</f>
        <v>32044.789354012446</v>
      </c>
      <c r="E27" s="748">
        <f>E19*E26</f>
        <v>32271.719071044776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8323.7297000000017</v>
      </c>
      <c r="D28" s="748">
        <f>D20*D26</f>
        <v>7641.9888999999994</v>
      </c>
      <c r="E28" s="748">
        <f>E20*E26</f>
        <v>7466.1781000000001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86770.065521888871</v>
      </c>
      <c r="D29" s="748">
        <f>D22*D26</f>
        <v>85524.502732354405</v>
      </c>
      <c r="E29" s="748">
        <f>E22*E26</f>
        <v>86526.787033060798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21331.709116222624</v>
      </c>
      <c r="D30" s="748">
        <f>D23*D26</f>
        <v>20395.743387117484</v>
      </c>
      <c r="E30" s="748">
        <f>E23*E26</f>
        <v>20018.28291165426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9781.6877775269058</v>
      </c>
      <c r="D33" s="744">
        <f>IF(D19=0,0,D12/D19)</f>
        <v>10468.604944539915</v>
      </c>
      <c r="E33" s="744">
        <f>IF(E19=0,0,E12/E19)</f>
        <v>10946.902739410682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39788.545997244757</v>
      </c>
      <c r="D34" s="744">
        <f>IF(D20=0,0,D12/D20)</f>
        <v>43897.504258106783</v>
      </c>
      <c r="E34" s="744">
        <f>IF(E20=0,0,E12/E20)</f>
        <v>47316.761691542291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3816.8589598856029</v>
      </c>
      <c r="D35" s="744">
        <f>IF(D22=0,0,D12/D22)</f>
        <v>3922.4342680831123</v>
      </c>
      <c r="E35" s="744">
        <f>IF(E22=0,0,E12/E22)</f>
        <v>4082.8439610190303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15525.67120771468</v>
      </c>
      <c r="D36" s="744">
        <f>IF(D23=0,0,D12/D23)</f>
        <v>16447.757451686866</v>
      </c>
      <c r="E36" s="744">
        <f>IF(E23=0,0,E12/E23)</f>
        <v>17647.635986733003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2995.7171224496442</v>
      </c>
      <c r="D37" s="744">
        <f>IF(D29=0,0,D12/D29)</f>
        <v>3134.0510898825682</v>
      </c>
      <c r="E37" s="744">
        <f>IF(E29=0,0,E12/E29)</f>
        <v>3297.4768020796009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12185.548264499746</v>
      </c>
      <c r="D38" s="744">
        <f>IF(D30=0,0,D12/D30)</f>
        <v>13141.867688397195</v>
      </c>
      <c r="E38" s="744">
        <f>IF(E30=0,0,E12/E30)</f>
        <v>14252.974356451528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1489.3556869735132</v>
      </c>
      <c r="D39" s="744">
        <f>IF(D22=0,0,D10/D22)</f>
        <v>1469.6791663207496</v>
      </c>
      <c r="E39" s="744">
        <f>IF(E22=0,0,E10/E22)</f>
        <v>1522.7699749278088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6058.1873604215743</v>
      </c>
      <c r="D40" s="744">
        <f>IF(D23=0,0,D10/D23)</f>
        <v>6162.7358949355512</v>
      </c>
      <c r="E40" s="744">
        <f>IF(E23=0,0,E10/E23)</f>
        <v>6582.0027572999015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4390.6656130051933</v>
      </c>
      <c r="D43" s="744">
        <f>IF(D19=0,0,D13/D19)</f>
        <v>4476.7244961724728</v>
      </c>
      <c r="E43" s="744">
        <f>IF(E19=0,0,E13/E19)</f>
        <v>4363.7097529158991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17859.719577529464</v>
      </c>
      <c r="D44" s="744">
        <f>IF(D20=0,0,D13/D20)</f>
        <v>18772.036357680969</v>
      </c>
      <c r="E44" s="744">
        <f>IF(E20=0,0,E13/E20)</f>
        <v>18861.646932006632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1713.2576469433714</v>
      </c>
      <c r="D45" s="744">
        <f>IF(D22=0,0,D13/D22)</f>
        <v>1677.3636664656606</v>
      </c>
      <c r="E45" s="744">
        <f>IF(E22=0,0,E13/E22)</f>
        <v>1627.5239158004663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6968.9436261860019</v>
      </c>
      <c r="D46" s="744">
        <f>IF(D23=0,0,D13/D23)</f>
        <v>7033.6094523725469</v>
      </c>
      <c r="E46" s="744">
        <f>IF(E23=0,0,E13/E23)</f>
        <v>7034.7899405345524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1344.6751169107574</v>
      </c>
      <c r="D47" s="744">
        <f>IF(D29=0,0,D13/D29)</f>
        <v>1340.2247348775034</v>
      </c>
      <c r="E47" s="744">
        <f>IF(E29=0,0,E13/E29)</f>
        <v>1314.4568855485527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5469.6764972886067</v>
      </c>
      <c r="D48" s="744">
        <f>IF(D30=0,0,D13/D30)</f>
        <v>5619.9007716678016</v>
      </c>
      <c r="E48" s="744">
        <f>IF(E30=0,0,E13/E30)</f>
        <v>5681.5927470874758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4700.0822232257096</v>
      </c>
      <c r="D51" s="744">
        <f>IF(D19=0,0,D16/D19)</f>
        <v>4764.8348304952351</v>
      </c>
      <c r="E51" s="744">
        <f>IF(E19=0,0,E16/E19)</f>
        <v>4679.9896792510744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19118.320067350374</v>
      </c>
      <c r="D52" s="744">
        <f>IF(D20=0,0,D16/D20)</f>
        <v>19980.155748444155</v>
      </c>
      <c r="E52" s="744">
        <f>IF(E20=0,0,E16/E20)</f>
        <v>20228.731509121062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1833.9934123775242</v>
      </c>
      <c r="D53" s="744">
        <f>IF(D22=0,0,D16/D22)</f>
        <v>1785.3144253607991</v>
      </c>
      <c r="E53" s="744">
        <f>IF(E22=0,0,E16/E22)</f>
        <v>1745.4861940785165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7460.0552488168269</v>
      </c>
      <c r="D54" s="744">
        <f>IF(D23=0,0,D16/D23)</f>
        <v>7486.2742461411563</v>
      </c>
      <c r="E54" s="744">
        <f>IF(E23=0,0,E16/E23)</f>
        <v>7544.6686836587814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1439.4363338182839</v>
      </c>
      <c r="D55" s="744">
        <f>IF(D29=0,0,D16/D29)</f>
        <v>1426.4781098089584</v>
      </c>
      <c r="E55" s="744">
        <f>IF(E29=0,0,E16/E29)</f>
        <v>1409.7281914951177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5855.1325784305945</v>
      </c>
      <c r="D56" s="744">
        <f>IF(D30=0,0,D16/D30)</f>
        <v>5981.5829550521721</v>
      </c>
      <c r="E56" s="744">
        <f>IF(E30=0,0,E16/E30)</f>
        <v>6093.3923023430762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22590903</v>
      </c>
      <c r="D59" s="752">
        <v>22031082</v>
      </c>
      <c r="E59" s="752">
        <v>21468707</v>
      </c>
    </row>
    <row r="60" spans="1:6" ht="26.1" customHeight="1" x14ac:dyDescent="0.25">
      <c r="A60" s="742">
        <v>2</v>
      </c>
      <c r="B60" s="743" t="s">
        <v>969</v>
      </c>
      <c r="C60" s="752">
        <v>6262671</v>
      </c>
      <c r="D60" s="752">
        <v>5451956</v>
      </c>
      <c r="E60" s="752">
        <v>5471464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28853574</v>
      </c>
      <c r="D61" s="755">
        <f>D59+D60</f>
        <v>27483038</v>
      </c>
      <c r="E61" s="755">
        <f>E59+E60</f>
        <v>26940171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8984103</v>
      </c>
      <c r="D64" s="744">
        <v>8726511</v>
      </c>
      <c r="E64" s="752">
        <v>8229856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2490581</v>
      </c>
      <c r="D65" s="752">
        <v>2159520</v>
      </c>
      <c r="E65" s="752">
        <v>2097442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11474684</v>
      </c>
      <c r="D66" s="757">
        <f>D64+D65</f>
        <v>10886031</v>
      </c>
      <c r="E66" s="757">
        <f>E64+E65</f>
        <v>10327298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26897491</v>
      </c>
      <c r="D69" s="752">
        <v>25945384</v>
      </c>
      <c r="E69" s="752">
        <v>26231947</v>
      </c>
    </row>
    <row r="70" spans="1:6" ht="26.1" customHeight="1" x14ac:dyDescent="0.25">
      <c r="A70" s="742">
        <v>2</v>
      </c>
      <c r="B70" s="743" t="s">
        <v>977</v>
      </c>
      <c r="C70" s="752">
        <v>7456548</v>
      </c>
      <c r="D70" s="752">
        <v>6420615</v>
      </c>
      <c r="E70" s="752">
        <v>6685410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34354039</v>
      </c>
      <c r="D71" s="755">
        <f>D69+D70</f>
        <v>32365999</v>
      </c>
      <c r="E71" s="755">
        <f>E69+E70</f>
        <v>32917357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58472497</v>
      </c>
      <c r="D75" s="744">
        <f t="shared" si="0"/>
        <v>56702977</v>
      </c>
      <c r="E75" s="744">
        <f t="shared" si="0"/>
        <v>55930510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16209800</v>
      </c>
      <c r="D76" s="744">
        <f t="shared" si="0"/>
        <v>14032091</v>
      </c>
      <c r="E76" s="744">
        <f t="shared" si="0"/>
        <v>14254316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74682297</v>
      </c>
      <c r="D77" s="757">
        <f>D75+D76</f>
        <v>70735068</v>
      </c>
      <c r="E77" s="757">
        <f>E75+E76</f>
        <v>70184826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305.89999999999998</v>
      </c>
      <c r="D80" s="749">
        <v>296.39999999999998</v>
      </c>
      <c r="E80" s="749">
        <v>286.5</v>
      </c>
    </row>
    <row r="81" spans="1:5" ht="26.1" customHeight="1" x14ac:dyDescent="0.25">
      <c r="A81" s="742">
        <v>2</v>
      </c>
      <c r="B81" s="743" t="s">
        <v>617</v>
      </c>
      <c r="C81" s="749">
        <v>33.9</v>
      </c>
      <c r="D81" s="749">
        <v>30.9</v>
      </c>
      <c r="E81" s="749">
        <v>29.6</v>
      </c>
    </row>
    <row r="82" spans="1:5" ht="26.1" customHeight="1" x14ac:dyDescent="0.25">
      <c r="A82" s="742">
        <v>3</v>
      </c>
      <c r="B82" s="743" t="s">
        <v>983</v>
      </c>
      <c r="C82" s="749">
        <v>449.2</v>
      </c>
      <c r="D82" s="749">
        <v>439.7</v>
      </c>
      <c r="E82" s="749">
        <v>433.3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789</v>
      </c>
      <c r="D83" s="759">
        <f>D80+D81+D82</f>
        <v>767</v>
      </c>
      <c r="E83" s="759">
        <f>E80+E81+E82</f>
        <v>749.40000000000009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73850.614579928093</v>
      </c>
      <c r="D86" s="752">
        <f>IF(D80=0,0,D59/D80)</f>
        <v>74328.886639676115</v>
      </c>
      <c r="E86" s="752">
        <f>IF(E80=0,0,E59/E80)</f>
        <v>74934.404886561955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20472.935599869241</v>
      </c>
      <c r="D87" s="752">
        <f>IF(D80=0,0,D60/D80)</f>
        <v>18393.913630229421</v>
      </c>
      <c r="E87" s="752">
        <f>IF(E80=0,0,E60/E80)</f>
        <v>19097.605584642235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94323.550179797341</v>
      </c>
      <c r="D88" s="755">
        <f>+D86+D87</f>
        <v>92722.800269905536</v>
      </c>
      <c r="E88" s="755">
        <f>+E86+E87</f>
        <v>94032.010471204194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265017.7876106195</v>
      </c>
      <c r="D91" s="744">
        <f>IF(D81=0,0,D64/D81)</f>
        <v>282411.359223301</v>
      </c>
      <c r="E91" s="744">
        <f>IF(E81=0,0,E64/E81)</f>
        <v>278035.67567567568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73468.466076696175</v>
      </c>
      <c r="D92" s="744">
        <f>IF(D81=0,0,D65/D81)</f>
        <v>69887.378640776704</v>
      </c>
      <c r="E92" s="744">
        <f>IF(E81=0,0,E65/E81)</f>
        <v>70859.527027027027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338486.25368731568</v>
      </c>
      <c r="D93" s="757">
        <f>+D91+D92</f>
        <v>352298.73786407767</v>
      </c>
      <c r="E93" s="757">
        <f>+E91+E92</f>
        <v>348895.20270270272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59878.653161175425</v>
      </c>
      <c r="D96" s="752">
        <f>IF(D82=0,0,D69/D82)</f>
        <v>59007.013873095297</v>
      </c>
      <c r="E96" s="752">
        <f>IF(E82=0,0,E69/E82)</f>
        <v>60539.919224555735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16599.617097061444</v>
      </c>
      <c r="D97" s="752">
        <f>IF(D82=0,0,D70/D82)</f>
        <v>14602.262906527178</v>
      </c>
      <c r="E97" s="752">
        <f>IF(E82=0,0,E70/E82)</f>
        <v>15429.056081237019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76478.270258236866</v>
      </c>
      <c r="D98" s="757">
        <f>+D96+D97</f>
        <v>73609.27677962248</v>
      </c>
      <c r="E98" s="757">
        <f>+E96+E97</f>
        <v>75968.975305792759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74109.628643852979</v>
      </c>
      <c r="D101" s="744">
        <f>IF(D83=0,0,D75/D83)</f>
        <v>73928.262059973931</v>
      </c>
      <c r="E101" s="744">
        <f>IF(E83=0,0,E75/E83)</f>
        <v>74633.720309580982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20544.740177439799</v>
      </c>
      <c r="D102" s="761">
        <f>IF(D83=0,0,D76/D83)</f>
        <v>18294.773142112124</v>
      </c>
      <c r="E102" s="761">
        <f>IF(E83=0,0,E76/E83)</f>
        <v>19020.971443821723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94654.368821292781</v>
      </c>
      <c r="D103" s="757">
        <f>+D101+D102</f>
        <v>92223.035202086059</v>
      </c>
      <c r="E103" s="757">
        <f>+E101+E102</f>
        <v>93654.691753402702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2810.3521110860238</v>
      </c>
      <c r="D108" s="744">
        <f>IF(D19=0,0,D77/D19)</f>
        <v>2762.6569286049053</v>
      </c>
      <c r="E108" s="744">
        <f>IF(E19=0,0,E77/E19)</f>
        <v>2692.7879834254145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11431.547068727996</v>
      </c>
      <c r="D109" s="744">
        <f>IF(D20=0,0,D77/D20)</f>
        <v>11584.518178840484</v>
      </c>
      <c r="E109" s="744">
        <f>IF(E20=0,0,E77/E20)</f>
        <v>11639.274626865672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1096.6121470648834</v>
      </c>
      <c r="D110" s="744">
        <f>IF(D22=0,0,D77/D22)</f>
        <v>1035.1274372397638</v>
      </c>
      <c r="E110" s="744">
        <f>IF(E22=0,0,E77/E22)</f>
        <v>1004.3236354747162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4460.6415423392336</v>
      </c>
      <c r="D111" s="744">
        <f>IF(D23=0,0,D77/D23)</f>
        <v>4340.5507538629072</v>
      </c>
      <c r="E111" s="744">
        <f>IF(E23=0,0,E77/E23)</f>
        <v>4341.076490051908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860.69195120246195</v>
      </c>
      <c r="D112" s="744">
        <f>IF(D29=0,0,D77/D29)</f>
        <v>827.07371268047746</v>
      </c>
      <c r="E112" s="744">
        <f>IF(E29=0,0,E77/E29)</f>
        <v>811.13408236438113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3500.9992210705987</v>
      </c>
      <c r="D113" s="744">
        <f>IF(D30=0,0,D77/D30)</f>
        <v>3468.12894521306</v>
      </c>
      <c r="E113" s="744">
        <f>IF(E30=0,0,E77/E30)</f>
        <v>3506.0362724287279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FILING&amp;R&amp;"Arial,Bold"&amp;12CHARLOTTE HUNGERFORD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268038155</v>
      </c>
      <c r="D12" s="76">
        <v>285320073</v>
      </c>
      <c r="E12" s="76">
        <f t="shared" ref="E12:E21" si="0">D12-C12</f>
        <v>17281918</v>
      </c>
      <c r="F12" s="77">
        <f t="shared" ref="F12:F21" si="1">IF(C12=0,0,E12/C12)</f>
        <v>6.4475589305559869E-2</v>
      </c>
    </row>
    <row r="13" spans="1:8" ht="23.1" customHeight="1" x14ac:dyDescent="0.2">
      <c r="A13" s="74">
        <v>2</v>
      </c>
      <c r="B13" s="75" t="s">
        <v>72</v>
      </c>
      <c r="C13" s="76">
        <v>147781220</v>
      </c>
      <c r="D13" s="76">
        <v>167576462</v>
      </c>
      <c r="E13" s="76">
        <f t="shared" si="0"/>
        <v>19795242</v>
      </c>
      <c r="F13" s="77">
        <f t="shared" si="1"/>
        <v>0.13394964529322467</v>
      </c>
    </row>
    <row r="14" spans="1:8" ht="23.1" customHeight="1" x14ac:dyDescent="0.2">
      <c r="A14" s="74">
        <v>3</v>
      </c>
      <c r="B14" s="75" t="s">
        <v>73</v>
      </c>
      <c r="C14" s="76">
        <v>2935378</v>
      </c>
      <c r="D14" s="76">
        <v>1613966</v>
      </c>
      <c r="E14" s="76">
        <f t="shared" si="0"/>
        <v>-1321412</v>
      </c>
      <c r="F14" s="77">
        <f t="shared" si="1"/>
        <v>-0.45016757637346877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117321557</v>
      </c>
      <c r="D16" s="79">
        <f>D12-D13-D14-D15</f>
        <v>116129645</v>
      </c>
      <c r="E16" s="79">
        <f t="shared" si="0"/>
        <v>-1191912</v>
      </c>
      <c r="F16" s="80">
        <f t="shared" si="1"/>
        <v>-1.0159360568322496E-2</v>
      </c>
    </row>
    <row r="17" spans="1:7" ht="23.1" customHeight="1" x14ac:dyDescent="0.2">
      <c r="A17" s="74">
        <v>5</v>
      </c>
      <c r="B17" s="75" t="s">
        <v>76</v>
      </c>
      <c r="C17" s="76">
        <v>2699503</v>
      </c>
      <c r="D17" s="76">
        <v>2393914</v>
      </c>
      <c r="E17" s="76">
        <f t="shared" si="0"/>
        <v>-305589</v>
      </c>
      <c r="F17" s="77">
        <f t="shared" si="1"/>
        <v>-0.11320194865499315</v>
      </c>
      <c r="G17" s="65"/>
    </row>
    <row r="18" spans="1:7" ht="31.5" customHeight="1" x14ac:dyDescent="0.25">
      <c r="A18" s="71"/>
      <c r="B18" s="81" t="s">
        <v>77</v>
      </c>
      <c r="C18" s="79">
        <f>C16-C17</f>
        <v>114622054</v>
      </c>
      <c r="D18" s="79">
        <f>D16-D17</f>
        <v>113735731</v>
      </c>
      <c r="E18" s="79">
        <f t="shared" si="0"/>
        <v>-886323</v>
      </c>
      <c r="F18" s="80">
        <f t="shared" si="1"/>
        <v>-7.7325695105760362E-3</v>
      </c>
    </row>
    <row r="19" spans="1:7" ht="23.1" customHeight="1" x14ac:dyDescent="0.2">
      <c r="A19" s="74">
        <v>6</v>
      </c>
      <c r="B19" s="75" t="s">
        <v>78</v>
      </c>
      <c r="C19" s="76">
        <v>7533927</v>
      </c>
      <c r="D19" s="76">
        <v>6810203</v>
      </c>
      <c r="E19" s="76">
        <f t="shared" si="0"/>
        <v>-723724</v>
      </c>
      <c r="F19" s="77">
        <f t="shared" si="1"/>
        <v>-9.6061987327458839E-2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122155981</v>
      </c>
      <c r="D21" s="79">
        <f>SUM(D18:D20)</f>
        <v>120545934</v>
      </c>
      <c r="E21" s="79">
        <f t="shared" si="0"/>
        <v>-1610047</v>
      </c>
      <c r="F21" s="80">
        <f t="shared" si="1"/>
        <v>-1.3180255169003964E-2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56702977</v>
      </c>
      <c r="D24" s="76">
        <v>55930510</v>
      </c>
      <c r="E24" s="76">
        <f t="shared" ref="E24:E33" si="2">D24-C24</f>
        <v>-772467</v>
      </c>
      <c r="F24" s="77">
        <f t="shared" ref="F24:F33" si="3">IF(C24=0,0,E24/C24)</f>
        <v>-1.3623041344019734E-2</v>
      </c>
    </row>
    <row r="25" spans="1:7" ht="23.1" customHeight="1" x14ac:dyDescent="0.2">
      <c r="A25" s="74">
        <v>2</v>
      </c>
      <c r="B25" s="75" t="s">
        <v>83</v>
      </c>
      <c r="C25" s="76">
        <v>14032091</v>
      </c>
      <c r="D25" s="76">
        <v>14254316</v>
      </c>
      <c r="E25" s="76">
        <f t="shared" si="2"/>
        <v>222225</v>
      </c>
      <c r="F25" s="77">
        <f t="shared" si="3"/>
        <v>1.5836912688208762E-2</v>
      </c>
    </row>
    <row r="26" spans="1:7" ht="23.1" customHeight="1" x14ac:dyDescent="0.2">
      <c r="A26" s="74">
        <v>3</v>
      </c>
      <c r="B26" s="75" t="s">
        <v>84</v>
      </c>
      <c r="C26" s="76">
        <v>4330528</v>
      </c>
      <c r="D26" s="76">
        <v>5593737</v>
      </c>
      <c r="E26" s="76">
        <f t="shared" si="2"/>
        <v>1263209</v>
      </c>
      <c r="F26" s="77">
        <f t="shared" si="3"/>
        <v>0.29169861042348649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11619961</v>
      </c>
      <c r="D27" s="76">
        <v>11367243</v>
      </c>
      <c r="E27" s="76">
        <f t="shared" si="2"/>
        <v>-252718</v>
      </c>
      <c r="F27" s="77">
        <f t="shared" si="3"/>
        <v>-2.1748609999637694E-2</v>
      </c>
    </row>
    <row r="28" spans="1:7" ht="23.1" customHeight="1" x14ac:dyDescent="0.2">
      <c r="A28" s="74">
        <v>5</v>
      </c>
      <c r="B28" s="75" t="s">
        <v>86</v>
      </c>
      <c r="C28" s="76">
        <v>5899420</v>
      </c>
      <c r="D28" s="76">
        <v>5917387</v>
      </c>
      <c r="E28" s="76">
        <f t="shared" si="2"/>
        <v>17967</v>
      </c>
      <c r="F28" s="77">
        <f t="shared" si="3"/>
        <v>3.045553630695899E-3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15651</v>
      </c>
      <c r="D30" s="76">
        <v>0</v>
      </c>
      <c r="E30" s="76">
        <f t="shared" si="2"/>
        <v>-15651</v>
      </c>
      <c r="F30" s="77">
        <f t="shared" si="3"/>
        <v>-1</v>
      </c>
    </row>
    <row r="31" spans="1:7" ht="23.1" customHeight="1" x14ac:dyDescent="0.2">
      <c r="A31" s="74">
        <v>8</v>
      </c>
      <c r="B31" s="75" t="s">
        <v>89</v>
      </c>
      <c r="C31" s="76">
        <v>1701301</v>
      </c>
      <c r="D31" s="76">
        <v>2090487</v>
      </c>
      <c r="E31" s="76">
        <f t="shared" si="2"/>
        <v>389186</v>
      </c>
      <c r="F31" s="77">
        <f t="shared" si="3"/>
        <v>0.22875787412104032</v>
      </c>
    </row>
    <row r="32" spans="1:7" ht="23.1" customHeight="1" x14ac:dyDescent="0.2">
      <c r="A32" s="74">
        <v>9</v>
      </c>
      <c r="B32" s="75" t="s">
        <v>90</v>
      </c>
      <c r="C32" s="76">
        <v>27696902</v>
      </c>
      <c r="D32" s="76">
        <v>26825571</v>
      </c>
      <c r="E32" s="76">
        <f t="shared" si="2"/>
        <v>-871331</v>
      </c>
      <c r="F32" s="77">
        <f t="shared" si="3"/>
        <v>-3.1459511247864475E-2</v>
      </c>
    </row>
    <row r="33" spans="1:6" ht="23.1" customHeight="1" x14ac:dyDescent="0.25">
      <c r="A33" s="71"/>
      <c r="B33" s="78" t="s">
        <v>91</v>
      </c>
      <c r="C33" s="79">
        <f>SUM(C24:C32)</f>
        <v>121998831</v>
      </c>
      <c r="D33" s="79">
        <f>SUM(D24:D32)</f>
        <v>121979251</v>
      </c>
      <c r="E33" s="79">
        <f t="shared" si="2"/>
        <v>-19580</v>
      </c>
      <c r="F33" s="80">
        <f t="shared" si="3"/>
        <v>-1.6049334112062106E-4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157150</v>
      </c>
      <c r="D35" s="79">
        <f>+D21-D33</f>
        <v>-1433317</v>
      </c>
      <c r="E35" s="79">
        <f>D35-C35</f>
        <v>-1590467</v>
      </c>
      <c r="F35" s="80">
        <f>IF(C35=0,0,E35/C35)</f>
        <v>-10.120693604836143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2689094</v>
      </c>
      <c r="D38" s="76">
        <v>2896009</v>
      </c>
      <c r="E38" s="76">
        <f>D38-C38</f>
        <v>206915</v>
      </c>
      <c r="F38" s="77">
        <f>IF(C38=0,0,E38/C38)</f>
        <v>7.6945989987705896E-2</v>
      </c>
    </row>
    <row r="39" spans="1:6" ht="23.1" customHeight="1" x14ac:dyDescent="0.2">
      <c r="A39" s="85">
        <v>2</v>
      </c>
      <c r="B39" s="75" t="s">
        <v>95</v>
      </c>
      <c r="C39" s="76">
        <v>110807</v>
      </c>
      <c r="D39" s="76">
        <v>323460</v>
      </c>
      <c r="E39" s="76">
        <f>D39-C39</f>
        <v>212653</v>
      </c>
      <c r="F39" s="77">
        <f>IF(C39=0,0,E39/C39)</f>
        <v>1.9191296578736001</v>
      </c>
    </row>
    <row r="40" spans="1:6" ht="23.1" customHeight="1" x14ac:dyDescent="0.2">
      <c r="A40" s="85">
        <v>3</v>
      </c>
      <c r="B40" s="75" t="s">
        <v>96</v>
      </c>
      <c r="C40" s="76">
        <v>65999</v>
      </c>
      <c r="D40" s="76">
        <v>-258757</v>
      </c>
      <c r="E40" s="76">
        <f>D40-C40</f>
        <v>-324756</v>
      </c>
      <c r="F40" s="77">
        <f>IF(C40=0,0,E40/C40)</f>
        <v>-4.9206200093940815</v>
      </c>
    </row>
    <row r="41" spans="1:6" ht="23.1" customHeight="1" x14ac:dyDescent="0.25">
      <c r="A41" s="83"/>
      <c r="B41" s="78" t="s">
        <v>97</v>
      </c>
      <c r="C41" s="79">
        <f>SUM(C38:C40)</f>
        <v>2865900</v>
      </c>
      <c r="D41" s="79">
        <f>SUM(D38:D40)</f>
        <v>2960712</v>
      </c>
      <c r="E41" s="79">
        <f>D41-C41</f>
        <v>94812</v>
      </c>
      <c r="F41" s="80">
        <f>IF(C41=0,0,E41/C41)</f>
        <v>3.3082801214278236E-2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3023050</v>
      </c>
      <c r="D43" s="79">
        <f>D35+D41</f>
        <v>1527395</v>
      </c>
      <c r="E43" s="79">
        <f>D43-C43</f>
        <v>-1495655</v>
      </c>
      <c r="F43" s="80">
        <f>IF(C43=0,0,E43/C43)</f>
        <v>-0.49475033492664694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3023050</v>
      </c>
      <c r="D50" s="79">
        <f>D43+D48</f>
        <v>1527395</v>
      </c>
      <c r="E50" s="79">
        <f>D50-C50</f>
        <v>-1495655</v>
      </c>
      <c r="F50" s="80">
        <f>IF(C50=0,0,E50/C50)</f>
        <v>-0.49475033492664694</v>
      </c>
    </row>
    <row r="51" spans="1:6" ht="23.1" customHeight="1" x14ac:dyDescent="0.2">
      <c r="A51" s="85"/>
      <c r="B51" s="75" t="s">
        <v>104</v>
      </c>
      <c r="C51" s="76">
        <v>3219468</v>
      </c>
      <c r="D51" s="76">
        <v>1</v>
      </c>
      <c r="E51" s="76">
        <f>D51-C51</f>
        <v>-3219467</v>
      </c>
      <c r="F51" s="77">
        <f>IF(C51=0,0,E51/C51)</f>
        <v>-0.99999968938967554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6" orientation="portrait" horizontalDpi="1200" verticalDpi="1200" r:id="rId1"/>
  <headerFooter>
    <oddHeader>&amp;LOFFICE OF HEALTH CARE ACCESS&amp;CTWELVE MONTHS ACTUAL FILING&amp;RCHARLOTTE HUNGERFORD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34" zoomScale="75" zoomScaleNormal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52245048</v>
      </c>
      <c r="D14" s="113">
        <v>58161044</v>
      </c>
      <c r="E14" s="113">
        <f t="shared" ref="E14:E25" si="0">D14-C14</f>
        <v>5915996</v>
      </c>
      <c r="F14" s="114">
        <f t="shared" ref="F14:F25" si="1">IF(C14=0,0,E14/C14)</f>
        <v>0.1132355357391958</v>
      </c>
    </row>
    <row r="15" spans="1:6" x14ac:dyDescent="0.2">
      <c r="A15" s="115">
        <v>2</v>
      </c>
      <c r="B15" s="116" t="s">
        <v>114</v>
      </c>
      <c r="C15" s="113">
        <v>9318141</v>
      </c>
      <c r="D15" s="113">
        <v>11410624</v>
      </c>
      <c r="E15" s="113">
        <f t="shared" si="0"/>
        <v>2092483</v>
      </c>
      <c r="F15" s="114">
        <f t="shared" si="1"/>
        <v>0.22456013490244459</v>
      </c>
    </row>
    <row r="16" spans="1:6" x14ac:dyDescent="0.2">
      <c r="A16" s="115">
        <v>3</v>
      </c>
      <c r="B16" s="116" t="s">
        <v>115</v>
      </c>
      <c r="C16" s="113">
        <v>15720382</v>
      </c>
      <c r="D16" s="113">
        <v>15900445</v>
      </c>
      <c r="E16" s="113">
        <f t="shared" si="0"/>
        <v>180063</v>
      </c>
      <c r="F16" s="114">
        <f t="shared" si="1"/>
        <v>1.145411097516587E-2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434960</v>
      </c>
      <c r="D18" s="113">
        <v>435255</v>
      </c>
      <c r="E18" s="113">
        <f t="shared" si="0"/>
        <v>295</v>
      </c>
      <c r="F18" s="114">
        <f t="shared" si="1"/>
        <v>6.7822328489976094E-4</v>
      </c>
    </row>
    <row r="19" spans="1:6" x14ac:dyDescent="0.2">
      <c r="A19" s="115">
        <v>6</v>
      </c>
      <c r="B19" s="116" t="s">
        <v>118</v>
      </c>
      <c r="C19" s="113">
        <v>2486570</v>
      </c>
      <c r="D19" s="113">
        <v>2444616</v>
      </c>
      <c r="E19" s="113">
        <f t="shared" si="0"/>
        <v>-41954</v>
      </c>
      <c r="F19" s="114">
        <f t="shared" si="1"/>
        <v>-1.6872237660713354E-2</v>
      </c>
    </row>
    <row r="20" spans="1:6" x14ac:dyDescent="0.2">
      <c r="A20" s="115">
        <v>7</v>
      </c>
      <c r="B20" s="116" t="s">
        <v>119</v>
      </c>
      <c r="C20" s="113">
        <v>18179052</v>
      </c>
      <c r="D20" s="113">
        <v>16730486</v>
      </c>
      <c r="E20" s="113">
        <f t="shared" si="0"/>
        <v>-1448566</v>
      </c>
      <c r="F20" s="114">
        <f t="shared" si="1"/>
        <v>-7.9683253010112962E-2</v>
      </c>
    </row>
    <row r="21" spans="1:6" x14ac:dyDescent="0.2">
      <c r="A21" s="115">
        <v>8</v>
      </c>
      <c r="B21" s="116" t="s">
        <v>120</v>
      </c>
      <c r="C21" s="113">
        <v>337555</v>
      </c>
      <c r="D21" s="113">
        <v>379157</v>
      </c>
      <c r="E21" s="113">
        <f t="shared" si="0"/>
        <v>41602</v>
      </c>
      <c r="F21" s="114">
        <f t="shared" si="1"/>
        <v>0.12324510079838841</v>
      </c>
    </row>
    <row r="22" spans="1:6" x14ac:dyDescent="0.2">
      <c r="A22" s="115">
        <v>9</v>
      </c>
      <c r="B22" s="116" t="s">
        <v>121</v>
      </c>
      <c r="C22" s="113">
        <v>1554063</v>
      </c>
      <c r="D22" s="113">
        <v>692425</v>
      </c>
      <c r="E22" s="113">
        <f t="shared" si="0"/>
        <v>-861638</v>
      </c>
      <c r="F22" s="114">
        <f t="shared" si="1"/>
        <v>-0.55444213008095555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154236</v>
      </c>
      <c r="D24" s="113">
        <v>261193</v>
      </c>
      <c r="E24" s="113">
        <f t="shared" si="0"/>
        <v>106957</v>
      </c>
      <c r="F24" s="114">
        <f t="shared" si="1"/>
        <v>0.69346326408879899</v>
      </c>
    </row>
    <row r="25" spans="1:6" ht="15.75" x14ac:dyDescent="0.25">
      <c r="A25" s="117"/>
      <c r="B25" s="118" t="s">
        <v>124</v>
      </c>
      <c r="C25" s="119">
        <f>SUM(C14:C24)</f>
        <v>100430007</v>
      </c>
      <c r="D25" s="119">
        <f>SUM(D14:D24)</f>
        <v>106415245</v>
      </c>
      <c r="E25" s="119">
        <f t="shared" si="0"/>
        <v>5985238</v>
      </c>
      <c r="F25" s="120">
        <f t="shared" si="1"/>
        <v>5.9596112544331496E-2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53101756</v>
      </c>
      <c r="D27" s="113">
        <v>55008491</v>
      </c>
      <c r="E27" s="113">
        <f t="shared" ref="E27:E38" si="2">D27-C27</f>
        <v>1906735</v>
      </c>
      <c r="F27" s="114">
        <f t="shared" ref="F27:F38" si="3">IF(C27=0,0,E27/C27)</f>
        <v>3.590719297493665E-2</v>
      </c>
    </row>
    <row r="28" spans="1:6" x14ac:dyDescent="0.2">
      <c r="A28" s="115">
        <v>2</v>
      </c>
      <c r="B28" s="116" t="s">
        <v>114</v>
      </c>
      <c r="C28" s="113">
        <v>11342642</v>
      </c>
      <c r="D28" s="113">
        <v>13410536</v>
      </c>
      <c r="E28" s="113">
        <f t="shared" si="2"/>
        <v>2067894</v>
      </c>
      <c r="F28" s="114">
        <f t="shared" si="3"/>
        <v>0.18231149321295692</v>
      </c>
    </row>
    <row r="29" spans="1:6" x14ac:dyDescent="0.2">
      <c r="A29" s="115">
        <v>3</v>
      </c>
      <c r="B29" s="116" t="s">
        <v>115</v>
      </c>
      <c r="C29" s="113">
        <v>38108911</v>
      </c>
      <c r="D29" s="113">
        <v>44875620</v>
      </c>
      <c r="E29" s="113">
        <f t="shared" si="2"/>
        <v>6766709</v>
      </c>
      <c r="F29" s="114">
        <f t="shared" si="3"/>
        <v>0.17756238166973598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708431</v>
      </c>
      <c r="D31" s="113">
        <v>584223</v>
      </c>
      <c r="E31" s="113">
        <f t="shared" si="2"/>
        <v>-124208</v>
      </c>
      <c r="F31" s="114">
        <f t="shared" si="3"/>
        <v>-0.17532829591025803</v>
      </c>
    </row>
    <row r="32" spans="1:6" x14ac:dyDescent="0.2">
      <c r="A32" s="115">
        <v>6</v>
      </c>
      <c r="B32" s="116" t="s">
        <v>118</v>
      </c>
      <c r="C32" s="113">
        <v>5877399</v>
      </c>
      <c r="D32" s="113">
        <v>8683869</v>
      </c>
      <c r="E32" s="113">
        <f t="shared" si="2"/>
        <v>2806470</v>
      </c>
      <c r="F32" s="114">
        <f t="shared" si="3"/>
        <v>0.4775020378912509</v>
      </c>
    </row>
    <row r="33" spans="1:6" x14ac:dyDescent="0.2">
      <c r="A33" s="115">
        <v>7</v>
      </c>
      <c r="B33" s="116" t="s">
        <v>119</v>
      </c>
      <c r="C33" s="113">
        <v>52764219</v>
      </c>
      <c r="D33" s="113">
        <v>51381976</v>
      </c>
      <c r="E33" s="113">
        <f t="shared" si="2"/>
        <v>-1382243</v>
      </c>
      <c r="F33" s="114">
        <f t="shared" si="3"/>
        <v>-2.6196597357008165E-2</v>
      </c>
    </row>
    <row r="34" spans="1:6" x14ac:dyDescent="0.2">
      <c r="A34" s="115">
        <v>8</v>
      </c>
      <c r="B34" s="116" t="s">
        <v>120</v>
      </c>
      <c r="C34" s="113">
        <v>1281544</v>
      </c>
      <c r="D34" s="113">
        <v>1326734</v>
      </c>
      <c r="E34" s="113">
        <f t="shared" si="2"/>
        <v>45190</v>
      </c>
      <c r="F34" s="114">
        <f t="shared" si="3"/>
        <v>3.5262152528512482E-2</v>
      </c>
    </row>
    <row r="35" spans="1:6" x14ac:dyDescent="0.2">
      <c r="A35" s="115">
        <v>9</v>
      </c>
      <c r="B35" s="116" t="s">
        <v>121</v>
      </c>
      <c r="C35" s="113">
        <v>4301269</v>
      </c>
      <c r="D35" s="113">
        <v>3470795</v>
      </c>
      <c r="E35" s="113">
        <f t="shared" si="2"/>
        <v>-830474</v>
      </c>
      <c r="F35" s="114">
        <f t="shared" si="3"/>
        <v>-0.19307650835137258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121983</v>
      </c>
      <c r="D37" s="113">
        <v>162584</v>
      </c>
      <c r="E37" s="113">
        <f t="shared" si="2"/>
        <v>40601</v>
      </c>
      <c r="F37" s="114">
        <f t="shared" si="3"/>
        <v>0.33284146151512917</v>
      </c>
    </row>
    <row r="38" spans="1:6" ht="15.75" x14ac:dyDescent="0.25">
      <c r="A38" s="117"/>
      <c r="B38" s="118" t="s">
        <v>126</v>
      </c>
      <c r="C38" s="119">
        <f>SUM(C27:C37)</f>
        <v>167608154</v>
      </c>
      <c r="D38" s="119">
        <f>SUM(D27:D37)</f>
        <v>178904828</v>
      </c>
      <c r="E38" s="119">
        <f t="shared" si="2"/>
        <v>11296674</v>
      </c>
      <c r="F38" s="120">
        <f t="shared" si="3"/>
        <v>6.7399310417797453E-2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105346804</v>
      </c>
      <c r="D41" s="119">
        <f t="shared" si="4"/>
        <v>113169535</v>
      </c>
      <c r="E41" s="123">
        <f t="shared" ref="E41:E52" si="5">D41-C41</f>
        <v>7822731</v>
      </c>
      <c r="F41" s="124">
        <f t="shared" ref="F41:F52" si="6">IF(C41=0,0,E41/C41)</f>
        <v>7.4256937116004007E-2</v>
      </c>
    </row>
    <row r="42" spans="1:6" ht="15.75" x14ac:dyDescent="0.25">
      <c r="A42" s="121">
        <v>2</v>
      </c>
      <c r="B42" s="122" t="s">
        <v>114</v>
      </c>
      <c r="C42" s="119">
        <f t="shared" si="4"/>
        <v>20660783</v>
      </c>
      <c r="D42" s="119">
        <f t="shared" si="4"/>
        <v>24821160</v>
      </c>
      <c r="E42" s="123">
        <f t="shared" si="5"/>
        <v>4160377</v>
      </c>
      <c r="F42" s="124">
        <f t="shared" si="6"/>
        <v>0.20136589208647127</v>
      </c>
    </row>
    <row r="43" spans="1:6" ht="15.75" x14ac:dyDescent="0.25">
      <c r="A43" s="121">
        <v>3</v>
      </c>
      <c r="B43" s="122" t="s">
        <v>115</v>
      </c>
      <c r="C43" s="119">
        <f t="shared" si="4"/>
        <v>53829293</v>
      </c>
      <c r="D43" s="119">
        <f t="shared" si="4"/>
        <v>60776065</v>
      </c>
      <c r="E43" s="123">
        <f t="shared" si="5"/>
        <v>6946772</v>
      </c>
      <c r="F43" s="124">
        <f t="shared" si="6"/>
        <v>0.12905189001832143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1143391</v>
      </c>
      <c r="D45" s="119">
        <f t="shared" si="4"/>
        <v>1019478</v>
      </c>
      <c r="E45" s="123">
        <f t="shared" si="5"/>
        <v>-123913</v>
      </c>
      <c r="F45" s="124">
        <f t="shared" si="6"/>
        <v>-0.10837325114505886</v>
      </c>
    </row>
    <row r="46" spans="1:6" ht="15.75" x14ac:dyDescent="0.25">
      <c r="A46" s="121">
        <v>6</v>
      </c>
      <c r="B46" s="122" t="s">
        <v>118</v>
      </c>
      <c r="C46" s="119">
        <f t="shared" si="4"/>
        <v>8363969</v>
      </c>
      <c r="D46" s="119">
        <f t="shared" si="4"/>
        <v>11128485</v>
      </c>
      <c r="E46" s="123">
        <f t="shared" si="5"/>
        <v>2764516</v>
      </c>
      <c r="F46" s="124">
        <f t="shared" si="6"/>
        <v>0.33052681089564057</v>
      </c>
    </row>
    <row r="47" spans="1:6" ht="15.75" x14ac:dyDescent="0.25">
      <c r="A47" s="121">
        <v>7</v>
      </c>
      <c r="B47" s="122" t="s">
        <v>119</v>
      </c>
      <c r="C47" s="119">
        <f t="shared" si="4"/>
        <v>70943271</v>
      </c>
      <c r="D47" s="119">
        <f t="shared" si="4"/>
        <v>68112462</v>
      </c>
      <c r="E47" s="123">
        <f t="shared" si="5"/>
        <v>-2830809</v>
      </c>
      <c r="F47" s="124">
        <f t="shared" si="6"/>
        <v>-3.9902431338414042E-2</v>
      </c>
    </row>
    <row r="48" spans="1:6" ht="15.75" x14ac:dyDescent="0.25">
      <c r="A48" s="121">
        <v>8</v>
      </c>
      <c r="B48" s="122" t="s">
        <v>120</v>
      </c>
      <c r="C48" s="119">
        <f t="shared" si="4"/>
        <v>1619099</v>
      </c>
      <c r="D48" s="119">
        <f t="shared" si="4"/>
        <v>1705891</v>
      </c>
      <c r="E48" s="123">
        <f t="shared" si="5"/>
        <v>86792</v>
      </c>
      <c r="F48" s="124">
        <f t="shared" si="6"/>
        <v>5.360512235508761E-2</v>
      </c>
    </row>
    <row r="49" spans="1:6" ht="15.75" x14ac:dyDescent="0.25">
      <c r="A49" s="121">
        <v>9</v>
      </c>
      <c r="B49" s="122" t="s">
        <v>121</v>
      </c>
      <c r="C49" s="119">
        <f t="shared" si="4"/>
        <v>5855332</v>
      </c>
      <c r="D49" s="119">
        <f t="shared" si="4"/>
        <v>4163220</v>
      </c>
      <c r="E49" s="123">
        <f t="shared" si="5"/>
        <v>-1692112</v>
      </c>
      <c r="F49" s="124">
        <f t="shared" si="6"/>
        <v>-0.28898651690459226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276219</v>
      </c>
      <c r="D51" s="119">
        <f t="shared" si="4"/>
        <v>423777</v>
      </c>
      <c r="E51" s="123">
        <f t="shared" si="5"/>
        <v>147558</v>
      </c>
      <c r="F51" s="124">
        <f t="shared" si="6"/>
        <v>0.53420655349559587</v>
      </c>
    </row>
    <row r="52" spans="1:6" ht="18.75" customHeight="1" thickBot="1" x14ac:dyDescent="0.3">
      <c r="A52" s="125"/>
      <c r="B52" s="126" t="s">
        <v>128</v>
      </c>
      <c r="C52" s="127">
        <f>SUM(C41:C51)</f>
        <v>268038161</v>
      </c>
      <c r="D52" s="128">
        <f>SUM(D41:D51)</f>
        <v>285320073</v>
      </c>
      <c r="E52" s="127">
        <f t="shared" si="5"/>
        <v>17281912</v>
      </c>
      <c r="F52" s="129">
        <f t="shared" si="6"/>
        <v>6.4475565477409763E-2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28623374</v>
      </c>
      <c r="D57" s="113">
        <v>30417945</v>
      </c>
      <c r="E57" s="113">
        <f t="shared" ref="E57:E68" si="7">D57-C57</f>
        <v>1794571</v>
      </c>
      <c r="F57" s="114">
        <f t="shared" ref="F57:F68" si="8">IF(C57=0,0,E57/C57)</f>
        <v>6.2695998032936295E-2</v>
      </c>
    </row>
    <row r="58" spans="1:6" x14ac:dyDescent="0.2">
      <c r="A58" s="115">
        <v>2</v>
      </c>
      <c r="B58" s="116" t="s">
        <v>114</v>
      </c>
      <c r="C58" s="113">
        <v>5105109</v>
      </c>
      <c r="D58" s="113">
        <v>5967701</v>
      </c>
      <c r="E58" s="113">
        <f t="shared" si="7"/>
        <v>862592</v>
      </c>
      <c r="F58" s="114">
        <f t="shared" si="8"/>
        <v>0.16896642167679476</v>
      </c>
    </row>
    <row r="59" spans="1:6" x14ac:dyDescent="0.2">
      <c r="A59" s="115">
        <v>3</v>
      </c>
      <c r="B59" s="116" t="s">
        <v>115</v>
      </c>
      <c r="C59" s="113">
        <v>4645830</v>
      </c>
      <c r="D59" s="113">
        <v>4738255</v>
      </c>
      <c r="E59" s="113">
        <f t="shared" si="7"/>
        <v>92425</v>
      </c>
      <c r="F59" s="114">
        <f t="shared" si="8"/>
        <v>1.9894184677441921E-2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247000</v>
      </c>
      <c r="D61" s="113">
        <v>285025</v>
      </c>
      <c r="E61" s="113">
        <f t="shared" si="7"/>
        <v>38025</v>
      </c>
      <c r="F61" s="114">
        <f t="shared" si="8"/>
        <v>0.15394736842105264</v>
      </c>
    </row>
    <row r="62" spans="1:6" x14ac:dyDescent="0.2">
      <c r="A62" s="115">
        <v>6</v>
      </c>
      <c r="B62" s="116" t="s">
        <v>118</v>
      </c>
      <c r="C62" s="113">
        <v>1628242</v>
      </c>
      <c r="D62" s="113">
        <v>1614910</v>
      </c>
      <c r="E62" s="113">
        <f t="shared" si="7"/>
        <v>-13332</v>
      </c>
      <c r="F62" s="114">
        <f t="shared" si="8"/>
        <v>-8.1879720582075637E-3</v>
      </c>
    </row>
    <row r="63" spans="1:6" x14ac:dyDescent="0.2">
      <c r="A63" s="115">
        <v>7</v>
      </c>
      <c r="B63" s="116" t="s">
        <v>119</v>
      </c>
      <c r="C63" s="113">
        <v>11367041</v>
      </c>
      <c r="D63" s="113">
        <v>10541436</v>
      </c>
      <c r="E63" s="113">
        <f t="shared" si="7"/>
        <v>-825605</v>
      </c>
      <c r="F63" s="114">
        <f t="shared" si="8"/>
        <v>-7.263147902783143E-2</v>
      </c>
    </row>
    <row r="64" spans="1:6" x14ac:dyDescent="0.2">
      <c r="A64" s="115">
        <v>8</v>
      </c>
      <c r="B64" s="116" t="s">
        <v>120</v>
      </c>
      <c r="C64" s="113">
        <v>257368</v>
      </c>
      <c r="D64" s="113">
        <v>247628</v>
      </c>
      <c r="E64" s="113">
        <f t="shared" si="7"/>
        <v>-9740</v>
      </c>
      <c r="F64" s="114">
        <f t="shared" si="8"/>
        <v>-3.7844642690621988E-2</v>
      </c>
    </row>
    <row r="65" spans="1:6" x14ac:dyDescent="0.2">
      <c r="A65" s="115">
        <v>9</v>
      </c>
      <c r="B65" s="116" t="s">
        <v>121</v>
      </c>
      <c r="C65" s="113">
        <v>318975</v>
      </c>
      <c r="D65" s="113">
        <v>111960</v>
      </c>
      <c r="E65" s="113">
        <f t="shared" si="7"/>
        <v>-207015</v>
      </c>
      <c r="F65" s="114">
        <f t="shared" si="8"/>
        <v>-0.64900070538443455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49026</v>
      </c>
      <c r="D67" s="113">
        <v>54327</v>
      </c>
      <c r="E67" s="113">
        <f t="shared" si="7"/>
        <v>5301</v>
      </c>
      <c r="F67" s="114">
        <f t="shared" si="8"/>
        <v>0.10812630033043691</v>
      </c>
    </row>
    <row r="68" spans="1:6" ht="15.75" x14ac:dyDescent="0.25">
      <c r="A68" s="117"/>
      <c r="B68" s="118" t="s">
        <v>131</v>
      </c>
      <c r="C68" s="119">
        <f>SUM(C57:C67)</f>
        <v>52241965</v>
      </c>
      <c r="D68" s="119">
        <f>SUM(D57:D67)</f>
        <v>53979187</v>
      </c>
      <c r="E68" s="119">
        <f t="shared" si="7"/>
        <v>1737222</v>
      </c>
      <c r="F68" s="120">
        <f t="shared" si="8"/>
        <v>3.3253381644430868E-2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19511066</v>
      </c>
      <c r="D70" s="113">
        <v>17885902</v>
      </c>
      <c r="E70" s="113">
        <f t="shared" ref="E70:E81" si="9">D70-C70</f>
        <v>-1625164</v>
      </c>
      <c r="F70" s="114">
        <f t="shared" ref="F70:F81" si="10">IF(C70=0,0,E70/C70)</f>
        <v>-8.3294475043034555E-2</v>
      </c>
    </row>
    <row r="71" spans="1:6" x14ac:dyDescent="0.2">
      <c r="A71" s="115">
        <v>2</v>
      </c>
      <c r="B71" s="116" t="s">
        <v>114</v>
      </c>
      <c r="C71" s="113">
        <v>3879856</v>
      </c>
      <c r="D71" s="113">
        <v>3775636</v>
      </c>
      <c r="E71" s="113">
        <f t="shared" si="9"/>
        <v>-104220</v>
      </c>
      <c r="F71" s="114">
        <f t="shared" si="10"/>
        <v>-2.6861821675856011E-2</v>
      </c>
    </row>
    <row r="72" spans="1:6" x14ac:dyDescent="0.2">
      <c r="A72" s="115">
        <v>3</v>
      </c>
      <c r="B72" s="116" t="s">
        <v>115</v>
      </c>
      <c r="C72" s="113">
        <v>9397695</v>
      </c>
      <c r="D72" s="113">
        <v>11150030</v>
      </c>
      <c r="E72" s="113">
        <f t="shared" si="9"/>
        <v>1752335</v>
      </c>
      <c r="F72" s="114">
        <f t="shared" si="10"/>
        <v>0.18646434045795271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242948</v>
      </c>
      <c r="D74" s="113">
        <v>232518</v>
      </c>
      <c r="E74" s="113">
        <f t="shared" si="9"/>
        <v>-10430</v>
      </c>
      <c r="F74" s="114">
        <f t="shared" si="10"/>
        <v>-4.2930997579728992E-2</v>
      </c>
    </row>
    <row r="75" spans="1:6" x14ac:dyDescent="0.2">
      <c r="A75" s="115">
        <v>6</v>
      </c>
      <c r="B75" s="116" t="s">
        <v>118</v>
      </c>
      <c r="C75" s="113">
        <v>2192296</v>
      </c>
      <c r="D75" s="113">
        <v>4684262</v>
      </c>
      <c r="E75" s="113">
        <f t="shared" si="9"/>
        <v>2491966</v>
      </c>
      <c r="F75" s="114">
        <f t="shared" si="10"/>
        <v>1.1366923079730109</v>
      </c>
    </row>
    <row r="76" spans="1:6" x14ac:dyDescent="0.2">
      <c r="A76" s="115">
        <v>7</v>
      </c>
      <c r="B76" s="116" t="s">
        <v>119</v>
      </c>
      <c r="C76" s="113">
        <v>26532268</v>
      </c>
      <c r="D76" s="113">
        <v>24340680</v>
      </c>
      <c r="E76" s="113">
        <f t="shared" si="9"/>
        <v>-2191588</v>
      </c>
      <c r="F76" s="114">
        <f t="shared" si="10"/>
        <v>-8.2600854174999294E-2</v>
      </c>
    </row>
    <row r="77" spans="1:6" x14ac:dyDescent="0.2">
      <c r="A77" s="115">
        <v>8</v>
      </c>
      <c r="B77" s="116" t="s">
        <v>120</v>
      </c>
      <c r="C77" s="113">
        <v>939453</v>
      </c>
      <c r="D77" s="113">
        <v>777524</v>
      </c>
      <c r="E77" s="113">
        <f t="shared" si="9"/>
        <v>-161929</v>
      </c>
      <c r="F77" s="114">
        <f t="shared" si="10"/>
        <v>-0.17236519549141893</v>
      </c>
    </row>
    <row r="78" spans="1:6" x14ac:dyDescent="0.2">
      <c r="A78" s="115">
        <v>9</v>
      </c>
      <c r="B78" s="116" t="s">
        <v>121</v>
      </c>
      <c r="C78" s="113">
        <v>882845</v>
      </c>
      <c r="D78" s="113">
        <v>561204</v>
      </c>
      <c r="E78" s="113">
        <f t="shared" si="9"/>
        <v>-321641</v>
      </c>
      <c r="F78" s="114">
        <f t="shared" si="10"/>
        <v>-0.36432329570875976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47662</v>
      </c>
      <c r="D80" s="113">
        <v>18747</v>
      </c>
      <c r="E80" s="113">
        <f t="shared" si="9"/>
        <v>-28915</v>
      </c>
      <c r="F80" s="114">
        <f t="shared" si="10"/>
        <v>-0.60666778565733703</v>
      </c>
    </row>
    <row r="81" spans="1:6" ht="15.75" x14ac:dyDescent="0.25">
      <c r="A81" s="117"/>
      <c r="B81" s="118" t="s">
        <v>133</v>
      </c>
      <c r="C81" s="119">
        <f>SUM(C70:C80)</f>
        <v>63626089</v>
      </c>
      <c r="D81" s="119">
        <f>SUM(D70:D80)</f>
        <v>63426503</v>
      </c>
      <c r="E81" s="119">
        <f t="shared" si="9"/>
        <v>-199586</v>
      </c>
      <c r="F81" s="120">
        <f t="shared" si="10"/>
        <v>-3.1368579011669252E-3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48134440</v>
      </c>
      <c r="D84" s="119">
        <f t="shared" si="11"/>
        <v>48303847</v>
      </c>
      <c r="E84" s="119">
        <f t="shared" ref="E84:E95" si="12">D84-C84</f>
        <v>169407</v>
      </c>
      <c r="F84" s="120">
        <f t="shared" ref="F84:F95" si="13">IF(C84=0,0,E84/C84)</f>
        <v>3.5194550928607459E-3</v>
      </c>
    </row>
    <row r="85" spans="1:6" ht="15.75" x14ac:dyDescent="0.25">
      <c r="A85" s="130">
        <v>2</v>
      </c>
      <c r="B85" s="122" t="s">
        <v>114</v>
      </c>
      <c r="C85" s="119">
        <f t="shared" si="11"/>
        <v>8984965</v>
      </c>
      <c r="D85" s="119">
        <f t="shared" si="11"/>
        <v>9743337</v>
      </c>
      <c r="E85" s="119">
        <f t="shared" si="12"/>
        <v>758372</v>
      </c>
      <c r="F85" s="120">
        <f t="shared" si="13"/>
        <v>8.4404558058935125E-2</v>
      </c>
    </row>
    <row r="86" spans="1:6" ht="15.75" x14ac:dyDescent="0.25">
      <c r="A86" s="130">
        <v>3</v>
      </c>
      <c r="B86" s="122" t="s">
        <v>115</v>
      </c>
      <c r="C86" s="119">
        <f t="shared" si="11"/>
        <v>14043525</v>
      </c>
      <c r="D86" s="119">
        <f t="shared" si="11"/>
        <v>15888285</v>
      </c>
      <c r="E86" s="119">
        <f t="shared" si="12"/>
        <v>1844760</v>
      </c>
      <c r="F86" s="120">
        <f t="shared" si="13"/>
        <v>0.13136018200558622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489948</v>
      </c>
      <c r="D88" s="119">
        <f t="shared" si="11"/>
        <v>517543</v>
      </c>
      <c r="E88" s="119">
        <f t="shared" si="12"/>
        <v>27595</v>
      </c>
      <c r="F88" s="120">
        <f t="shared" si="13"/>
        <v>5.6322303591401536E-2</v>
      </c>
    </row>
    <row r="89" spans="1:6" ht="15.75" x14ac:dyDescent="0.25">
      <c r="A89" s="130">
        <v>6</v>
      </c>
      <c r="B89" s="122" t="s">
        <v>118</v>
      </c>
      <c r="C89" s="119">
        <f t="shared" si="11"/>
        <v>3820538</v>
      </c>
      <c r="D89" s="119">
        <f t="shared" si="11"/>
        <v>6299172</v>
      </c>
      <c r="E89" s="119">
        <f t="shared" si="12"/>
        <v>2478634</v>
      </c>
      <c r="F89" s="120">
        <f t="shared" si="13"/>
        <v>0.64876569739654466</v>
      </c>
    </row>
    <row r="90" spans="1:6" ht="15.75" x14ac:dyDescent="0.25">
      <c r="A90" s="130">
        <v>7</v>
      </c>
      <c r="B90" s="122" t="s">
        <v>119</v>
      </c>
      <c r="C90" s="119">
        <f t="shared" si="11"/>
        <v>37899309</v>
      </c>
      <c r="D90" s="119">
        <f t="shared" si="11"/>
        <v>34882116</v>
      </c>
      <c r="E90" s="119">
        <f t="shared" si="12"/>
        <v>-3017193</v>
      </c>
      <c r="F90" s="120">
        <f t="shared" si="13"/>
        <v>-7.9610765462768726E-2</v>
      </c>
    </row>
    <row r="91" spans="1:6" ht="15.75" x14ac:dyDescent="0.25">
      <c r="A91" s="130">
        <v>8</v>
      </c>
      <c r="B91" s="122" t="s">
        <v>120</v>
      </c>
      <c r="C91" s="119">
        <f t="shared" si="11"/>
        <v>1196821</v>
      </c>
      <c r="D91" s="119">
        <f t="shared" si="11"/>
        <v>1025152</v>
      </c>
      <c r="E91" s="119">
        <f t="shared" si="12"/>
        <v>-171669</v>
      </c>
      <c r="F91" s="120">
        <f t="shared" si="13"/>
        <v>-0.14343748981677293</v>
      </c>
    </row>
    <row r="92" spans="1:6" ht="15.75" x14ac:dyDescent="0.25">
      <c r="A92" s="130">
        <v>9</v>
      </c>
      <c r="B92" s="122" t="s">
        <v>121</v>
      </c>
      <c r="C92" s="119">
        <f t="shared" si="11"/>
        <v>1201820</v>
      </c>
      <c r="D92" s="119">
        <f t="shared" si="11"/>
        <v>673164</v>
      </c>
      <c r="E92" s="119">
        <f t="shared" si="12"/>
        <v>-528656</v>
      </c>
      <c r="F92" s="120">
        <f t="shared" si="13"/>
        <v>-0.43987951606729792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96688</v>
      </c>
      <c r="D94" s="119">
        <f t="shared" si="11"/>
        <v>73074</v>
      </c>
      <c r="E94" s="119">
        <f t="shared" si="12"/>
        <v>-23614</v>
      </c>
      <c r="F94" s="120">
        <f t="shared" si="13"/>
        <v>-0.24422885983782888</v>
      </c>
    </row>
    <row r="95" spans="1:6" ht="18.75" customHeight="1" thickBot="1" x14ac:dyDescent="0.3">
      <c r="A95" s="131"/>
      <c r="B95" s="132" t="s">
        <v>134</v>
      </c>
      <c r="C95" s="128">
        <f>SUM(C84:C94)</f>
        <v>115868054</v>
      </c>
      <c r="D95" s="128">
        <f>SUM(D84:D94)</f>
        <v>117405690</v>
      </c>
      <c r="E95" s="128">
        <f t="shared" si="12"/>
        <v>1537636</v>
      </c>
      <c r="F95" s="129">
        <f t="shared" si="13"/>
        <v>1.3270577583015246E-2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2842</v>
      </c>
      <c r="D100" s="133">
        <v>2842</v>
      </c>
      <c r="E100" s="133">
        <f t="shared" ref="E100:E111" si="14">D100-C100</f>
        <v>0</v>
      </c>
      <c r="F100" s="114">
        <f t="shared" ref="F100:F111" si="15">IF(C100=0,0,E100/C100)</f>
        <v>0</v>
      </c>
    </row>
    <row r="101" spans="1:6" x14ac:dyDescent="0.2">
      <c r="A101" s="115">
        <v>2</v>
      </c>
      <c r="B101" s="116" t="s">
        <v>114</v>
      </c>
      <c r="C101" s="133">
        <v>457</v>
      </c>
      <c r="D101" s="133">
        <v>521</v>
      </c>
      <c r="E101" s="133">
        <f t="shared" si="14"/>
        <v>64</v>
      </c>
      <c r="F101" s="114">
        <f t="shared" si="15"/>
        <v>0.14004376367614879</v>
      </c>
    </row>
    <row r="102" spans="1:6" x14ac:dyDescent="0.2">
      <c r="A102" s="115">
        <v>3</v>
      </c>
      <c r="B102" s="116" t="s">
        <v>115</v>
      </c>
      <c r="C102" s="133">
        <v>1172</v>
      </c>
      <c r="D102" s="133">
        <v>1200</v>
      </c>
      <c r="E102" s="133">
        <f t="shared" si="14"/>
        <v>28</v>
      </c>
      <c r="F102" s="114">
        <f t="shared" si="15"/>
        <v>2.3890784982935155E-2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39</v>
      </c>
      <c r="D104" s="133">
        <v>30</v>
      </c>
      <c r="E104" s="133">
        <f t="shared" si="14"/>
        <v>-9</v>
      </c>
      <c r="F104" s="114">
        <f t="shared" si="15"/>
        <v>-0.23076923076923078</v>
      </c>
    </row>
    <row r="105" spans="1:6" x14ac:dyDescent="0.2">
      <c r="A105" s="115">
        <v>6</v>
      </c>
      <c r="B105" s="116" t="s">
        <v>118</v>
      </c>
      <c r="C105" s="133">
        <v>354</v>
      </c>
      <c r="D105" s="133">
        <v>301</v>
      </c>
      <c r="E105" s="133">
        <f t="shared" si="14"/>
        <v>-53</v>
      </c>
      <c r="F105" s="114">
        <f t="shared" si="15"/>
        <v>-0.14971751412429379</v>
      </c>
    </row>
    <row r="106" spans="1:6" x14ac:dyDescent="0.2">
      <c r="A106" s="115">
        <v>7</v>
      </c>
      <c r="B106" s="116" t="s">
        <v>119</v>
      </c>
      <c r="C106" s="133">
        <v>1082</v>
      </c>
      <c r="D106" s="133">
        <v>1013</v>
      </c>
      <c r="E106" s="133">
        <f t="shared" si="14"/>
        <v>-69</v>
      </c>
      <c r="F106" s="114">
        <f t="shared" si="15"/>
        <v>-6.3770794824399263E-2</v>
      </c>
    </row>
    <row r="107" spans="1:6" x14ac:dyDescent="0.2">
      <c r="A107" s="115">
        <v>8</v>
      </c>
      <c r="B107" s="116" t="s">
        <v>120</v>
      </c>
      <c r="C107" s="133">
        <v>12</v>
      </c>
      <c r="D107" s="133">
        <v>14</v>
      </c>
      <c r="E107" s="133">
        <f t="shared" si="14"/>
        <v>2</v>
      </c>
      <c r="F107" s="114">
        <f t="shared" si="15"/>
        <v>0.16666666666666666</v>
      </c>
    </row>
    <row r="108" spans="1:6" x14ac:dyDescent="0.2">
      <c r="A108" s="115">
        <v>9</v>
      </c>
      <c r="B108" s="116" t="s">
        <v>121</v>
      </c>
      <c r="C108" s="133">
        <v>137</v>
      </c>
      <c r="D108" s="133">
        <v>102</v>
      </c>
      <c r="E108" s="133">
        <f t="shared" si="14"/>
        <v>-35</v>
      </c>
      <c r="F108" s="114">
        <f t="shared" si="15"/>
        <v>-0.25547445255474455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11</v>
      </c>
      <c r="D110" s="133">
        <v>7</v>
      </c>
      <c r="E110" s="133">
        <f t="shared" si="14"/>
        <v>-4</v>
      </c>
      <c r="F110" s="114">
        <f t="shared" si="15"/>
        <v>-0.36363636363636365</v>
      </c>
    </row>
    <row r="111" spans="1:6" ht="15.75" x14ac:dyDescent="0.25">
      <c r="A111" s="117"/>
      <c r="B111" s="118" t="s">
        <v>138</v>
      </c>
      <c r="C111" s="134">
        <f>SUM(C100:C110)</f>
        <v>6106</v>
      </c>
      <c r="D111" s="134">
        <f>SUM(D100:D110)</f>
        <v>6030</v>
      </c>
      <c r="E111" s="134">
        <f t="shared" si="14"/>
        <v>-76</v>
      </c>
      <c r="F111" s="120">
        <f t="shared" si="15"/>
        <v>-1.2446773665247298E-2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13033</v>
      </c>
      <c r="D113" s="133">
        <v>13982</v>
      </c>
      <c r="E113" s="133">
        <f t="shared" ref="E113:E124" si="16">D113-C113</f>
        <v>949</v>
      </c>
      <c r="F113" s="114">
        <f t="shared" ref="F113:F124" si="17">IF(C113=0,0,E113/C113)</f>
        <v>7.2815161513082177E-2</v>
      </c>
    </row>
    <row r="114" spans="1:6" x14ac:dyDescent="0.2">
      <c r="A114" s="115">
        <v>2</v>
      </c>
      <c r="B114" s="116" t="s">
        <v>114</v>
      </c>
      <c r="C114" s="133">
        <v>2237</v>
      </c>
      <c r="D114" s="133">
        <v>2579</v>
      </c>
      <c r="E114" s="133">
        <f t="shared" si="16"/>
        <v>342</v>
      </c>
      <c r="F114" s="114">
        <f t="shared" si="17"/>
        <v>0.15288332588287887</v>
      </c>
    </row>
    <row r="115" spans="1:6" x14ac:dyDescent="0.2">
      <c r="A115" s="115">
        <v>3</v>
      </c>
      <c r="B115" s="116" t="s">
        <v>115</v>
      </c>
      <c r="C115" s="133">
        <v>4662</v>
      </c>
      <c r="D115" s="133">
        <v>4475</v>
      </c>
      <c r="E115" s="133">
        <f t="shared" si="16"/>
        <v>-187</v>
      </c>
      <c r="F115" s="114">
        <f t="shared" si="17"/>
        <v>-4.0111540111540112E-2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133</v>
      </c>
      <c r="D117" s="133">
        <v>119</v>
      </c>
      <c r="E117" s="133">
        <f t="shared" si="16"/>
        <v>-14</v>
      </c>
      <c r="F117" s="114">
        <f t="shared" si="17"/>
        <v>-0.10526315789473684</v>
      </c>
    </row>
    <row r="118" spans="1:6" x14ac:dyDescent="0.2">
      <c r="A118" s="115">
        <v>6</v>
      </c>
      <c r="B118" s="116" t="s">
        <v>118</v>
      </c>
      <c r="C118" s="133">
        <v>1224</v>
      </c>
      <c r="D118" s="133">
        <v>991</v>
      </c>
      <c r="E118" s="133">
        <f t="shared" si="16"/>
        <v>-233</v>
      </c>
      <c r="F118" s="114">
        <f t="shared" si="17"/>
        <v>-0.190359477124183</v>
      </c>
    </row>
    <row r="119" spans="1:6" x14ac:dyDescent="0.2">
      <c r="A119" s="115">
        <v>7</v>
      </c>
      <c r="B119" s="116" t="s">
        <v>119</v>
      </c>
      <c r="C119" s="133">
        <v>3637</v>
      </c>
      <c r="D119" s="133">
        <v>3432</v>
      </c>
      <c r="E119" s="133">
        <f t="shared" si="16"/>
        <v>-205</v>
      </c>
      <c r="F119" s="114">
        <f t="shared" si="17"/>
        <v>-5.6365136101182295E-2</v>
      </c>
    </row>
    <row r="120" spans="1:6" x14ac:dyDescent="0.2">
      <c r="A120" s="115">
        <v>8</v>
      </c>
      <c r="B120" s="116" t="s">
        <v>120</v>
      </c>
      <c r="C120" s="133">
        <v>25</v>
      </c>
      <c r="D120" s="133">
        <v>41</v>
      </c>
      <c r="E120" s="133">
        <f t="shared" si="16"/>
        <v>16</v>
      </c>
      <c r="F120" s="114">
        <f t="shared" si="17"/>
        <v>0.64</v>
      </c>
    </row>
    <row r="121" spans="1:6" x14ac:dyDescent="0.2">
      <c r="A121" s="115">
        <v>9</v>
      </c>
      <c r="B121" s="116" t="s">
        <v>121</v>
      </c>
      <c r="C121" s="133">
        <v>613</v>
      </c>
      <c r="D121" s="133">
        <v>394</v>
      </c>
      <c r="E121" s="133">
        <f t="shared" si="16"/>
        <v>-219</v>
      </c>
      <c r="F121" s="114">
        <f t="shared" si="17"/>
        <v>-0.35725938009787928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40</v>
      </c>
      <c r="D123" s="133">
        <v>51</v>
      </c>
      <c r="E123" s="133">
        <f t="shared" si="16"/>
        <v>11</v>
      </c>
      <c r="F123" s="114">
        <f t="shared" si="17"/>
        <v>0.27500000000000002</v>
      </c>
    </row>
    <row r="124" spans="1:6" ht="15.75" x14ac:dyDescent="0.25">
      <c r="A124" s="117"/>
      <c r="B124" s="118" t="s">
        <v>140</v>
      </c>
      <c r="C124" s="134">
        <f>SUM(C113:C123)</f>
        <v>25604</v>
      </c>
      <c r="D124" s="134">
        <f>SUM(D113:D123)</f>
        <v>26064</v>
      </c>
      <c r="E124" s="134">
        <f t="shared" si="16"/>
        <v>460</v>
      </c>
      <c r="F124" s="120">
        <f t="shared" si="17"/>
        <v>1.7965942821434152E-2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74006</v>
      </c>
      <c r="D126" s="133">
        <v>73639</v>
      </c>
      <c r="E126" s="133">
        <f t="shared" ref="E126:E137" si="18">D126-C126</f>
        <v>-367</v>
      </c>
      <c r="F126" s="114">
        <f t="shared" ref="F126:F137" si="19">IF(C126=0,0,E126/C126)</f>
        <v>-4.9590573737264545E-3</v>
      </c>
    </row>
    <row r="127" spans="1:6" x14ac:dyDescent="0.2">
      <c r="A127" s="115">
        <v>2</v>
      </c>
      <c r="B127" s="116" t="s">
        <v>114</v>
      </c>
      <c r="C127" s="133">
        <v>15651</v>
      </c>
      <c r="D127" s="133">
        <v>17629</v>
      </c>
      <c r="E127" s="133">
        <f t="shared" si="18"/>
        <v>1978</v>
      </c>
      <c r="F127" s="114">
        <f t="shared" si="19"/>
        <v>0.12638170084978595</v>
      </c>
    </row>
    <row r="128" spans="1:6" x14ac:dyDescent="0.2">
      <c r="A128" s="115">
        <v>3</v>
      </c>
      <c r="B128" s="116" t="s">
        <v>115</v>
      </c>
      <c r="C128" s="133">
        <v>43933</v>
      </c>
      <c r="D128" s="133">
        <v>47832</v>
      </c>
      <c r="E128" s="133">
        <f t="shared" si="18"/>
        <v>3899</v>
      </c>
      <c r="F128" s="114">
        <f t="shared" si="19"/>
        <v>8.8748776546104302E-2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688</v>
      </c>
      <c r="D130" s="133">
        <v>676</v>
      </c>
      <c r="E130" s="133">
        <f t="shared" si="18"/>
        <v>-12</v>
      </c>
      <c r="F130" s="114">
        <f t="shared" si="19"/>
        <v>-1.7441860465116279E-2</v>
      </c>
    </row>
    <row r="131" spans="1:6" x14ac:dyDescent="0.2">
      <c r="A131" s="115">
        <v>6</v>
      </c>
      <c r="B131" s="116" t="s">
        <v>118</v>
      </c>
      <c r="C131" s="133">
        <v>17498</v>
      </c>
      <c r="D131" s="133">
        <v>17173</v>
      </c>
      <c r="E131" s="133">
        <f t="shared" si="18"/>
        <v>-325</v>
      </c>
      <c r="F131" s="114">
        <f t="shared" si="19"/>
        <v>-1.8573551263001486E-2</v>
      </c>
    </row>
    <row r="132" spans="1:6" x14ac:dyDescent="0.2">
      <c r="A132" s="115">
        <v>7</v>
      </c>
      <c r="B132" s="116" t="s">
        <v>119</v>
      </c>
      <c r="C132" s="133">
        <v>60783</v>
      </c>
      <c r="D132" s="133">
        <v>60690</v>
      </c>
      <c r="E132" s="133">
        <f t="shared" si="18"/>
        <v>-93</v>
      </c>
      <c r="F132" s="114">
        <f t="shared" si="19"/>
        <v>-1.5300330684566408E-3</v>
      </c>
    </row>
    <row r="133" spans="1:6" x14ac:dyDescent="0.2">
      <c r="A133" s="115">
        <v>8</v>
      </c>
      <c r="B133" s="116" t="s">
        <v>120</v>
      </c>
      <c r="C133" s="133">
        <v>1249</v>
      </c>
      <c r="D133" s="133">
        <v>1175</v>
      </c>
      <c r="E133" s="133">
        <f t="shared" si="18"/>
        <v>-74</v>
      </c>
      <c r="F133" s="114">
        <f t="shared" si="19"/>
        <v>-5.9247397918334666E-2</v>
      </c>
    </row>
    <row r="134" spans="1:6" x14ac:dyDescent="0.2">
      <c r="A134" s="115">
        <v>9</v>
      </c>
      <c r="B134" s="116" t="s">
        <v>121</v>
      </c>
      <c r="C134" s="133">
        <v>9447</v>
      </c>
      <c r="D134" s="133">
        <v>7819</v>
      </c>
      <c r="E134" s="133">
        <f t="shared" si="18"/>
        <v>-1628</v>
      </c>
      <c r="F134" s="114">
        <f t="shared" si="19"/>
        <v>-0.17232984016089764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123</v>
      </c>
      <c r="D136" s="133">
        <v>152</v>
      </c>
      <c r="E136" s="133">
        <f t="shared" si="18"/>
        <v>29</v>
      </c>
      <c r="F136" s="114">
        <f t="shared" si="19"/>
        <v>0.23577235772357724</v>
      </c>
    </row>
    <row r="137" spans="1:6" ht="15.75" x14ac:dyDescent="0.25">
      <c r="A137" s="117"/>
      <c r="B137" s="118" t="s">
        <v>142</v>
      </c>
      <c r="C137" s="134">
        <f>SUM(C126:C136)</f>
        <v>223378</v>
      </c>
      <c r="D137" s="134">
        <f>SUM(D126:D136)</f>
        <v>226785</v>
      </c>
      <c r="E137" s="134">
        <f t="shared" si="18"/>
        <v>3407</v>
      </c>
      <c r="F137" s="120">
        <f t="shared" si="19"/>
        <v>1.5252173445907834E-2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9904048</v>
      </c>
      <c r="D142" s="113">
        <v>10795333</v>
      </c>
      <c r="E142" s="113">
        <f t="shared" ref="E142:E153" si="20">D142-C142</f>
        <v>891285</v>
      </c>
      <c r="F142" s="114">
        <f t="shared" ref="F142:F153" si="21">IF(C142=0,0,E142/C142)</f>
        <v>8.9991991153516221E-2</v>
      </c>
    </row>
    <row r="143" spans="1:6" x14ac:dyDescent="0.2">
      <c r="A143" s="115">
        <v>2</v>
      </c>
      <c r="B143" s="116" t="s">
        <v>114</v>
      </c>
      <c r="C143" s="113">
        <v>1764163</v>
      </c>
      <c r="D143" s="113">
        <v>2197661</v>
      </c>
      <c r="E143" s="113">
        <f t="shared" si="20"/>
        <v>433498</v>
      </c>
      <c r="F143" s="114">
        <f t="shared" si="21"/>
        <v>0.24572445970128612</v>
      </c>
    </row>
    <row r="144" spans="1:6" x14ac:dyDescent="0.2">
      <c r="A144" s="115">
        <v>3</v>
      </c>
      <c r="B144" s="116" t="s">
        <v>115</v>
      </c>
      <c r="C144" s="113">
        <v>14825361</v>
      </c>
      <c r="D144" s="113">
        <v>17664076</v>
      </c>
      <c r="E144" s="113">
        <f t="shared" si="20"/>
        <v>2838715</v>
      </c>
      <c r="F144" s="114">
        <f t="shared" si="21"/>
        <v>0.1914769562778269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329437</v>
      </c>
      <c r="D146" s="113">
        <v>261430</v>
      </c>
      <c r="E146" s="113">
        <f t="shared" si="20"/>
        <v>-68007</v>
      </c>
      <c r="F146" s="114">
        <f t="shared" si="21"/>
        <v>-0.20643400710909826</v>
      </c>
    </row>
    <row r="147" spans="1:6" x14ac:dyDescent="0.2">
      <c r="A147" s="115">
        <v>6</v>
      </c>
      <c r="B147" s="116" t="s">
        <v>118</v>
      </c>
      <c r="C147" s="113">
        <v>2971151</v>
      </c>
      <c r="D147" s="113">
        <v>3125754</v>
      </c>
      <c r="E147" s="113">
        <f t="shared" si="20"/>
        <v>154603</v>
      </c>
      <c r="F147" s="114">
        <f t="shared" si="21"/>
        <v>5.2034716512220351E-2</v>
      </c>
    </row>
    <row r="148" spans="1:6" x14ac:dyDescent="0.2">
      <c r="A148" s="115">
        <v>7</v>
      </c>
      <c r="B148" s="116" t="s">
        <v>119</v>
      </c>
      <c r="C148" s="113">
        <v>9268709</v>
      </c>
      <c r="D148" s="113">
        <v>9866864</v>
      </c>
      <c r="E148" s="113">
        <f t="shared" si="20"/>
        <v>598155</v>
      </c>
      <c r="F148" s="114">
        <f t="shared" si="21"/>
        <v>6.4534877510988853E-2</v>
      </c>
    </row>
    <row r="149" spans="1:6" x14ac:dyDescent="0.2">
      <c r="A149" s="115">
        <v>8</v>
      </c>
      <c r="B149" s="116" t="s">
        <v>120</v>
      </c>
      <c r="C149" s="113">
        <v>506763</v>
      </c>
      <c r="D149" s="113">
        <v>545451</v>
      </c>
      <c r="E149" s="113">
        <f t="shared" si="20"/>
        <v>38688</v>
      </c>
      <c r="F149" s="114">
        <f t="shared" si="21"/>
        <v>7.634337944956518E-2</v>
      </c>
    </row>
    <row r="150" spans="1:6" x14ac:dyDescent="0.2">
      <c r="A150" s="115">
        <v>9</v>
      </c>
      <c r="B150" s="116" t="s">
        <v>121</v>
      </c>
      <c r="C150" s="113">
        <v>2109671</v>
      </c>
      <c r="D150" s="113">
        <v>1689775</v>
      </c>
      <c r="E150" s="113">
        <f t="shared" si="20"/>
        <v>-419896</v>
      </c>
      <c r="F150" s="114">
        <f t="shared" si="21"/>
        <v>-0.1990338777942153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98332</v>
      </c>
      <c r="D152" s="113">
        <v>129901</v>
      </c>
      <c r="E152" s="113">
        <f t="shared" si="20"/>
        <v>31569</v>
      </c>
      <c r="F152" s="114">
        <f t="shared" si="21"/>
        <v>0.32104503111906602</v>
      </c>
    </row>
    <row r="153" spans="1:6" ht="33.75" customHeight="1" x14ac:dyDescent="0.25">
      <c r="A153" s="117"/>
      <c r="B153" s="118" t="s">
        <v>146</v>
      </c>
      <c r="C153" s="119">
        <f>SUM(C142:C152)</f>
        <v>41777635</v>
      </c>
      <c r="D153" s="119">
        <f>SUM(D142:D152)</f>
        <v>46276245</v>
      </c>
      <c r="E153" s="119">
        <f t="shared" si="20"/>
        <v>4498610</v>
      </c>
      <c r="F153" s="120">
        <f t="shared" si="21"/>
        <v>0.10767986268250944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2412588</v>
      </c>
      <c r="D155" s="113">
        <v>2550857</v>
      </c>
      <c r="E155" s="113">
        <f t="shared" ref="E155:E166" si="22">D155-C155</f>
        <v>138269</v>
      </c>
      <c r="F155" s="114">
        <f t="shared" ref="F155:F166" si="23">IF(C155=0,0,E155/C155)</f>
        <v>5.7311484596624038E-2</v>
      </c>
    </row>
    <row r="156" spans="1:6" x14ac:dyDescent="0.2">
      <c r="A156" s="115">
        <v>2</v>
      </c>
      <c r="B156" s="116" t="s">
        <v>114</v>
      </c>
      <c r="C156" s="113">
        <v>469599</v>
      </c>
      <c r="D156" s="113">
        <v>556322</v>
      </c>
      <c r="E156" s="113">
        <f t="shared" si="22"/>
        <v>86723</v>
      </c>
      <c r="F156" s="114">
        <f t="shared" si="23"/>
        <v>0.18467458406001716</v>
      </c>
    </row>
    <row r="157" spans="1:6" x14ac:dyDescent="0.2">
      <c r="A157" s="115">
        <v>3</v>
      </c>
      <c r="B157" s="116" t="s">
        <v>115</v>
      </c>
      <c r="C157" s="113">
        <v>3548854</v>
      </c>
      <c r="D157" s="113">
        <v>4077879</v>
      </c>
      <c r="E157" s="113">
        <f t="shared" si="22"/>
        <v>529025</v>
      </c>
      <c r="F157" s="114">
        <f t="shared" si="23"/>
        <v>0.14906924883356712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80430</v>
      </c>
      <c r="D159" s="113">
        <v>60992</v>
      </c>
      <c r="E159" s="113">
        <f t="shared" si="22"/>
        <v>-19438</v>
      </c>
      <c r="F159" s="114">
        <f t="shared" si="23"/>
        <v>-0.24167599154544325</v>
      </c>
    </row>
    <row r="160" spans="1:6" x14ac:dyDescent="0.2">
      <c r="A160" s="115">
        <v>6</v>
      </c>
      <c r="B160" s="116" t="s">
        <v>118</v>
      </c>
      <c r="C160" s="113">
        <v>1353916</v>
      </c>
      <c r="D160" s="113">
        <v>1375684</v>
      </c>
      <c r="E160" s="113">
        <f t="shared" si="22"/>
        <v>21768</v>
      </c>
      <c r="F160" s="114">
        <f t="shared" si="23"/>
        <v>1.6077806894962465E-2</v>
      </c>
    </row>
    <row r="161" spans="1:6" x14ac:dyDescent="0.2">
      <c r="A161" s="115">
        <v>7</v>
      </c>
      <c r="B161" s="116" t="s">
        <v>119</v>
      </c>
      <c r="C161" s="113">
        <v>3750602</v>
      </c>
      <c r="D161" s="113">
        <v>3643460</v>
      </c>
      <c r="E161" s="113">
        <f t="shared" si="22"/>
        <v>-107142</v>
      </c>
      <c r="F161" s="114">
        <f t="shared" si="23"/>
        <v>-2.8566614106215481E-2</v>
      </c>
    </row>
    <row r="162" spans="1:6" x14ac:dyDescent="0.2">
      <c r="A162" s="115">
        <v>8</v>
      </c>
      <c r="B162" s="116" t="s">
        <v>120</v>
      </c>
      <c r="C162" s="113">
        <v>432740</v>
      </c>
      <c r="D162" s="113">
        <v>343492</v>
      </c>
      <c r="E162" s="113">
        <f t="shared" si="22"/>
        <v>-89248</v>
      </c>
      <c r="F162" s="114">
        <f t="shared" si="23"/>
        <v>-0.20623931228913436</v>
      </c>
    </row>
    <row r="163" spans="1:6" x14ac:dyDescent="0.2">
      <c r="A163" s="115">
        <v>9</v>
      </c>
      <c r="B163" s="116" t="s">
        <v>121</v>
      </c>
      <c r="C163" s="113">
        <v>1549465</v>
      </c>
      <c r="D163" s="113">
        <v>1364790</v>
      </c>
      <c r="E163" s="113">
        <f t="shared" si="22"/>
        <v>-184675</v>
      </c>
      <c r="F163" s="114">
        <f t="shared" si="23"/>
        <v>-0.11918629978734596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30948</v>
      </c>
      <c r="D165" s="113">
        <v>26219</v>
      </c>
      <c r="E165" s="113">
        <f t="shared" si="22"/>
        <v>-4729</v>
      </c>
      <c r="F165" s="114">
        <f t="shared" si="23"/>
        <v>-0.15280470466589116</v>
      </c>
    </row>
    <row r="166" spans="1:6" ht="33.75" customHeight="1" x14ac:dyDescent="0.25">
      <c r="A166" s="117"/>
      <c r="B166" s="118" t="s">
        <v>148</v>
      </c>
      <c r="C166" s="119">
        <f>SUM(C155:C165)</f>
        <v>13629142</v>
      </c>
      <c r="D166" s="119">
        <f>SUM(D155:D165)</f>
        <v>13999695</v>
      </c>
      <c r="E166" s="119">
        <f t="shared" si="22"/>
        <v>370553</v>
      </c>
      <c r="F166" s="120">
        <f t="shared" si="23"/>
        <v>2.7188285220008712E-2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7732</v>
      </c>
      <c r="D168" s="133">
        <v>8046</v>
      </c>
      <c r="E168" s="133">
        <f t="shared" ref="E168:E179" si="24">D168-C168</f>
        <v>314</v>
      </c>
      <c r="F168" s="114">
        <f t="shared" ref="F168:F179" si="25">IF(C168=0,0,E168/C168)</f>
        <v>4.0610450077599586E-2</v>
      </c>
    </row>
    <row r="169" spans="1:6" x14ac:dyDescent="0.2">
      <c r="A169" s="115">
        <v>2</v>
      </c>
      <c r="B169" s="116" t="s">
        <v>114</v>
      </c>
      <c r="C169" s="133">
        <v>1280</v>
      </c>
      <c r="D169" s="133">
        <v>1470</v>
      </c>
      <c r="E169" s="133">
        <f t="shared" si="24"/>
        <v>190</v>
      </c>
      <c r="F169" s="114">
        <f t="shared" si="25"/>
        <v>0.1484375</v>
      </c>
    </row>
    <row r="170" spans="1:6" x14ac:dyDescent="0.2">
      <c r="A170" s="115">
        <v>3</v>
      </c>
      <c r="B170" s="116" t="s">
        <v>115</v>
      </c>
      <c r="C170" s="133">
        <v>12829</v>
      </c>
      <c r="D170" s="133">
        <v>14438</v>
      </c>
      <c r="E170" s="133">
        <f t="shared" si="24"/>
        <v>1609</v>
      </c>
      <c r="F170" s="114">
        <f t="shared" si="25"/>
        <v>0.12541897264011226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262</v>
      </c>
      <c r="D172" s="133">
        <v>251</v>
      </c>
      <c r="E172" s="133">
        <f t="shared" si="24"/>
        <v>-11</v>
      </c>
      <c r="F172" s="114">
        <f t="shared" si="25"/>
        <v>-4.1984732824427481E-2</v>
      </c>
    </row>
    <row r="173" spans="1:6" x14ac:dyDescent="0.2">
      <c r="A173" s="115">
        <v>6</v>
      </c>
      <c r="B173" s="116" t="s">
        <v>118</v>
      </c>
      <c r="C173" s="133">
        <v>2524</v>
      </c>
      <c r="D173" s="133">
        <v>2466</v>
      </c>
      <c r="E173" s="133">
        <f t="shared" si="24"/>
        <v>-58</v>
      </c>
      <c r="F173" s="114">
        <f t="shared" si="25"/>
        <v>-2.2979397781299524E-2</v>
      </c>
    </row>
    <row r="174" spans="1:6" x14ac:dyDescent="0.2">
      <c r="A174" s="115">
        <v>7</v>
      </c>
      <c r="B174" s="116" t="s">
        <v>119</v>
      </c>
      <c r="C174" s="133">
        <v>7991</v>
      </c>
      <c r="D174" s="133">
        <v>7948</v>
      </c>
      <c r="E174" s="133">
        <f t="shared" si="24"/>
        <v>-43</v>
      </c>
      <c r="F174" s="114">
        <f t="shared" si="25"/>
        <v>-5.3810536853960709E-3</v>
      </c>
    </row>
    <row r="175" spans="1:6" x14ac:dyDescent="0.2">
      <c r="A175" s="115">
        <v>8</v>
      </c>
      <c r="B175" s="116" t="s">
        <v>120</v>
      </c>
      <c r="C175" s="133">
        <v>662</v>
      </c>
      <c r="D175" s="133">
        <v>632</v>
      </c>
      <c r="E175" s="133">
        <f t="shared" si="24"/>
        <v>-30</v>
      </c>
      <c r="F175" s="114">
        <f t="shared" si="25"/>
        <v>-4.5317220543806644E-2</v>
      </c>
    </row>
    <row r="176" spans="1:6" x14ac:dyDescent="0.2">
      <c r="A176" s="115">
        <v>9</v>
      </c>
      <c r="B176" s="116" t="s">
        <v>121</v>
      </c>
      <c r="C176" s="133">
        <v>2486</v>
      </c>
      <c r="D176" s="133">
        <v>2119</v>
      </c>
      <c r="E176" s="133">
        <f t="shared" si="24"/>
        <v>-367</v>
      </c>
      <c r="F176" s="114">
        <f t="shared" si="25"/>
        <v>-0.14762670957361224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87</v>
      </c>
      <c r="D178" s="133">
        <v>104</v>
      </c>
      <c r="E178" s="133">
        <f t="shared" si="24"/>
        <v>17</v>
      </c>
      <c r="F178" s="114">
        <f t="shared" si="25"/>
        <v>0.19540229885057472</v>
      </c>
    </row>
    <row r="179" spans="1:6" ht="33.75" customHeight="1" x14ac:dyDescent="0.25">
      <c r="A179" s="117"/>
      <c r="B179" s="118" t="s">
        <v>150</v>
      </c>
      <c r="C179" s="134">
        <f>SUM(C168:C178)</f>
        <v>35853</v>
      </c>
      <c r="D179" s="134">
        <f>SUM(D168:D178)</f>
        <v>37474</v>
      </c>
      <c r="E179" s="134">
        <f t="shared" si="24"/>
        <v>1621</v>
      </c>
      <c r="F179" s="120">
        <f t="shared" si="25"/>
        <v>4.5212395057596298E-2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4" fitToHeight="2" orientation="portrait" horizontalDpi="1200" verticalDpi="1200" r:id="rId1"/>
  <headerFooter>
    <oddHeader>&amp;LOFFICE OF HEALTH CARE ACCESS&amp;CTWELVE MONTHS ACTUAL FILING&amp;RCHARLOTTE HUNGERFORD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zoomScaleNormal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22031082</v>
      </c>
      <c r="D15" s="157">
        <v>21468707</v>
      </c>
      <c r="E15" s="157">
        <f>+D15-C15</f>
        <v>-562375</v>
      </c>
      <c r="F15" s="161">
        <f>IF(C15=0,0,E15/C15)</f>
        <v>-2.5526435787402543E-2</v>
      </c>
    </row>
    <row r="16" spans="1:6" ht="15" customHeight="1" x14ac:dyDescent="0.2">
      <c r="A16" s="147">
        <v>2</v>
      </c>
      <c r="B16" s="160" t="s">
        <v>157</v>
      </c>
      <c r="C16" s="157">
        <v>8726511</v>
      </c>
      <c r="D16" s="157">
        <v>8229856</v>
      </c>
      <c r="E16" s="157">
        <f>+D16-C16</f>
        <v>-496655</v>
      </c>
      <c r="F16" s="161">
        <f>IF(C16=0,0,E16/C16)</f>
        <v>-5.6913352885248181E-2</v>
      </c>
    </row>
    <row r="17" spans="1:6" ht="15" customHeight="1" x14ac:dyDescent="0.2">
      <c r="A17" s="147">
        <v>3</v>
      </c>
      <c r="B17" s="160" t="s">
        <v>158</v>
      </c>
      <c r="C17" s="157">
        <v>25945384</v>
      </c>
      <c r="D17" s="157">
        <v>26231947</v>
      </c>
      <c r="E17" s="157">
        <f>+D17-C17</f>
        <v>286563</v>
      </c>
      <c r="F17" s="161">
        <f>IF(C17=0,0,E17/C17)</f>
        <v>1.1044854838147702E-2</v>
      </c>
    </row>
    <row r="18" spans="1:6" ht="15.75" customHeight="1" x14ac:dyDescent="0.25">
      <c r="A18" s="147"/>
      <c r="B18" s="162" t="s">
        <v>159</v>
      </c>
      <c r="C18" s="158">
        <f>SUM(C15:C17)</f>
        <v>56702977</v>
      </c>
      <c r="D18" s="158">
        <f>SUM(D15:D17)</f>
        <v>55930510</v>
      </c>
      <c r="E18" s="158">
        <f>+D18-C18</f>
        <v>-772467</v>
      </c>
      <c r="F18" s="159">
        <f>IF(C18=0,0,E18/C18)</f>
        <v>-1.3623041344019734E-2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5451956</v>
      </c>
      <c r="D21" s="157">
        <v>5471464</v>
      </c>
      <c r="E21" s="157">
        <f>+D21-C21</f>
        <v>19508</v>
      </c>
      <c r="F21" s="161">
        <f>IF(C21=0,0,E21/C21)</f>
        <v>3.5781653410262297E-3</v>
      </c>
    </row>
    <row r="22" spans="1:6" ht="15" customHeight="1" x14ac:dyDescent="0.2">
      <c r="A22" s="147">
        <v>2</v>
      </c>
      <c r="B22" s="160" t="s">
        <v>162</v>
      </c>
      <c r="C22" s="157">
        <v>2159520</v>
      </c>
      <c r="D22" s="157">
        <v>2097442</v>
      </c>
      <c r="E22" s="157">
        <f>+D22-C22</f>
        <v>-62078</v>
      </c>
      <c r="F22" s="161">
        <f>IF(C22=0,0,E22/C22)</f>
        <v>-2.8746202859894793E-2</v>
      </c>
    </row>
    <row r="23" spans="1:6" ht="15" customHeight="1" x14ac:dyDescent="0.2">
      <c r="A23" s="147">
        <v>3</v>
      </c>
      <c r="B23" s="160" t="s">
        <v>163</v>
      </c>
      <c r="C23" s="157">
        <v>6420615</v>
      </c>
      <c r="D23" s="157">
        <v>6685410</v>
      </c>
      <c r="E23" s="157">
        <f>+D23-C23</f>
        <v>264795</v>
      </c>
      <c r="F23" s="161">
        <f>IF(C23=0,0,E23/C23)</f>
        <v>4.1241376410203694E-2</v>
      </c>
    </row>
    <row r="24" spans="1:6" ht="15.75" customHeight="1" x14ac:dyDescent="0.25">
      <c r="A24" s="147"/>
      <c r="B24" s="162" t="s">
        <v>164</v>
      </c>
      <c r="C24" s="158">
        <f>SUM(C21:C23)</f>
        <v>14032091</v>
      </c>
      <c r="D24" s="158">
        <f>SUM(D21:D23)</f>
        <v>14254316</v>
      </c>
      <c r="E24" s="158">
        <f>+D24-C24</f>
        <v>222225</v>
      </c>
      <c r="F24" s="159">
        <f>IF(C24=0,0,E24/C24)</f>
        <v>1.5836912688208762E-2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372363</v>
      </c>
      <c r="D27" s="157">
        <v>29203</v>
      </c>
      <c r="E27" s="157">
        <f>+D27-C27</f>
        <v>-343160</v>
      </c>
      <c r="F27" s="161">
        <f>IF(C27=0,0,E27/C27)</f>
        <v>-0.92157384058029401</v>
      </c>
    </row>
    <row r="28" spans="1:6" ht="15" customHeight="1" x14ac:dyDescent="0.2">
      <c r="A28" s="147">
        <v>2</v>
      </c>
      <c r="B28" s="160" t="s">
        <v>167</v>
      </c>
      <c r="C28" s="157">
        <v>4330528</v>
      </c>
      <c r="D28" s="157">
        <v>5593737</v>
      </c>
      <c r="E28" s="157">
        <f>+D28-C28</f>
        <v>1263209</v>
      </c>
      <c r="F28" s="161">
        <f>IF(C28=0,0,E28/C28)</f>
        <v>0.29169861042348649</v>
      </c>
    </row>
    <row r="29" spans="1:6" ht="15" customHeight="1" x14ac:dyDescent="0.2">
      <c r="A29" s="147">
        <v>3</v>
      </c>
      <c r="B29" s="160" t="s">
        <v>168</v>
      </c>
      <c r="C29" s="157">
        <v>665011</v>
      </c>
      <c r="D29" s="157">
        <v>629292</v>
      </c>
      <c r="E29" s="157">
        <f>+D29-C29</f>
        <v>-35719</v>
      </c>
      <c r="F29" s="161">
        <f>IF(C29=0,0,E29/C29)</f>
        <v>-5.3711893487476146E-2</v>
      </c>
    </row>
    <row r="30" spans="1:6" ht="15.75" customHeight="1" x14ac:dyDescent="0.25">
      <c r="A30" s="147"/>
      <c r="B30" s="162" t="s">
        <v>169</v>
      </c>
      <c r="C30" s="158">
        <f>SUM(C27:C29)</f>
        <v>5367902</v>
      </c>
      <c r="D30" s="158">
        <f>SUM(D27:D29)</f>
        <v>6252232</v>
      </c>
      <c r="E30" s="158">
        <f>+D30-C30</f>
        <v>884330</v>
      </c>
      <c r="F30" s="159">
        <f>IF(C30=0,0,E30/C30)</f>
        <v>0.16474406574486644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7466603</v>
      </c>
      <c r="D33" s="157">
        <v>6839123</v>
      </c>
      <c r="E33" s="157">
        <f>+D33-C33</f>
        <v>-627480</v>
      </c>
      <c r="F33" s="161">
        <f>IF(C33=0,0,E33/C33)</f>
        <v>-8.4038216575864549E-2</v>
      </c>
    </row>
    <row r="34" spans="1:6" ht="15" customHeight="1" x14ac:dyDescent="0.2">
      <c r="A34" s="147">
        <v>2</v>
      </c>
      <c r="B34" s="160" t="s">
        <v>173</v>
      </c>
      <c r="C34" s="157">
        <v>4153358</v>
      </c>
      <c r="D34" s="157">
        <v>4528120</v>
      </c>
      <c r="E34" s="157">
        <f>+D34-C34</f>
        <v>374762</v>
      </c>
      <c r="F34" s="161">
        <f>IF(C34=0,0,E34/C34)</f>
        <v>9.0231085304950831E-2</v>
      </c>
    </row>
    <row r="35" spans="1:6" ht="15.75" customHeight="1" x14ac:dyDescent="0.25">
      <c r="A35" s="147"/>
      <c r="B35" s="162" t="s">
        <v>174</v>
      </c>
      <c r="C35" s="158">
        <f>SUM(C33:C34)</f>
        <v>11619961</v>
      </c>
      <c r="D35" s="158">
        <f>SUM(D33:D34)</f>
        <v>11367243</v>
      </c>
      <c r="E35" s="158">
        <f>+D35-C35</f>
        <v>-252718</v>
      </c>
      <c r="F35" s="159">
        <f>IF(C35=0,0,E35/C35)</f>
        <v>-2.1748609999637694E-2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3253883</v>
      </c>
      <c r="D38" s="157">
        <v>3327465</v>
      </c>
      <c r="E38" s="157">
        <f>+D38-C38</f>
        <v>73582</v>
      </c>
      <c r="F38" s="161">
        <f>IF(C38=0,0,E38/C38)</f>
        <v>2.2613597354299464E-2</v>
      </c>
    </row>
    <row r="39" spans="1:6" ht="15" customHeight="1" x14ac:dyDescent="0.2">
      <c r="A39" s="147">
        <v>2</v>
      </c>
      <c r="B39" s="160" t="s">
        <v>178</v>
      </c>
      <c r="C39" s="157">
        <v>2607931</v>
      </c>
      <c r="D39" s="157">
        <v>2552316</v>
      </c>
      <c r="E39" s="157">
        <f>+D39-C39</f>
        <v>-55615</v>
      </c>
      <c r="F39" s="161">
        <f>IF(C39=0,0,E39/C39)</f>
        <v>-2.1325334144193232E-2</v>
      </c>
    </row>
    <row r="40" spans="1:6" ht="15" customHeight="1" x14ac:dyDescent="0.2">
      <c r="A40" s="147">
        <v>3</v>
      </c>
      <c r="B40" s="160" t="s">
        <v>179</v>
      </c>
      <c r="C40" s="157">
        <v>37606</v>
      </c>
      <c r="D40" s="157">
        <v>37606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5899420</v>
      </c>
      <c r="D41" s="158">
        <f>SUM(D38:D40)</f>
        <v>5917387</v>
      </c>
      <c r="E41" s="158">
        <f>+D41-C41</f>
        <v>17967</v>
      </c>
      <c r="F41" s="159">
        <f>IF(C41=0,0,E41/C41)</f>
        <v>3.045553630695899E-3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15651</v>
      </c>
      <c r="D47" s="157">
        <v>0</v>
      </c>
      <c r="E47" s="157">
        <f>+D47-C47</f>
        <v>-15651</v>
      </c>
      <c r="F47" s="161">
        <f>IF(C47=0,0,E47/C47)</f>
        <v>-1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1701301</v>
      </c>
      <c r="D50" s="157">
        <v>2090487</v>
      </c>
      <c r="E50" s="157">
        <f>+D50-C50</f>
        <v>389186</v>
      </c>
      <c r="F50" s="161">
        <f>IF(C50=0,0,E50/C50)</f>
        <v>0.22875787412104032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52276</v>
      </c>
      <c r="D53" s="157">
        <v>57973</v>
      </c>
      <c r="E53" s="157">
        <f t="shared" ref="E53:E59" si="0">+D53-C53</f>
        <v>5697</v>
      </c>
      <c r="F53" s="161">
        <f t="shared" ref="F53:F59" si="1">IF(C53=0,0,E53/C53)</f>
        <v>0.10897926390695539</v>
      </c>
    </row>
    <row r="54" spans="1:6" ht="15" customHeight="1" x14ac:dyDescent="0.2">
      <c r="A54" s="147">
        <v>2</v>
      </c>
      <c r="B54" s="160" t="s">
        <v>189</v>
      </c>
      <c r="C54" s="157">
        <v>522370</v>
      </c>
      <c r="D54" s="157">
        <v>524283</v>
      </c>
      <c r="E54" s="157">
        <f t="shared" si="0"/>
        <v>1913</v>
      </c>
      <c r="F54" s="161">
        <f t="shared" si="1"/>
        <v>3.6621551773647031E-3</v>
      </c>
    </row>
    <row r="55" spans="1:6" ht="15" customHeight="1" x14ac:dyDescent="0.2">
      <c r="A55" s="147">
        <v>3</v>
      </c>
      <c r="B55" s="160" t="s">
        <v>190</v>
      </c>
      <c r="C55" s="157">
        <v>16892</v>
      </c>
      <c r="D55" s="157">
        <v>20091</v>
      </c>
      <c r="E55" s="157">
        <f t="shared" si="0"/>
        <v>3199</v>
      </c>
      <c r="F55" s="161">
        <f t="shared" si="1"/>
        <v>0.18937958797063698</v>
      </c>
    </row>
    <row r="56" spans="1:6" ht="15" customHeight="1" x14ac:dyDescent="0.2">
      <c r="A56" s="147">
        <v>4</v>
      </c>
      <c r="B56" s="160" t="s">
        <v>191</v>
      </c>
      <c r="C56" s="157">
        <v>1237940</v>
      </c>
      <c r="D56" s="157">
        <v>1201174</v>
      </c>
      <c r="E56" s="157">
        <f t="shared" si="0"/>
        <v>-36766</v>
      </c>
      <c r="F56" s="161">
        <f t="shared" si="1"/>
        <v>-2.9699339224841269E-2</v>
      </c>
    </row>
    <row r="57" spans="1:6" ht="15" customHeight="1" x14ac:dyDescent="0.2">
      <c r="A57" s="147">
        <v>5</v>
      </c>
      <c r="B57" s="160" t="s">
        <v>192</v>
      </c>
      <c r="C57" s="157">
        <v>270635</v>
      </c>
      <c r="D57" s="157">
        <v>341365</v>
      </c>
      <c r="E57" s="157">
        <f t="shared" si="0"/>
        <v>70730</v>
      </c>
      <c r="F57" s="161">
        <f t="shared" si="1"/>
        <v>0.26134831045504092</v>
      </c>
    </row>
    <row r="58" spans="1:6" ht="15" customHeight="1" x14ac:dyDescent="0.2">
      <c r="A58" s="147">
        <v>6</v>
      </c>
      <c r="B58" s="160" t="s">
        <v>193</v>
      </c>
      <c r="C58" s="157">
        <v>61543</v>
      </c>
      <c r="D58" s="157">
        <v>54848</v>
      </c>
      <c r="E58" s="157">
        <f t="shared" si="0"/>
        <v>-6695</v>
      </c>
      <c r="F58" s="161">
        <f t="shared" si="1"/>
        <v>-0.10878572705262987</v>
      </c>
    </row>
    <row r="59" spans="1:6" ht="15.75" customHeight="1" x14ac:dyDescent="0.25">
      <c r="A59" s="147"/>
      <c r="B59" s="162" t="s">
        <v>194</v>
      </c>
      <c r="C59" s="158">
        <f>SUM(C53:C58)</f>
        <v>2161656</v>
      </c>
      <c r="D59" s="158">
        <f>SUM(D53:D58)</f>
        <v>2199734</v>
      </c>
      <c r="E59" s="158">
        <f t="shared" si="0"/>
        <v>38078</v>
      </c>
      <c r="F59" s="159">
        <f t="shared" si="1"/>
        <v>1.7615198718019889E-2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119200</v>
      </c>
      <c r="D62" s="157">
        <v>122246</v>
      </c>
      <c r="E62" s="157">
        <f t="shared" ref="E62:E90" si="2">+D62-C62</f>
        <v>3046</v>
      </c>
      <c r="F62" s="161">
        <f t="shared" ref="F62:F90" si="3">IF(C62=0,0,E62/C62)</f>
        <v>2.5553691275167784E-2</v>
      </c>
    </row>
    <row r="63" spans="1:6" ht="15" customHeight="1" x14ac:dyDescent="0.2">
      <c r="A63" s="147">
        <v>2</v>
      </c>
      <c r="B63" s="160" t="s">
        <v>198</v>
      </c>
      <c r="C63" s="157">
        <v>350198</v>
      </c>
      <c r="D63" s="157">
        <v>238879</v>
      </c>
      <c r="E63" s="157">
        <f t="shared" si="2"/>
        <v>-111319</v>
      </c>
      <c r="F63" s="161">
        <f t="shared" si="3"/>
        <v>-0.31787445959143112</v>
      </c>
    </row>
    <row r="64" spans="1:6" ht="15" customHeight="1" x14ac:dyDescent="0.2">
      <c r="A64" s="147">
        <v>3</v>
      </c>
      <c r="B64" s="160" t="s">
        <v>199</v>
      </c>
      <c r="C64" s="157">
        <v>348303</v>
      </c>
      <c r="D64" s="157">
        <v>376760</v>
      </c>
      <c r="E64" s="157">
        <f t="shared" si="2"/>
        <v>28457</v>
      </c>
      <c r="F64" s="161">
        <f t="shared" si="3"/>
        <v>8.1701851548795154E-2</v>
      </c>
    </row>
    <row r="65" spans="1:6" ht="15" customHeight="1" x14ac:dyDescent="0.2">
      <c r="A65" s="147">
        <v>4</v>
      </c>
      <c r="B65" s="160" t="s">
        <v>200</v>
      </c>
      <c r="C65" s="157">
        <v>462298</v>
      </c>
      <c r="D65" s="157">
        <v>402452</v>
      </c>
      <c r="E65" s="157">
        <f t="shared" si="2"/>
        <v>-59846</v>
      </c>
      <c r="F65" s="161">
        <f t="shared" si="3"/>
        <v>-0.12945329635862582</v>
      </c>
    </row>
    <row r="66" spans="1:6" ht="15" customHeight="1" x14ac:dyDescent="0.2">
      <c r="A66" s="147">
        <v>5</v>
      </c>
      <c r="B66" s="160" t="s">
        <v>201</v>
      </c>
      <c r="C66" s="157">
        <v>1004686</v>
      </c>
      <c r="D66" s="157">
        <v>438024</v>
      </c>
      <c r="E66" s="157">
        <f t="shared" si="2"/>
        <v>-566662</v>
      </c>
      <c r="F66" s="161">
        <f t="shared" si="3"/>
        <v>-0.56401900693350959</v>
      </c>
    </row>
    <row r="67" spans="1:6" ht="15" customHeight="1" x14ac:dyDescent="0.2">
      <c r="A67" s="147">
        <v>6</v>
      </c>
      <c r="B67" s="160" t="s">
        <v>202</v>
      </c>
      <c r="C67" s="157">
        <v>1196858</v>
      </c>
      <c r="D67" s="157">
        <v>1275205</v>
      </c>
      <c r="E67" s="157">
        <f t="shared" si="2"/>
        <v>78347</v>
      </c>
      <c r="F67" s="161">
        <f t="shared" si="3"/>
        <v>6.5460564244045658E-2</v>
      </c>
    </row>
    <row r="68" spans="1:6" ht="15" customHeight="1" x14ac:dyDescent="0.2">
      <c r="A68" s="147">
        <v>7</v>
      </c>
      <c r="B68" s="160" t="s">
        <v>203</v>
      </c>
      <c r="C68" s="157">
        <v>2265969</v>
      </c>
      <c r="D68" s="157">
        <v>2205873</v>
      </c>
      <c r="E68" s="157">
        <f t="shared" si="2"/>
        <v>-60096</v>
      </c>
      <c r="F68" s="161">
        <f t="shared" si="3"/>
        <v>-2.6521104216341882E-2</v>
      </c>
    </row>
    <row r="69" spans="1:6" ht="15" customHeight="1" x14ac:dyDescent="0.2">
      <c r="A69" s="147">
        <v>8</v>
      </c>
      <c r="B69" s="160" t="s">
        <v>204</v>
      </c>
      <c r="C69" s="157">
        <v>296453</v>
      </c>
      <c r="D69" s="157">
        <v>317373</v>
      </c>
      <c r="E69" s="157">
        <f t="shared" si="2"/>
        <v>20920</v>
      </c>
      <c r="F69" s="161">
        <f t="shared" si="3"/>
        <v>7.056767851902325E-2</v>
      </c>
    </row>
    <row r="70" spans="1:6" ht="15" customHeight="1" x14ac:dyDescent="0.2">
      <c r="A70" s="147">
        <v>9</v>
      </c>
      <c r="B70" s="160" t="s">
        <v>205</v>
      </c>
      <c r="C70" s="157">
        <v>29278</v>
      </c>
      <c r="D70" s="157">
        <v>29281</v>
      </c>
      <c r="E70" s="157">
        <f t="shared" si="2"/>
        <v>3</v>
      </c>
      <c r="F70" s="161">
        <f t="shared" si="3"/>
        <v>1.02466015438213E-4</v>
      </c>
    </row>
    <row r="71" spans="1:6" ht="15" customHeight="1" x14ac:dyDescent="0.2">
      <c r="A71" s="147">
        <v>10</v>
      </c>
      <c r="B71" s="160" t="s">
        <v>206</v>
      </c>
      <c r="C71" s="157">
        <v>163477</v>
      </c>
      <c r="D71" s="157">
        <v>154051</v>
      </c>
      <c r="E71" s="157">
        <f t="shared" si="2"/>
        <v>-9426</v>
      </c>
      <c r="F71" s="161">
        <f t="shared" si="3"/>
        <v>-5.7659487267322007E-2</v>
      </c>
    </row>
    <row r="72" spans="1:6" ht="15" customHeight="1" x14ac:dyDescent="0.2">
      <c r="A72" s="147">
        <v>11</v>
      </c>
      <c r="B72" s="160" t="s">
        <v>207</v>
      </c>
      <c r="C72" s="157">
        <v>207646</v>
      </c>
      <c r="D72" s="157">
        <v>148476</v>
      </c>
      <c r="E72" s="157">
        <f t="shared" si="2"/>
        <v>-59170</v>
      </c>
      <c r="F72" s="161">
        <f t="shared" si="3"/>
        <v>-0.28495612725503983</v>
      </c>
    </row>
    <row r="73" spans="1:6" ht="15" customHeight="1" x14ac:dyDescent="0.2">
      <c r="A73" s="147">
        <v>12</v>
      </c>
      <c r="B73" s="160" t="s">
        <v>208</v>
      </c>
      <c r="C73" s="157">
        <v>741960</v>
      </c>
      <c r="D73" s="157">
        <v>713955</v>
      </c>
      <c r="E73" s="157">
        <f t="shared" si="2"/>
        <v>-28005</v>
      </c>
      <c r="F73" s="161">
        <f t="shared" si="3"/>
        <v>-3.7744622351609254E-2</v>
      </c>
    </row>
    <row r="74" spans="1:6" ht="15" customHeight="1" x14ac:dyDescent="0.2">
      <c r="A74" s="147">
        <v>13</v>
      </c>
      <c r="B74" s="160" t="s">
        <v>209</v>
      </c>
      <c r="C74" s="157">
        <v>149780</v>
      </c>
      <c r="D74" s="157">
        <v>153645</v>
      </c>
      <c r="E74" s="157">
        <f t="shared" si="2"/>
        <v>3865</v>
      </c>
      <c r="F74" s="161">
        <f t="shared" si="3"/>
        <v>2.5804513286153026E-2</v>
      </c>
    </row>
    <row r="75" spans="1:6" ht="15" customHeight="1" x14ac:dyDescent="0.2">
      <c r="A75" s="147">
        <v>14</v>
      </c>
      <c r="B75" s="160" t="s">
        <v>210</v>
      </c>
      <c r="C75" s="157">
        <v>132399</v>
      </c>
      <c r="D75" s="157">
        <v>128403</v>
      </c>
      <c r="E75" s="157">
        <f t="shared" si="2"/>
        <v>-3996</v>
      </c>
      <c r="F75" s="161">
        <f t="shared" si="3"/>
        <v>-3.0181496839099993E-2</v>
      </c>
    </row>
    <row r="76" spans="1:6" ht="15" customHeight="1" x14ac:dyDescent="0.2">
      <c r="A76" s="147">
        <v>15</v>
      </c>
      <c r="B76" s="160" t="s">
        <v>211</v>
      </c>
      <c r="C76" s="157">
        <v>224438</v>
      </c>
      <c r="D76" s="157">
        <v>236145</v>
      </c>
      <c r="E76" s="157">
        <f t="shared" si="2"/>
        <v>11707</v>
      </c>
      <c r="F76" s="161">
        <f t="shared" si="3"/>
        <v>5.2161398693625856E-2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1550271</v>
      </c>
      <c r="D78" s="157">
        <v>1546370</v>
      </c>
      <c r="E78" s="157">
        <f t="shared" si="2"/>
        <v>-3901</v>
      </c>
      <c r="F78" s="161">
        <f t="shared" si="3"/>
        <v>-2.5163342409165882E-3</v>
      </c>
    </row>
    <row r="79" spans="1:6" ht="15" customHeight="1" x14ac:dyDescent="0.2">
      <c r="A79" s="147">
        <v>18</v>
      </c>
      <c r="B79" s="160" t="s">
        <v>214</v>
      </c>
      <c r="C79" s="157">
        <v>426459</v>
      </c>
      <c r="D79" s="157">
        <v>425189</v>
      </c>
      <c r="E79" s="157">
        <f t="shared" si="2"/>
        <v>-1270</v>
      </c>
      <c r="F79" s="161">
        <f t="shared" si="3"/>
        <v>-2.9780119542558606E-3</v>
      </c>
    </row>
    <row r="80" spans="1:6" ht="15" customHeight="1" x14ac:dyDescent="0.2">
      <c r="A80" s="147">
        <v>19</v>
      </c>
      <c r="B80" s="160" t="s">
        <v>215</v>
      </c>
      <c r="C80" s="157">
        <v>1767499</v>
      </c>
      <c r="D80" s="157">
        <v>1596472</v>
      </c>
      <c r="E80" s="157">
        <f t="shared" si="2"/>
        <v>-171027</v>
      </c>
      <c r="F80" s="161">
        <f t="shared" si="3"/>
        <v>-9.6762148097396375E-2</v>
      </c>
    </row>
    <row r="81" spans="1:6" ht="15" customHeight="1" x14ac:dyDescent="0.2">
      <c r="A81" s="147">
        <v>20</v>
      </c>
      <c r="B81" s="160" t="s">
        <v>216</v>
      </c>
      <c r="C81" s="157">
        <v>4259531</v>
      </c>
      <c r="D81" s="157">
        <v>5673241</v>
      </c>
      <c r="E81" s="157">
        <f t="shared" si="2"/>
        <v>1413710</v>
      </c>
      <c r="F81" s="161">
        <f t="shared" si="3"/>
        <v>0.33189334694359546</v>
      </c>
    </row>
    <row r="82" spans="1:6" ht="15" customHeight="1" x14ac:dyDescent="0.2">
      <c r="A82" s="147">
        <v>21</v>
      </c>
      <c r="B82" s="160" t="s">
        <v>217</v>
      </c>
      <c r="C82" s="157">
        <v>516923</v>
      </c>
      <c r="D82" s="157">
        <v>704724</v>
      </c>
      <c r="E82" s="157">
        <f t="shared" si="2"/>
        <v>187801</v>
      </c>
      <c r="F82" s="161">
        <f t="shared" si="3"/>
        <v>0.36330556001570835</v>
      </c>
    </row>
    <row r="83" spans="1:6" ht="15" customHeight="1" x14ac:dyDescent="0.2">
      <c r="A83" s="147">
        <v>22</v>
      </c>
      <c r="B83" s="160" t="s">
        <v>218</v>
      </c>
      <c r="C83" s="157">
        <v>411650</v>
      </c>
      <c r="D83" s="157">
        <v>261483</v>
      </c>
      <c r="E83" s="157">
        <f t="shared" si="2"/>
        <v>-150167</v>
      </c>
      <c r="F83" s="161">
        <f t="shared" si="3"/>
        <v>-0.36479290659540869</v>
      </c>
    </row>
    <row r="84" spans="1:6" ht="15" customHeight="1" x14ac:dyDescent="0.2">
      <c r="A84" s="147">
        <v>23</v>
      </c>
      <c r="B84" s="160" t="s">
        <v>219</v>
      </c>
      <c r="C84" s="157">
        <v>552179</v>
      </c>
      <c r="D84" s="157">
        <v>546908</v>
      </c>
      <c r="E84" s="157">
        <f t="shared" si="2"/>
        <v>-5271</v>
      </c>
      <c r="F84" s="161">
        <f t="shared" si="3"/>
        <v>-9.5458175700271104E-3</v>
      </c>
    </row>
    <row r="85" spans="1:6" ht="15" customHeight="1" x14ac:dyDescent="0.2">
      <c r="A85" s="147">
        <v>24</v>
      </c>
      <c r="B85" s="160" t="s">
        <v>220</v>
      </c>
      <c r="C85" s="157">
        <v>1268547</v>
      </c>
      <c r="D85" s="157">
        <v>578124</v>
      </c>
      <c r="E85" s="157">
        <f t="shared" si="2"/>
        <v>-690423</v>
      </c>
      <c r="F85" s="161">
        <f t="shared" si="3"/>
        <v>-0.54426284560209437</v>
      </c>
    </row>
    <row r="86" spans="1:6" ht="15" customHeight="1" x14ac:dyDescent="0.2">
      <c r="A86" s="147">
        <v>25</v>
      </c>
      <c r="B86" s="160" t="s">
        <v>221</v>
      </c>
      <c r="C86" s="157">
        <v>163826</v>
      </c>
      <c r="D86" s="157">
        <v>167671</v>
      </c>
      <c r="E86" s="157">
        <f t="shared" si="2"/>
        <v>3845</v>
      </c>
      <c r="F86" s="161">
        <f t="shared" si="3"/>
        <v>2.3470023073260654E-2</v>
      </c>
    </row>
    <row r="87" spans="1:6" ht="15" customHeight="1" x14ac:dyDescent="0.2">
      <c r="A87" s="147">
        <v>26</v>
      </c>
      <c r="B87" s="160" t="s">
        <v>222</v>
      </c>
      <c r="C87" s="157">
        <v>1086702</v>
      </c>
      <c r="D87" s="157">
        <v>958488</v>
      </c>
      <c r="E87" s="157">
        <f t="shared" si="2"/>
        <v>-128214</v>
      </c>
      <c r="F87" s="161">
        <f t="shared" si="3"/>
        <v>-0.11798450725221818</v>
      </c>
    </row>
    <row r="88" spans="1:6" ht="15" customHeight="1" x14ac:dyDescent="0.2">
      <c r="A88" s="147">
        <v>27</v>
      </c>
      <c r="B88" s="160" t="s">
        <v>223</v>
      </c>
      <c r="C88" s="157">
        <v>3949666</v>
      </c>
      <c r="D88" s="157">
        <v>3831829</v>
      </c>
      <c r="E88" s="157">
        <f t="shared" si="2"/>
        <v>-117837</v>
      </c>
      <c r="F88" s="161">
        <f t="shared" si="3"/>
        <v>-2.983467462818375E-2</v>
      </c>
    </row>
    <row r="89" spans="1:6" ht="15" customHeight="1" x14ac:dyDescent="0.2">
      <c r="A89" s="147">
        <v>28</v>
      </c>
      <c r="B89" s="160" t="s">
        <v>224</v>
      </c>
      <c r="C89" s="157">
        <v>850822</v>
      </c>
      <c r="D89" s="157">
        <v>703915</v>
      </c>
      <c r="E89" s="157">
        <f t="shared" si="2"/>
        <v>-146907</v>
      </c>
      <c r="F89" s="161">
        <f t="shared" si="3"/>
        <v>-0.17266478769942478</v>
      </c>
    </row>
    <row r="90" spans="1:6" ht="15.75" customHeight="1" x14ac:dyDescent="0.25">
      <c r="A90" s="147"/>
      <c r="B90" s="162" t="s">
        <v>225</v>
      </c>
      <c r="C90" s="158">
        <f>SUM(C62:C89)</f>
        <v>24497018</v>
      </c>
      <c r="D90" s="158">
        <f>SUM(D62:D89)</f>
        <v>23935182</v>
      </c>
      <c r="E90" s="158">
        <f t="shared" si="2"/>
        <v>-561836</v>
      </c>
      <c r="F90" s="159">
        <f t="shared" si="3"/>
        <v>-2.2934873134354557E-2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854</v>
      </c>
      <c r="D93" s="157">
        <v>32160</v>
      </c>
      <c r="E93" s="157">
        <f>+D93-C93</f>
        <v>31306</v>
      </c>
      <c r="F93" s="161">
        <f>IF(C93=0,0,E93/C93)</f>
        <v>36.658079625292743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121998831</v>
      </c>
      <c r="D95" s="158">
        <f>+D93+D90+D59+D50+D47+D44+D41+D35+D30+D24+D18</f>
        <v>121979251</v>
      </c>
      <c r="E95" s="158">
        <f>+D95-C95</f>
        <v>-19580</v>
      </c>
      <c r="F95" s="159">
        <f>IF(C95=0,0,E95/C95)</f>
        <v>-1.6049334112062106E-4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26573883</v>
      </c>
      <c r="D103" s="157">
        <v>27273546</v>
      </c>
      <c r="E103" s="157">
        <f t="shared" ref="E103:E121" si="4">D103-C103</f>
        <v>699663</v>
      </c>
      <c r="F103" s="161">
        <f t="shared" ref="F103:F121" si="5">IF(C103=0,0,E103/C103)</f>
        <v>2.632897119325768E-2</v>
      </c>
    </row>
    <row r="104" spans="1:6" ht="15" customHeight="1" x14ac:dyDescent="0.2">
      <c r="A104" s="147">
        <v>2</v>
      </c>
      <c r="B104" s="169" t="s">
        <v>234</v>
      </c>
      <c r="C104" s="157">
        <v>898613</v>
      </c>
      <c r="D104" s="157">
        <v>910683</v>
      </c>
      <c r="E104" s="157">
        <f t="shared" si="4"/>
        <v>12070</v>
      </c>
      <c r="F104" s="161">
        <f t="shared" si="5"/>
        <v>1.343181102432304E-2</v>
      </c>
    </row>
    <row r="105" spans="1:6" ht="15" customHeight="1" x14ac:dyDescent="0.2">
      <c r="A105" s="147">
        <v>3</v>
      </c>
      <c r="B105" s="169" t="s">
        <v>235</v>
      </c>
      <c r="C105" s="157">
        <v>1207033</v>
      </c>
      <c r="D105" s="157">
        <v>1324867</v>
      </c>
      <c r="E105" s="157">
        <f t="shared" si="4"/>
        <v>117834</v>
      </c>
      <c r="F105" s="161">
        <f t="shared" si="5"/>
        <v>9.7622848753928015E-2</v>
      </c>
    </row>
    <row r="106" spans="1:6" ht="15" customHeight="1" x14ac:dyDescent="0.2">
      <c r="A106" s="147">
        <v>4</v>
      </c>
      <c r="B106" s="169" t="s">
        <v>236</v>
      </c>
      <c r="C106" s="157">
        <v>1067535</v>
      </c>
      <c r="D106" s="157">
        <v>1093418</v>
      </c>
      <c r="E106" s="157">
        <f t="shared" si="4"/>
        <v>25883</v>
      </c>
      <c r="F106" s="161">
        <f t="shared" si="5"/>
        <v>2.4245575086531121E-2</v>
      </c>
    </row>
    <row r="107" spans="1:6" ht="15" customHeight="1" x14ac:dyDescent="0.2">
      <c r="A107" s="147">
        <v>5</v>
      </c>
      <c r="B107" s="169" t="s">
        <v>237</v>
      </c>
      <c r="C107" s="157">
        <v>3854412</v>
      </c>
      <c r="D107" s="157">
        <v>3785263</v>
      </c>
      <c r="E107" s="157">
        <f t="shared" si="4"/>
        <v>-69149</v>
      </c>
      <c r="F107" s="161">
        <f t="shared" si="5"/>
        <v>-1.7940220194416164E-2</v>
      </c>
    </row>
    <row r="108" spans="1:6" ht="15" customHeight="1" x14ac:dyDescent="0.2">
      <c r="A108" s="147">
        <v>6</v>
      </c>
      <c r="B108" s="169" t="s">
        <v>238</v>
      </c>
      <c r="C108" s="157">
        <v>315092</v>
      </c>
      <c r="D108" s="157">
        <v>338303</v>
      </c>
      <c r="E108" s="157">
        <f t="shared" si="4"/>
        <v>23211</v>
      </c>
      <c r="F108" s="161">
        <f t="shared" si="5"/>
        <v>7.3664199662320851E-2</v>
      </c>
    </row>
    <row r="109" spans="1:6" ht="15" customHeight="1" x14ac:dyDescent="0.2">
      <c r="A109" s="147">
        <v>7</v>
      </c>
      <c r="B109" s="169" t="s">
        <v>239</v>
      </c>
      <c r="C109" s="157">
        <v>941799</v>
      </c>
      <c r="D109" s="157">
        <v>869686</v>
      </c>
      <c r="E109" s="157">
        <f t="shared" si="4"/>
        <v>-72113</v>
      </c>
      <c r="F109" s="161">
        <f t="shared" si="5"/>
        <v>-7.656941661649673E-2</v>
      </c>
    </row>
    <row r="110" spans="1:6" ht="15" customHeight="1" x14ac:dyDescent="0.2">
      <c r="A110" s="147">
        <v>8</v>
      </c>
      <c r="B110" s="169" t="s">
        <v>240</v>
      </c>
      <c r="C110" s="157">
        <v>483765</v>
      </c>
      <c r="D110" s="157">
        <v>507585</v>
      </c>
      <c r="E110" s="157">
        <f t="shared" si="4"/>
        <v>23820</v>
      </c>
      <c r="F110" s="161">
        <f t="shared" si="5"/>
        <v>4.9238783293541283E-2</v>
      </c>
    </row>
    <row r="111" spans="1:6" ht="15" customHeight="1" x14ac:dyDescent="0.2">
      <c r="A111" s="147">
        <v>9</v>
      </c>
      <c r="B111" s="169" t="s">
        <v>241</v>
      </c>
      <c r="C111" s="157">
        <v>780961</v>
      </c>
      <c r="D111" s="157">
        <v>815481</v>
      </c>
      <c r="E111" s="157">
        <f t="shared" si="4"/>
        <v>34520</v>
      </c>
      <c r="F111" s="161">
        <f t="shared" si="5"/>
        <v>4.4201951185782642E-2</v>
      </c>
    </row>
    <row r="112" spans="1:6" ht="15" customHeight="1" x14ac:dyDescent="0.2">
      <c r="A112" s="147">
        <v>10</v>
      </c>
      <c r="B112" s="169" t="s">
        <v>242</v>
      </c>
      <c r="C112" s="157">
        <v>1603117</v>
      </c>
      <c r="D112" s="157">
        <v>1394839</v>
      </c>
      <c r="E112" s="157">
        <f t="shared" si="4"/>
        <v>-208278</v>
      </c>
      <c r="F112" s="161">
        <f t="shared" si="5"/>
        <v>-0.12992064833695857</v>
      </c>
    </row>
    <row r="113" spans="1:6" ht="15" customHeight="1" x14ac:dyDescent="0.2">
      <c r="A113" s="147">
        <v>11</v>
      </c>
      <c r="B113" s="169" t="s">
        <v>243</v>
      </c>
      <c r="C113" s="157">
        <v>1490492</v>
      </c>
      <c r="D113" s="157">
        <v>1515367</v>
      </c>
      <c r="E113" s="157">
        <f t="shared" si="4"/>
        <v>24875</v>
      </c>
      <c r="F113" s="161">
        <f t="shared" si="5"/>
        <v>1.6689120102623831E-2</v>
      </c>
    </row>
    <row r="114" spans="1:6" ht="15" customHeight="1" x14ac:dyDescent="0.2">
      <c r="A114" s="147">
        <v>12</v>
      </c>
      <c r="B114" s="169" t="s">
        <v>244</v>
      </c>
      <c r="C114" s="157">
        <v>553111</v>
      </c>
      <c r="D114" s="157">
        <v>530774</v>
      </c>
      <c r="E114" s="157">
        <f t="shared" si="4"/>
        <v>-22337</v>
      </c>
      <c r="F114" s="161">
        <f t="shared" si="5"/>
        <v>-4.0384298992426473E-2</v>
      </c>
    </row>
    <row r="115" spans="1:6" ht="15" customHeight="1" x14ac:dyDescent="0.2">
      <c r="A115" s="147">
        <v>13</v>
      </c>
      <c r="B115" s="169" t="s">
        <v>245</v>
      </c>
      <c r="C115" s="157">
        <v>1981853</v>
      </c>
      <c r="D115" s="157">
        <v>29418</v>
      </c>
      <c r="E115" s="157">
        <f t="shared" si="4"/>
        <v>-1952435</v>
      </c>
      <c r="F115" s="161">
        <f t="shared" si="5"/>
        <v>-0.98515631583169894</v>
      </c>
    </row>
    <row r="116" spans="1:6" ht="15" customHeight="1" x14ac:dyDescent="0.2">
      <c r="A116" s="147">
        <v>14</v>
      </c>
      <c r="B116" s="169" t="s">
        <v>246</v>
      </c>
      <c r="C116" s="157">
        <v>373194</v>
      </c>
      <c r="D116" s="157">
        <v>444603</v>
      </c>
      <c r="E116" s="157">
        <f t="shared" si="4"/>
        <v>71409</v>
      </c>
      <c r="F116" s="161">
        <f t="shared" si="5"/>
        <v>0.19134552002443769</v>
      </c>
    </row>
    <row r="117" spans="1:6" ht="15" customHeight="1" x14ac:dyDescent="0.2">
      <c r="A117" s="147">
        <v>15</v>
      </c>
      <c r="B117" s="169" t="s">
        <v>203</v>
      </c>
      <c r="C117" s="157">
        <v>951061</v>
      </c>
      <c r="D117" s="157">
        <v>3001761</v>
      </c>
      <c r="E117" s="157">
        <f t="shared" si="4"/>
        <v>2050700</v>
      </c>
      <c r="F117" s="161">
        <f t="shared" si="5"/>
        <v>2.1562234178459638</v>
      </c>
    </row>
    <row r="118" spans="1:6" ht="15" customHeight="1" x14ac:dyDescent="0.2">
      <c r="A118" s="147">
        <v>16</v>
      </c>
      <c r="B118" s="169" t="s">
        <v>247</v>
      </c>
      <c r="C118" s="157">
        <v>456310</v>
      </c>
      <c r="D118" s="157">
        <v>419026</v>
      </c>
      <c r="E118" s="157">
        <f t="shared" si="4"/>
        <v>-37284</v>
      </c>
      <c r="F118" s="161">
        <f t="shared" si="5"/>
        <v>-8.170761105388881E-2</v>
      </c>
    </row>
    <row r="119" spans="1:6" ht="15" customHeight="1" x14ac:dyDescent="0.2">
      <c r="A119" s="147">
        <v>17</v>
      </c>
      <c r="B119" s="169" t="s">
        <v>248</v>
      </c>
      <c r="C119" s="157">
        <v>5330371</v>
      </c>
      <c r="D119" s="157">
        <v>5487853</v>
      </c>
      <c r="E119" s="157">
        <f t="shared" si="4"/>
        <v>157482</v>
      </c>
      <c r="F119" s="161">
        <f t="shared" si="5"/>
        <v>2.9544285003801799E-2</v>
      </c>
    </row>
    <row r="120" spans="1:6" ht="15" customHeight="1" x14ac:dyDescent="0.2">
      <c r="A120" s="147">
        <v>18</v>
      </c>
      <c r="B120" s="169" t="s">
        <v>249</v>
      </c>
      <c r="C120" s="157">
        <v>0</v>
      </c>
      <c r="D120" s="157">
        <v>0</v>
      </c>
      <c r="E120" s="157">
        <f t="shared" si="4"/>
        <v>0</v>
      </c>
      <c r="F120" s="161">
        <f t="shared" si="5"/>
        <v>0</v>
      </c>
    </row>
    <row r="121" spans="1:6" ht="15.75" customHeight="1" x14ac:dyDescent="0.25">
      <c r="A121" s="147"/>
      <c r="B121" s="165" t="s">
        <v>250</v>
      </c>
      <c r="C121" s="158">
        <f>SUM(C103:C120)</f>
        <v>48862602</v>
      </c>
      <c r="D121" s="158">
        <f>SUM(D103:D120)</f>
        <v>49742473</v>
      </c>
      <c r="E121" s="158">
        <f t="shared" si="4"/>
        <v>879871</v>
      </c>
      <c r="F121" s="159">
        <f t="shared" si="5"/>
        <v>1.8007043505378611E-2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789939</v>
      </c>
      <c r="D124" s="157">
        <v>677418</v>
      </c>
      <c r="E124" s="157">
        <f t="shared" ref="E124:E130" si="6">D124-C124</f>
        <v>-112521</v>
      </c>
      <c r="F124" s="161">
        <f t="shared" ref="F124:F130" si="7">IF(C124=0,0,E124/C124)</f>
        <v>-0.14244264430544637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1504562</v>
      </c>
      <c r="D126" s="157">
        <v>1653283</v>
      </c>
      <c r="E126" s="157">
        <f t="shared" si="6"/>
        <v>148721</v>
      </c>
      <c r="F126" s="161">
        <f t="shared" si="7"/>
        <v>9.8846707546781057E-2</v>
      </c>
    </row>
    <row r="127" spans="1:6" ht="15" customHeight="1" x14ac:dyDescent="0.2">
      <c r="A127" s="147">
        <v>4</v>
      </c>
      <c r="B127" s="169" t="s">
        <v>255</v>
      </c>
      <c r="C127" s="157">
        <v>1849687</v>
      </c>
      <c r="D127" s="157">
        <v>1661119</v>
      </c>
      <c r="E127" s="157">
        <f t="shared" si="6"/>
        <v>-188568</v>
      </c>
      <c r="F127" s="161">
        <f t="shared" si="7"/>
        <v>-0.10194589679226809</v>
      </c>
    </row>
    <row r="128" spans="1:6" ht="15" customHeight="1" x14ac:dyDescent="0.2">
      <c r="A128" s="147">
        <v>5</v>
      </c>
      <c r="B128" s="169" t="s">
        <v>256</v>
      </c>
      <c r="C128" s="157">
        <v>1471257</v>
      </c>
      <c r="D128" s="157">
        <v>1672007</v>
      </c>
      <c r="E128" s="157">
        <f t="shared" si="6"/>
        <v>200750</v>
      </c>
      <c r="F128" s="161">
        <f t="shared" si="7"/>
        <v>0.13644794893074425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5615445</v>
      </c>
      <c r="D130" s="158">
        <f>SUM(D124:D129)</f>
        <v>5663827</v>
      </c>
      <c r="E130" s="158">
        <f t="shared" si="6"/>
        <v>48382</v>
      </c>
      <c r="F130" s="159">
        <f t="shared" si="7"/>
        <v>8.6158799525237976E-3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6297890</v>
      </c>
      <c r="D133" s="157">
        <v>6132237</v>
      </c>
      <c r="E133" s="157">
        <f t="shared" ref="E133:E167" si="8">D133-C133</f>
        <v>-165653</v>
      </c>
      <c r="F133" s="161">
        <f t="shared" ref="F133:F167" si="9">IF(C133=0,0,E133/C133)</f>
        <v>-2.6302936380279744E-2</v>
      </c>
    </row>
    <row r="134" spans="1:6" ht="15" customHeight="1" x14ac:dyDescent="0.2">
      <c r="A134" s="147">
        <v>2</v>
      </c>
      <c r="B134" s="169" t="s">
        <v>261</v>
      </c>
      <c r="C134" s="157">
        <v>528626</v>
      </c>
      <c r="D134" s="157">
        <v>507983</v>
      </c>
      <c r="E134" s="157">
        <f t="shared" si="8"/>
        <v>-20643</v>
      </c>
      <c r="F134" s="161">
        <f t="shared" si="9"/>
        <v>-3.9050292645462011E-2</v>
      </c>
    </row>
    <row r="135" spans="1:6" ht="15" customHeight="1" x14ac:dyDescent="0.2">
      <c r="A135" s="147">
        <v>3</v>
      </c>
      <c r="B135" s="169" t="s">
        <v>262</v>
      </c>
      <c r="C135" s="157">
        <v>212071</v>
      </c>
      <c r="D135" s="157">
        <v>228700</v>
      </c>
      <c r="E135" s="157">
        <f t="shared" si="8"/>
        <v>16629</v>
      </c>
      <c r="F135" s="161">
        <f t="shared" si="9"/>
        <v>7.8412418482489352E-2</v>
      </c>
    </row>
    <row r="136" spans="1:6" ht="15" customHeight="1" x14ac:dyDescent="0.2">
      <c r="A136" s="147">
        <v>4</v>
      </c>
      <c r="B136" s="169" t="s">
        <v>263</v>
      </c>
      <c r="C136" s="157">
        <v>562944</v>
      </c>
      <c r="D136" s="157">
        <v>579274</v>
      </c>
      <c r="E136" s="157">
        <f t="shared" si="8"/>
        <v>16330</v>
      </c>
      <c r="F136" s="161">
        <f t="shared" si="9"/>
        <v>2.9008213960891316E-2</v>
      </c>
    </row>
    <row r="137" spans="1:6" ht="15" customHeight="1" x14ac:dyDescent="0.2">
      <c r="A137" s="147">
        <v>5</v>
      </c>
      <c r="B137" s="169" t="s">
        <v>264</v>
      </c>
      <c r="C137" s="157">
        <v>2882688</v>
      </c>
      <c r="D137" s="157">
        <v>2677605</v>
      </c>
      <c r="E137" s="157">
        <f t="shared" si="8"/>
        <v>-205083</v>
      </c>
      <c r="F137" s="161">
        <f t="shared" si="9"/>
        <v>-7.1142974890102573E-2</v>
      </c>
    </row>
    <row r="138" spans="1:6" ht="15" customHeight="1" x14ac:dyDescent="0.2">
      <c r="A138" s="147">
        <v>6</v>
      </c>
      <c r="B138" s="169" t="s">
        <v>265</v>
      </c>
      <c r="C138" s="157">
        <v>408632</v>
      </c>
      <c r="D138" s="157">
        <v>433273</v>
      </c>
      <c r="E138" s="157">
        <f t="shared" si="8"/>
        <v>24641</v>
      </c>
      <c r="F138" s="161">
        <f t="shared" si="9"/>
        <v>6.0301200101803086E-2</v>
      </c>
    </row>
    <row r="139" spans="1:6" ht="15" customHeight="1" x14ac:dyDescent="0.2">
      <c r="A139" s="147">
        <v>7</v>
      </c>
      <c r="B139" s="169" t="s">
        <v>266</v>
      </c>
      <c r="C139" s="157">
        <v>1637682</v>
      </c>
      <c r="D139" s="157">
        <v>1361327</v>
      </c>
      <c r="E139" s="157">
        <f t="shared" si="8"/>
        <v>-276355</v>
      </c>
      <c r="F139" s="161">
        <f t="shared" si="9"/>
        <v>-0.16874765674899034</v>
      </c>
    </row>
    <row r="140" spans="1:6" ht="15" customHeight="1" x14ac:dyDescent="0.2">
      <c r="A140" s="147">
        <v>8</v>
      </c>
      <c r="B140" s="169" t="s">
        <v>267</v>
      </c>
      <c r="C140" s="157">
        <v>345691</v>
      </c>
      <c r="D140" s="157">
        <v>344318</v>
      </c>
      <c r="E140" s="157">
        <f t="shared" si="8"/>
        <v>-1373</v>
      </c>
      <c r="F140" s="161">
        <f t="shared" si="9"/>
        <v>-3.9717551223491503E-3</v>
      </c>
    </row>
    <row r="141" spans="1:6" ht="15" customHeight="1" x14ac:dyDescent="0.2">
      <c r="A141" s="147">
        <v>9</v>
      </c>
      <c r="B141" s="169" t="s">
        <v>268</v>
      </c>
      <c r="C141" s="157">
        <v>645400</v>
      </c>
      <c r="D141" s="157">
        <v>447222</v>
      </c>
      <c r="E141" s="157">
        <f t="shared" si="8"/>
        <v>-198178</v>
      </c>
      <c r="F141" s="161">
        <f t="shared" si="9"/>
        <v>-0.30706228695382709</v>
      </c>
    </row>
    <row r="142" spans="1:6" ht="15" customHeight="1" x14ac:dyDescent="0.2">
      <c r="A142" s="147">
        <v>10</v>
      </c>
      <c r="B142" s="169" t="s">
        <v>269</v>
      </c>
      <c r="C142" s="157">
        <v>5564933</v>
      </c>
      <c r="D142" s="157">
        <v>5269384</v>
      </c>
      <c r="E142" s="157">
        <f t="shared" si="8"/>
        <v>-295549</v>
      </c>
      <c r="F142" s="161">
        <f t="shared" si="9"/>
        <v>-5.310917489932044E-2</v>
      </c>
    </row>
    <row r="143" spans="1:6" ht="15" customHeight="1" x14ac:dyDescent="0.2">
      <c r="A143" s="147">
        <v>11</v>
      </c>
      <c r="B143" s="169" t="s">
        <v>270</v>
      </c>
      <c r="C143" s="157">
        <v>921046</v>
      </c>
      <c r="D143" s="157">
        <v>634907</v>
      </c>
      <c r="E143" s="157">
        <f t="shared" si="8"/>
        <v>-286139</v>
      </c>
      <c r="F143" s="161">
        <f t="shared" si="9"/>
        <v>-0.31066743680554498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222700</v>
      </c>
      <c r="D145" s="157">
        <v>235484</v>
      </c>
      <c r="E145" s="157">
        <f t="shared" si="8"/>
        <v>12784</v>
      </c>
      <c r="F145" s="161">
        <f t="shared" si="9"/>
        <v>5.7404580152671754E-2</v>
      </c>
    </row>
    <row r="146" spans="1:6" ht="15" customHeight="1" x14ac:dyDescent="0.2">
      <c r="A146" s="147">
        <v>14</v>
      </c>
      <c r="B146" s="169" t="s">
        <v>273</v>
      </c>
      <c r="C146" s="157">
        <v>13026</v>
      </c>
      <c r="D146" s="157">
        <v>8856</v>
      </c>
      <c r="E146" s="157">
        <f t="shared" si="8"/>
        <v>-4170</v>
      </c>
      <c r="F146" s="161">
        <f t="shared" si="9"/>
        <v>-0.3201289728235836</v>
      </c>
    </row>
    <row r="147" spans="1:6" ht="15" customHeight="1" x14ac:dyDescent="0.2">
      <c r="A147" s="147">
        <v>15</v>
      </c>
      <c r="B147" s="169" t="s">
        <v>274</v>
      </c>
      <c r="C147" s="157">
        <v>27564</v>
      </c>
      <c r="D147" s="157">
        <v>28626</v>
      </c>
      <c r="E147" s="157">
        <f t="shared" si="8"/>
        <v>1062</v>
      </c>
      <c r="F147" s="161">
        <f t="shared" si="9"/>
        <v>3.852851545494123E-2</v>
      </c>
    </row>
    <row r="148" spans="1:6" ht="15" customHeight="1" x14ac:dyDescent="0.2">
      <c r="A148" s="147">
        <v>16</v>
      </c>
      <c r="B148" s="169" t="s">
        <v>275</v>
      </c>
      <c r="C148" s="157">
        <v>79050</v>
      </c>
      <c r="D148" s="157">
        <v>83428</v>
      </c>
      <c r="E148" s="157">
        <f t="shared" si="8"/>
        <v>4378</v>
      </c>
      <c r="F148" s="161">
        <f t="shared" si="9"/>
        <v>5.5382669196710942E-2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923882</v>
      </c>
      <c r="D150" s="157">
        <v>905793</v>
      </c>
      <c r="E150" s="157">
        <f t="shared" si="8"/>
        <v>-18089</v>
      </c>
      <c r="F150" s="161">
        <f t="shared" si="9"/>
        <v>-1.9579340218772529E-2</v>
      </c>
    </row>
    <row r="151" spans="1:6" ht="15" customHeight="1" x14ac:dyDescent="0.2">
      <c r="A151" s="147">
        <v>19</v>
      </c>
      <c r="B151" s="169" t="s">
        <v>278</v>
      </c>
      <c r="C151" s="157">
        <v>250745</v>
      </c>
      <c r="D151" s="157">
        <v>263304</v>
      </c>
      <c r="E151" s="157">
        <f t="shared" si="8"/>
        <v>12559</v>
      </c>
      <c r="F151" s="161">
        <f t="shared" si="9"/>
        <v>5.0086741510299307E-2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4994599</v>
      </c>
      <c r="D154" s="157">
        <v>4901327</v>
      </c>
      <c r="E154" s="157">
        <f t="shared" si="8"/>
        <v>-93272</v>
      </c>
      <c r="F154" s="161">
        <f t="shared" si="9"/>
        <v>-1.8674572272969262E-2</v>
      </c>
    </row>
    <row r="155" spans="1:6" ht="15" customHeight="1" x14ac:dyDescent="0.2">
      <c r="A155" s="147">
        <v>23</v>
      </c>
      <c r="B155" s="169" t="s">
        <v>282</v>
      </c>
      <c r="C155" s="157">
        <v>154448</v>
      </c>
      <c r="D155" s="157">
        <v>114768</v>
      </c>
      <c r="E155" s="157">
        <f t="shared" si="8"/>
        <v>-39680</v>
      </c>
      <c r="F155" s="161">
        <f t="shared" si="9"/>
        <v>-0.256914948720605</v>
      </c>
    </row>
    <row r="156" spans="1:6" ht="15" customHeight="1" x14ac:dyDescent="0.2">
      <c r="A156" s="147">
        <v>24</v>
      </c>
      <c r="B156" s="169" t="s">
        <v>283</v>
      </c>
      <c r="C156" s="157">
        <v>6602777</v>
      </c>
      <c r="D156" s="157">
        <v>7464479</v>
      </c>
      <c r="E156" s="157">
        <f t="shared" si="8"/>
        <v>861702</v>
      </c>
      <c r="F156" s="161">
        <f t="shared" si="9"/>
        <v>0.13050599770369345</v>
      </c>
    </row>
    <row r="157" spans="1:6" ht="15" customHeight="1" x14ac:dyDescent="0.2">
      <c r="A157" s="147">
        <v>25</v>
      </c>
      <c r="B157" s="169" t="s">
        <v>284</v>
      </c>
      <c r="C157" s="157">
        <v>354502</v>
      </c>
      <c r="D157" s="157">
        <v>313011</v>
      </c>
      <c r="E157" s="157">
        <f t="shared" si="8"/>
        <v>-41491</v>
      </c>
      <c r="F157" s="161">
        <f t="shared" si="9"/>
        <v>-0.11704024236816718</v>
      </c>
    </row>
    <row r="158" spans="1:6" ht="15" customHeight="1" x14ac:dyDescent="0.2">
      <c r="A158" s="147">
        <v>26</v>
      </c>
      <c r="B158" s="169" t="s">
        <v>285</v>
      </c>
      <c r="C158" s="157">
        <v>159771</v>
      </c>
      <c r="D158" s="157">
        <v>142195</v>
      </c>
      <c r="E158" s="157">
        <f t="shared" si="8"/>
        <v>-17576</v>
      </c>
      <c r="F158" s="161">
        <f t="shared" si="9"/>
        <v>-0.11000744816017925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338979</v>
      </c>
      <c r="D160" s="157">
        <v>351108</v>
      </c>
      <c r="E160" s="157">
        <f t="shared" si="8"/>
        <v>12129</v>
      </c>
      <c r="F160" s="161">
        <f t="shared" si="9"/>
        <v>3.5780977582682116E-2</v>
      </c>
    </row>
    <row r="161" spans="1:6" ht="15" customHeight="1" x14ac:dyDescent="0.2">
      <c r="A161" s="147">
        <v>29</v>
      </c>
      <c r="B161" s="169" t="s">
        <v>288</v>
      </c>
      <c r="C161" s="157">
        <v>485559</v>
      </c>
      <c r="D161" s="157">
        <v>455626</v>
      </c>
      <c r="E161" s="157">
        <f t="shared" si="8"/>
        <v>-29933</v>
      </c>
      <c r="F161" s="161">
        <f t="shared" si="9"/>
        <v>-6.1646473446069376E-2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334595</v>
      </c>
      <c r="D163" s="157">
        <v>344480</v>
      </c>
      <c r="E163" s="157">
        <f t="shared" si="8"/>
        <v>9885</v>
      </c>
      <c r="F163" s="161">
        <f t="shared" si="9"/>
        <v>2.9543179067230533E-2</v>
      </c>
    </row>
    <row r="164" spans="1:6" ht="15" customHeight="1" x14ac:dyDescent="0.2">
      <c r="A164" s="147">
        <v>32</v>
      </c>
      <c r="B164" s="169" t="s">
        <v>291</v>
      </c>
      <c r="C164" s="157">
        <v>1193648</v>
      </c>
      <c r="D164" s="157">
        <v>1207153</v>
      </c>
      <c r="E164" s="157">
        <f t="shared" si="8"/>
        <v>13505</v>
      </c>
      <c r="F164" s="161">
        <f t="shared" si="9"/>
        <v>1.1314055735024061E-2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118895</v>
      </c>
      <c r="D166" s="157">
        <v>124668</v>
      </c>
      <c r="E166" s="157">
        <f t="shared" si="8"/>
        <v>5773</v>
      </c>
      <c r="F166" s="161">
        <f t="shared" si="9"/>
        <v>4.8555448084444258E-2</v>
      </c>
    </row>
    <row r="167" spans="1:6" ht="15.75" customHeight="1" x14ac:dyDescent="0.25">
      <c r="A167" s="147"/>
      <c r="B167" s="165" t="s">
        <v>294</v>
      </c>
      <c r="C167" s="158">
        <f>SUM(C133:C166)</f>
        <v>36262343</v>
      </c>
      <c r="D167" s="158">
        <f>SUM(D133:D166)</f>
        <v>35560536</v>
      </c>
      <c r="E167" s="158">
        <f t="shared" si="8"/>
        <v>-701807</v>
      </c>
      <c r="F167" s="159">
        <f t="shared" si="9"/>
        <v>-1.9353603268271992E-2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7440820</v>
      </c>
      <c r="D170" s="157">
        <v>7154972</v>
      </c>
      <c r="E170" s="157">
        <f t="shared" ref="E170:E183" si="10">D170-C170</f>
        <v>-285848</v>
      </c>
      <c r="F170" s="161">
        <f t="shared" ref="F170:F183" si="11">IF(C170=0,0,E170/C170)</f>
        <v>-3.8416196064412253E-2</v>
      </c>
    </row>
    <row r="171" spans="1:6" ht="15" customHeight="1" x14ac:dyDescent="0.2">
      <c r="A171" s="147">
        <v>2</v>
      </c>
      <c r="B171" s="169" t="s">
        <v>297</v>
      </c>
      <c r="C171" s="157">
        <v>2681953</v>
      </c>
      <c r="D171" s="157">
        <v>2699063</v>
      </c>
      <c r="E171" s="157">
        <f t="shared" si="10"/>
        <v>17110</v>
      </c>
      <c r="F171" s="161">
        <f t="shared" si="11"/>
        <v>6.379679285953184E-3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2647412</v>
      </c>
      <c r="D173" s="157">
        <v>2270670</v>
      </c>
      <c r="E173" s="157">
        <f t="shared" si="10"/>
        <v>-376742</v>
      </c>
      <c r="F173" s="161">
        <f t="shared" si="11"/>
        <v>-0.14230576880364673</v>
      </c>
    </row>
    <row r="174" spans="1:6" ht="15" customHeight="1" x14ac:dyDescent="0.2">
      <c r="A174" s="147">
        <v>5</v>
      </c>
      <c r="B174" s="169" t="s">
        <v>300</v>
      </c>
      <c r="C174" s="157">
        <v>780535</v>
      </c>
      <c r="D174" s="157">
        <v>468342</v>
      </c>
      <c r="E174" s="157">
        <f t="shared" si="10"/>
        <v>-312193</v>
      </c>
      <c r="F174" s="161">
        <f t="shared" si="11"/>
        <v>-0.39997309537688891</v>
      </c>
    </row>
    <row r="175" spans="1:6" ht="15" customHeight="1" x14ac:dyDescent="0.2">
      <c r="A175" s="147">
        <v>6</v>
      </c>
      <c r="B175" s="169" t="s">
        <v>301</v>
      </c>
      <c r="C175" s="157">
        <v>775089</v>
      </c>
      <c r="D175" s="157">
        <v>670714</v>
      </c>
      <c r="E175" s="157">
        <f t="shared" si="10"/>
        <v>-104375</v>
      </c>
      <c r="F175" s="161">
        <f t="shared" si="11"/>
        <v>-0.13466195494968966</v>
      </c>
    </row>
    <row r="176" spans="1:6" ht="15" customHeight="1" x14ac:dyDescent="0.2">
      <c r="A176" s="147">
        <v>7</v>
      </c>
      <c r="B176" s="169" t="s">
        <v>302</v>
      </c>
      <c r="C176" s="157">
        <v>415278</v>
      </c>
      <c r="D176" s="157">
        <v>466343</v>
      </c>
      <c r="E176" s="157">
        <f t="shared" si="10"/>
        <v>51065</v>
      </c>
      <c r="F176" s="161">
        <f t="shared" si="11"/>
        <v>0.12296582048651747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707320</v>
      </c>
      <c r="D179" s="157">
        <v>689577</v>
      </c>
      <c r="E179" s="157">
        <f t="shared" si="10"/>
        <v>-17743</v>
      </c>
      <c r="F179" s="161">
        <f t="shared" si="11"/>
        <v>-2.5084827235197647E-2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13236947</v>
      </c>
      <c r="D181" s="157">
        <v>13732498</v>
      </c>
      <c r="E181" s="157">
        <f t="shared" si="10"/>
        <v>495551</v>
      </c>
      <c r="F181" s="161">
        <f t="shared" si="11"/>
        <v>3.7436955817682131E-2</v>
      </c>
    </row>
    <row r="182" spans="1:6" ht="15" customHeight="1" x14ac:dyDescent="0.2">
      <c r="A182" s="147">
        <v>13</v>
      </c>
      <c r="B182" s="169" t="s">
        <v>308</v>
      </c>
      <c r="C182" s="157">
        <v>2272565</v>
      </c>
      <c r="D182" s="157">
        <v>2572775</v>
      </c>
      <c r="E182" s="157">
        <f t="shared" si="10"/>
        <v>300210</v>
      </c>
      <c r="F182" s="161">
        <f t="shared" si="11"/>
        <v>0.13210183207080986</v>
      </c>
    </row>
    <row r="183" spans="1:6" ht="15.75" customHeight="1" x14ac:dyDescent="0.25">
      <c r="A183" s="147"/>
      <c r="B183" s="165" t="s">
        <v>309</v>
      </c>
      <c r="C183" s="158">
        <f>SUM(C170:C182)</f>
        <v>30957919</v>
      </c>
      <c r="D183" s="158">
        <f>SUM(D170:D182)</f>
        <v>30724954</v>
      </c>
      <c r="E183" s="158">
        <f t="shared" si="10"/>
        <v>-232965</v>
      </c>
      <c r="F183" s="159">
        <f t="shared" si="11"/>
        <v>-7.5252151153958379E-3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300522</v>
      </c>
      <c r="D186" s="157">
        <v>287461</v>
      </c>
      <c r="E186" s="157">
        <f>D186-C186</f>
        <v>-13061</v>
      </c>
      <c r="F186" s="161">
        <f>IF(C186=0,0,E186/C186)</f>
        <v>-4.3461044449324839E-2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121998831</v>
      </c>
      <c r="D188" s="158">
        <f>+D186+D183+D167+D130+D121</f>
        <v>121979251</v>
      </c>
      <c r="E188" s="158">
        <f>D188-C188</f>
        <v>-19580</v>
      </c>
      <c r="F188" s="159">
        <f>IF(C188=0,0,E188/C188)</f>
        <v>-1.6049334112062106E-4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FILING&amp;RCHARLOTTE HUNGERFORD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zoomScale="75" zoomScaleNormal="75" zoomScaleSheetLayoutView="75" workbookViewId="0">
      <selection activeCell="C40" sqref="C40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116677548</v>
      </c>
      <c r="D11" s="183">
        <v>114622054</v>
      </c>
      <c r="E11" s="76">
        <v>113735731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8250545</v>
      </c>
      <c r="D12" s="185">
        <v>7533927</v>
      </c>
      <c r="E12" s="185">
        <v>6810203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124928093</v>
      </c>
      <c r="D13" s="76">
        <f>+D11+D12</f>
        <v>122155981</v>
      </c>
      <c r="E13" s="76">
        <f>+E11+E12</f>
        <v>120545934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124899985</v>
      </c>
      <c r="D14" s="185">
        <v>121998831</v>
      </c>
      <c r="E14" s="185">
        <v>121979251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28108</v>
      </c>
      <c r="D15" s="76">
        <f>+D13-D14</f>
        <v>157150</v>
      </c>
      <c r="E15" s="76">
        <f>+E13-E14</f>
        <v>-1433317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2664812</v>
      </c>
      <c r="D16" s="185">
        <v>2865900</v>
      </c>
      <c r="E16" s="185">
        <v>2960712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2692920</v>
      </c>
      <c r="D17" s="76">
        <f>D15+D16</f>
        <v>3023050</v>
      </c>
      <c r="E17" s="76">
        <f>E15+E16</f>
        <v>1527395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2.2029438078864964E-4</v>
      </c>
      <c r="D20" s="189">
        <f>IF(+D27=0,0,+D24/+D27)</f>
        <v>1.2569799681705317E-3</v>
      </c>
      <c r="E20" s="189">
        <f>IF(+E27=0,0,+E24/+E27)</f>
        <v>-1.1605181149522917E-2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2.088526787598417E-2</v>
      </c>
      <c r="D21" s="189">
        <f>IF(D27=0,0,+D26/D27)</f>
        <v>2.2923187341902174E-2</v>
      </c>
      <c r="E21" s="189">
        <f>IF(E27=0,0,+E26/E27)</f>
        <v>2.3972086489985323E-2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2.110556225677282E-2</v>
      </c>
      <c r="D22" s="189">
        <f>IF(D27=0,0,+D28/D27)</f>
        <v>2.4180167310072706E-2</v>
      </c>
      <c r="E22" s="189">
        <f>IF(E27=0,0,+E28/E27)</f>
        <v>1.2366905340462407E-2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28108</v>
      </c>
      <c r="D24" s="76">
        <f>+D15</f>
        <v>157150</v>
      </c>
      <c r="E24" s="76">
        <f>+E15</f>
        <v>-1433317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124928093</v>
      </c>
      <c r="D25" s="76">
        <f>+D13</f>
        <v>122155981</v>
      </c>
      <c r="E25" s="76">
        <f>+E13</f>
        <v>120545934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2664812</v>
      </c>
      <c r="D26" s="76">
        <f>+D16</f>
        <v>2865900</v>
      </c>
      <c r="E26" s="76">
        <f>+E16</f>
        <v>2960712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127592905</v>
      </c>
      <c r="D27" s="76">
        <f>+D25+D26</f>
        <v>125021881</v>
      </c>
      <c r="E27" s="76">
        <f>+E25+E26</f>
        <v>123506646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2692920</v>
      </c>
      <c r="D28" s="76">
        <f>+D17</f>
        <v>3023050</v>
      </c>
      <c r="E28" s="76">
        <f>+E17</f>
        <v>1527395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61139349</v>
      </c>
      <c r="D31" s="76">
        <v>59368912</v>
      </c>
      <c r="E31" s="76">
        <v>44560677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84555779</v>
      </c>
      <c r="D32" s="76">
        <v>84518833</v>
      </c>
      <c r="E32" s="76">
        <v>71202881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22764100</v>
      </c>
      <c r="D33" s="76">
        <f>+D32-C32</f>
        <v>-36946</v>
      </c>
      <c r="E33" s="76">
        <f>+E32-D32</f>
        <v>-13315952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1.3684000000000001</v>
      </c>
      <c r="D34" s="193">
        <f>IF(C32=0,0,+D33/C32)</f>
        <v>-4.3694234074763834E-4</v>
      </c>
      <c r="E34" s="193">
        <f>IF(D32=0,0,+E33/D32)</f>
        <v>-0.15755011667044669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0.46571608446630625</v>
      </c>
      <c r="D38" s="195">
        <f>IF((D40+D41)=0,0,+D39/(D40+D41))</f>
        <v>0.44271113190534739</v>
      </c>
      <c r="E38" s="195">
        <f>IF((E40+E41)=0,0,+E39/(E40+E41))</f>
        <v>0.41755087035210275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124899985</v>
      </c>
      <c r="D39" s="76">
        <v>121998831</v>
      </c>
      <c r="E39" s="196">
        <v>121979251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259938571</v>
      </c>
      <c r="D40" s="76">
        <v>268038161</v>
      </c>
      <c r="E40" s="196">
        <v>285320073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8250545</v>
      </c>
      <c r="D41" s="76">
        <v>7533927</v>
      </c>
      <c r="E41" s="196">
        <v>6810203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1.1565824120417338</v>
      </c>
      <c r="D43" s="197">
        <f>IF(D38=0,0,IF((D46-D47)=0,0,((+D44-D45)/(D46-D47)/D38)))</f>
        <v>1.1978864714795645</v>
      </c>
      <c r="E43" s="197">
        <f>IF(E38=0,0,IF((E46-E47)=0,0,((+E44-E45)/(E46-E47)/E38)))</f>
        <v>1.2487325723172751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44671615</v>
      </c>
      <c r="D44" s="76">
        <v>44118488</v>
      </c>
      <c r="E44" s="196">
        <v>42879604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1215767</v>
      </c>
      <c r="D45" s="76">
        <v>1201820</v>
      </c>
      <c r="E45" s="196">
        <v>673164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87780597</v>
      </c>
      <c r="D46" s="76">
        <v>86781671</v>
      </c>
      <c r="E46" s="196">
        <v>85110058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7103473</v>
      </c>
      <c r="D47" s="76">
        <v>5855332</v>
      </c>
      <c r="E47" s="76">
        <v>4163220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0.98641234624275764</v>
      </c>
      <c r="D49" s="198">
        <f>IF(D38=0,0,IF(D51=0,0,(D50/D51)/D38))</f>
        <v>1.0239212055618196</v>
      </c>
      <c r="E49" s="198">
        <f>IF(E38=0,0,IF(E51=0,0,(E50/E51)/E38))</f>
        <v>1.0074464264378664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56420512</v>
      </c>
      <c r="D50" s="199">
        <v>57119405</v>
      </c>
      <c r="E50" s="199">
        <v>58047184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122816661</v>
      </c>
      <c r="D51" s="199">
        <v>126007587</v>
      </c>
      <c r="E51" s="199">
        <v>137990695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0.7080400549201723</v>
      </c>
      <c r="D53" s="198">
        <f>IF(D38=0,0,IF(D55=0,0,(D54/D55)/D38))</f>
        <v>0.58930077677470427</v>
      </c>
      <c r="E53" s="198">
        <f>IF(E38=0,0,IF(E55=0,0,(E54/E55)/E38))</f>
        <v>0.62608752489195785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15891621</v>
      </c>
      <c r="D54" s="199">
        <v>14043525</v>
      </c>
      <c r="E54" s="199">
        <v>15888285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48193574</v>
      </c>
      <c r="D55" s="199">
        <v>53829293</v>
      </c>
      <c r="E55" s="199">
        <v>60776065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3070270.0784147969</v>
      </c>
      <c r="D57" s="88">
        <f>+D60*D38</f>
        <v>2494624.5456619356</v>
      </c>
      <c r="E57" s="88">
        <f>+E60*E38</f>
        <v>1673493.7822667856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3214518</v>
      </c>
      <c r="D58" s="199">
        <v>2935378</v>
      </c>
      <c r="E58" s="199">
        <v>1613966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3378061</v>
      </c>
      <c r="D59" s="199">
        <v>2699503</v>
      </c>
      <c r="E59" s="199">
        <v>2393914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6592579</v>
      </c>
      <c r="D60" s="76">
        <v>5634881</v>
      </c>
      <c r="E60" s="201">
        <v>4007880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2.4581829040370155E-2</v>
      </c>
      <c r="D62" s="202">
        <f>IF(D63=0,0,+D57/D63)</f>
        <v>2.0447938109029385E-2</v>
      </c>
      <c r="E62" s="202">
        <f>IF(E63=0,0,+E57/E63)</f>
        <v>1.3719495476052609E-2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124899985</v>
      </c>
      <c r="D63" s="199">
        <v>121998831</v>
      </c>
      <c r="E63" s="199">
        <v>121979251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1.3238456306600204</v>
      </c>
      <c r="D67" s="203">
        <f>IF(D69=0,0,D68/D69)</f>
        <v>1.7103319787714644</v>
      </c>
      <c r="E67" s="203">
        <f>IF(E69=0,0,E68/E69)</f>
        <v>1.4452984655673877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28110276</v>
      </c>
      <c r="D68" s="204">
        <v>24499960</v>
      </c>
      <c r="E68" s="204">
        <v>22925635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21233802</v>
      </c>
      <c r="D69" s="204">
        <v>14324681</v>
      </c>
      <c r="E69" s="204">
        <v>15862215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27.482374113703575</v>
      </c>
      <c r="D71" s="203">
        <f>IF((D77/365)=0,0,+D74/(D77/365))</f>
        <v>22.709182822641541</v>
      </c>
      <c r="E71" s="203">
        <f>IF((E77/365)=0,0,+E74/(E77/365))</f>
        <v>17.607797122748263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8948706</v>
      </c>
      <c r="D72" s="183">
        <v>7223350</v>
      </c>
      <c r="E72" s="183">
        <v>5598887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8948706</v>
      </c>
      <c r="D74" s="204">
        <f>+D72+D73</f>
        <v>7223350</v>
      </c>
      <c r="E74" s="204">
        <f>+E72+E73</f>
        <v>5598887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124899985</v>
      </c>
      <c r="D75" s="204">
        <f>+D14</f>
        <v>121998831</v>
      </c>
      <c r="E75" s="204">
        <f>+E14</f>
        <v>121979251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6050075</v>
      </c>
      <c r="D76" s="204">
        <v>5899420</v>
      </c>
      <c r="E76" s="204">
        <v>5917387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118849910</v>
      </c>
      <c r="D77" s="204">
        <f>+D75-D76</f>
        <v>116099411</v>
      </c>
      <c r="E77" s="204">
        <f>+E75-E76</f>
        <v>116061864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37.151311578813775</v>
      </c>
      <c r="D79" s="203">
        <f>IF((D84/365)=0,0,+D83/(D84/365))</f>
        <v>35.904516769521507</v>
      </c>
      <c r="E79" s="203">
        <f>IF((E84/365)=0,0,+E83/(E84/365))</f>
        <v>35.091920981278967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13504471</v>
      </c>
      <c r="D80" s="212">
        <v>13152579</v>
      </c>
      <c r="E80" s="212">
        <v>13732468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840007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2468522</v>
      </c>
      <c r="D82" s="212">
        <v>1877375</v>
      </c>
      <c r="E82" s="212">
        <v>2797659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11875956</v>
      </c>
      <c r="D83" s="212">
        <f>+D80+D81-D82</f>
        <v>11275204</v>
      </c>
      <c r="E83" s="212">
        <f>+E80+E81-E82</f>
        <v>10934809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116677548</v>
      </c>
      <c r="D84" s="204">
        <f>+D11</f>
        <v>114622054</v>
      </c>
      <c r="E84" s="204">
        <f>+E11</f>
        <v>113735731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65.211136718572178</v>
      </c>
      <c r="D86" s="203">
        <f>IF((D90/365)=0,0,+D87/(D90/365))</f>
        <v>45.034755301213373</v>
      </c>
      <c r="E86" s="203">
        <f>IF((E90/365)=0,0,+E87/(E90/365))</f>
        <v>49.884675943167693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21233802</v>
      </c>
      <c r="D87" s="76">
        <f>+D69</f>
        <v>14324681</v>
      </c>
      <c r="E87" s="76">
        <f>+E69</f>
        <v>15862215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124899985</v>
      </c>
      <c r="D88" s="76">
        <f t="shared" si="0"/>
        <v>121998831</v>
      </c>
      <c r="E88" s="76">
        <f t="shared" si="0"/>
        <v>121979251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6050075</v>
      </c>
      <c r="D89" s="201">
        <f t="shared" si="0"/>
        <v>5899420</v>
      </c>
      <c r="E89" s="201">
        <f t="shared" si="0"/>
        <v>5917387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118849910</v>
      </c>
      <c r="D90" s="76">
        <f>+D88-D89</f>
        <v>116099411</v>
      </c>
      <c r="E90" s="76">
        <f>+E88-E89</f>
        <v>116061864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63.839860948996254</v>
      </c>
      <c r="D94" s="214">
        <f>IF(D96=0,0,(D95/D96)*100)</f>
        <v>62.886016806453085</v>
      </c>
      <c r="E94" s="214">
        <f>IF(E96=0,0,(E95/E96)*100)</f>
        <v>53.436457871755827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84555779</v>
      </c>
      <c r="D95" s="76">
        <f>+D32</f>
        <v>84518833</v>
      </c>
      <c r="E95" s="76">
        <f>+E32</f>
        <v>71202881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132449817</v>
      </c>
      <c r="D96" s="76">
        <v>134400042</v>
      </c>
      <c r="E96" s="76">
        <v>133247756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41.17489180694065</v>
      </c>
      <c r="D98" s="214">
        <f>IF(D104=0,0,(D101/D104)*100)</f>
        <v>62.287390553409182</v>
      </c>
      <c r="E98" s="214">
        <f>IF(E104=0,0,(E101/E104)*100)</f>
        <v>46.934063117918903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2692920</v>
      </c>
      <c r="D99" s="76">
        <f>+D28</f>
        <v>3023050</v>
      </c>
      <c r="E99" s="76">
        <f>+E28</f>
        <v>1527395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6050075</v>
      </c>
      <c r="D100" s="201">
        <f>+D76</f>
        <v>5899420</v>
      </c>
      <c r="E100" s="201">
        <f>+E76</f>
        <v>5917387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8742995</v>
      </c>
      <c r="D101" s="76">
        <f>+D99+D100</f>
        <v>8922470</v>
      </c>
      <c r="E101" s="76">
        <f>+E99+E100</f>
        <v>7444782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21233802</v>
      </c>
      <c r="D102" s="204">
        <f>+D69</f>
        <v>14324681</v>
      </c>
      <c r="E102" s="204">
        <f>+E69</f>
        <v>15862215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0</v>
      </c>
      <c r="D103" s="216">
        <v>0</v>
      </c>
      <c r="E103" s="216">
        <v>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21233802</v>
      </c>
      <c r="D104" s="204">
        <f>+D102+D103</f>
        <v>14324681</v>
      </c>
      <c r="E104" s="204">
        <f>+E102+E103</f>
        <v>15862215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0</v>
      </c>
      <c r="D106" s="214">
        <f>IF(D109=0,0,(D107/D109)*100)</f>
        <v>0</v>
      </c>
      <c r="E106" s="214">
        <f>IF(E109=0,0,(E107/E109)*100)</f>
        <v>0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0</v>
      </c>
      <c r="D107" s="204">
        <f>+D103</f>
        <v>0</v>
      </c>
      <c r="E107" s="204">
        <f>+E103</f>
        <v>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84555779</v>
      </c>
      <c r="D108" s="204">
        <f>+D32</f>
        <v>84518833</v>
      </c>
      <c r="E108" s="204">
        <f>+E32</f>
        <v>71202881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84555779</v>
      </c>
      <c r="D109" s="204">
        <f>+D107+D108</f>
        <v>84518833</v>
      </c>
      <c r="E109" s="204">
        <f>+E107+E108</f>
        <v>71202881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5.4414901051110736</v>
      </c>
      <c r="D111" s="214">
        <f>IF((+D113+D115)=0,0,((+D112+D113+D114)/(+D113+D115)))</f>
        <v>2.7628414905294054</v>
      </c>
      <c r="E111" s="214">
        <f>IF((+E113+E115)=0,0,((+E112+E113+E114)/(+E113+E115)))</f>
        <v>7444782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2692920</v>
      </c>
      <c r="D112" s="76">
        <f>+D17</f>
        <v>3023050</v>
      </c>
      <c r="E112" s="76">
        <f>+E17</f>
        <v>1527395</v>
      </c>
    </row>
    <row r="113" spans="1:8" ht="24" customHeight="1" x14ac:dyDescent="0.2">
      <c r="A113" s="85">
        <v>17</v>
      </c>
      <c r="B113" s="75" t="s">
        <v>88</v>
      </c>
      <c r="C113" s="218">
        <v>250825</v>
      </c>
      <c r="D113" s="76">
        <v>15651</v>
      </c>
      <c r="E113" s="76">
        <v>0</v>
      </c>
    </row>
    <row r="114" spans="1:8" ht="24" customHeight="1" x14ac:dyDescent="0.2">
      <c r="A114" s="85">
        <v>18</v>
      </c>
      <c r="B114" s="75" t="s">
        <v>374</v>
      </c>
      <c r="C114" s="218">
        <v>6050075</v>
      </c>
      <c r="D114" s="76">
        <v>5899420</v>
      </c>
      <c r="E114" s="76">
        <v>5917387</v>
      </c>
    </row>
    <row r="115" spans="1:8" ht="24" customHeight="1" x14ac:dyDescent="0.2">
      <c r="A115" s="85">
        <v>19</v>
      </c>
      <c r="B115" s="75" t="s">
        <v>104</v>
      </c>
      <c r="C115" s="218">
        <v>1401998</v>
      </c>
      <c r="D115" s="76">
        <v>3219468</v>
      </c>
      <c r="E115" s="76">
        <v>1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18.616493018681588</v>
      </c>
      <c r="D119" s="214">
        <f>IF(+D121=0,0,(+D120)/(+D121))</f>
        <v>19.727646277091647</v>
      </c>
      <c r="E119" s="214">
        <f>IF(+E121=0,0,(+E120)/(+E121))</f>
        <v>20.439842112743346</v>
      </c>
    </row>
    <row r="120" spans="1:8" ht="24" customHeight="1" x14ac:dyDescent="0.2">
      <c r="A120" s="85">
        <v>21</v>
      </c>
      <c r="B120" s="75" t="s">
        <v>378</v>
      </c>
      <c r="C120" s="218">
        <v>112631179</v>
      </c>
      <c r="D120" s="218">
        <v>116381671</v>
      </c>
      <c r="E120" s="218">
        <v>120950456</v>
      </c>
    </row>
    <row r="121" spans="1:8" ht="24" customHeight="1" x14ac:dyDescent="0.2">
      <c r="A121" s="85">
        <v>22</v>
      </c>
      <c r="B121" s="75" t="s">
        <v>374</v>
      </c>
      <c r="C121" s="218">
        <v>6050075</v>
      </c>
      <c r="D121" s="218">
        <v>5899420</v>
      </c>
      <c r="E121" s="218">
        <v>5917387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26574</v>
      </c>
      <c r="D124" s="218">
        <v>25604</v>
      </c>
      <c r="E124" s="218">
        <v>26064</v>
      </c>
    </row>
    <row r="125" spans="1:8" ht="24" customHeight="1" x14ac:dyDescent="0.2">
      <c r="A125" s="85">
        <v>2</v>
      </c>
      <c r="B125" s="75" t="s">
        <v>381</v>
      </c>
      <c r="C125" s="218">
        <v>6533</v>
      </c>
      <c r="D125" s="218">
        <v>6106</v>
      </c>
      <c r="E125" s="218">
        <v>6030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4.0676565130874023</v>
      </c>
      <c r="D126" s="219">
        <f>IF(D125=0,0,D124/D125)</f>
        <v>4.1932525384867345</v>
      </c>
      <c r="E126" s="219">
        <f>IF(E125=0,0,E124/E125)</f>
        <v>4.3223880597014928</v>
      </c>
    </row>
    <row r="127" spans="1:8" ht="24" customHeight="1" x14ac:dyDescent="0.2">
      <c r="A127" s="85">
        <v>4</v>
      </c>
      <c r="B127" s="75" t="s">
        <v>383</v>
      </c>
      <c r="C127" s="218">
        <v>77</v>
      </c>
      <c r="D127" s="218">
        <v>76</v>
      </c>
      <c r="E127" s="218">
        <v>76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122</v>
      </c>
      <c r="E128" s="218">
        <v>122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122</v>
      </c>
      <c r="D129" s="218">
        <v>122</v>
      </c>
      <c r="E129" s="218">
        <v>122</v>
      </c>
    </row>
    <row r="130" spans="1:7" ht="24" customHeight="1" x14ac:dyDescent="0.2">
      <c r="A130" s="85">
        <v>7</v>
      </c>
      <c r="B130" s="75" t="s">
        <v>386</v>
      </c>
      <c r="C130" s="193">
        <v>0.94550000000000001</v>
      </c>
      <c r="D130" s="193">
        <v>0.92290000000000005</v>
      </c>
      <c r="E130" s="193">
        <v>0.9395</v>
      </c>
    </row>
    <row r="131" spans="1:7" ht="24" customHeight="1" x14ac:dyDescent="0.2">
      <c r="A131" s="85">
        <v>8</v>
      </c>
      <c r="B131" s="75" t="s">
        <v>387</v>
      </c>
      <c r="C131" s="193">
        <v>0.59670000000000001</v>
      </c>
      <c r="D131" s="193">
        <v>0.57489999999999997</v>
      </c>
      <c r="E131" s="193">
        <v>0.58530000000000004</v>
      </c>
    </row>
    <row r="132" spans="1:7" ht="24" customHeight="1" x14ac:dyDescent="0.2">
      <c r="A132" s="85">
        <v>9</v>
      </c>
      <c r="B132" s="75" t="s">
        <v>388</v>
      </c>
      <c r="C132" s="219">
        <v>789</v>
      </c>
      <c r="D132" s="219">
        <v>767</v>
      </c>
      <c r="E132" s="219">
        <v>749.4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0.31036996044730891</v>
      </c>
      <c r="D135" s="227">
        <f>IF(D149=0,0,D143/D149)</f>
        <v>0.30192096042622829</v>
      </c>
      <c r="E135" s="227">
        <f>IF(E149=0,0,E143/E149)</f>
        <v>0.2837053739292994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0.47248340455022353</v>
      </c>
      <c r="D136" s="227">
        <f>IF(D149=0,0,D144/D149)</f>
        <v>0.47011062353916089</v>
      </c>
      <c r="E136" s="227">
        <f>IF(E149=0,0,E144/E149)</f>
        <v>0.48363472485162307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0.1854037044775475</v>
      </c>
      <c r="D137" s="227">
        <f>IF(D149=0,0,D145/D149)</f>
        <v>0.20082697478289294</v>
      </c>
      <c r="E137" s="227">
        <f>IF(E149=0,0,E145/E149)</f>
        <v>0.21301012705124325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6.682309567670894E-4</v>
      </c>
      <c r="D138" s="227">
        <f>IF(D149=0,0,D146/D149)</f>
        <v>1.0305211726922719E-3</v>
      </c>
      <c r="E138" s="227">
        <f>IF(E149=0,0,E146/E149)</f>
        <v>1.4852687914460193E-3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2.7327506543844162E-2</v>
      </c>
      <c r="D139" s="227">
        <f>IF(D149=0,0,D147/D149)</f>
        <v>2.1845143162282775E-2</v>
      </c>
      <c r="E139" s="227">
        <f>IF(E149=0,0,E147/E149)</f>
        <v>1.4591402407218648E-2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3.7471930243088087E-3</v>
      </c>
      <c r="D140" s="227">
        <f>IF(D149=0,0,D148/D149)</f>
        <v>4.2657769167428368E-3</v>
      </c>
      <c r="E140" s="227">
        <f>IF(E149=0,0,E148/E149)</f>
        <v>3.5731029691696455E-3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80677124</v>
      </c>
      <c r="D143" s="229">
        <f>+D46-D147</f>
        <v>80926339</v>
      </c>
      <c r="E143" s="229">
        <f>+E46-E147</f>
        <v>80946838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122816661</v>
      </c>
      <c r="D144" s="229">
        <f>+D51</f>
        <v>126007587</v>
      </c>
      <c r="E144" s="229">
        <f>+E51</f>
        <v>137990695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48193574</v>
      </c>
      <c r="D145" s="229">
        <f>+D55</f>
        <v>53829293</v>
      </c>
      <c r="E145" s="229">
        <f>+E55</f>
        <v>60776065</v>
      </c>
    </row>
    <row r="146" spans="1:7" ht="20.100000000000001" customHeight="1" x14ac:dyDescent="0.2">
      <c r="A146" s="226">
        <v>11</v>
      </c>
      <c r="B146" s="224" t="s">
        <v>400</v>
      </c>
      <c r="C146" s="228">
        <v>173699</v>
      </c>
      <c r="D146" s="229">
        <v>276219</v>
      </c>
      <c r="E146" s="229">
        <v>423777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7103473</v>
      </c>
      <c r="D147" s="229">
        <f>+D47</f>
        <v>5855332</v>
      </c>
      <c r="E147" s="229">
        <f>+E47</f>
        <v>4163220</v>
      </c>
    </row>
    <row r="148" spans="1:7" ht="20.100000000000001" customHeight="1" x14ac:dyDescent="0.2">
      <c r="A148" s="226">
        <v>13</v>
      </c>
      <c r="B148" s="224" t="s">
        <v>402</v>
      </c>
      <c r="C148" s="230">
        <v>974040</v>
      </c>
      <c r="D148" s="229">
        <v>1143391</v>
      </c>
      <c r="E148" s="229">
        <v>1019478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259938571</v>
      </c>
      <c r="D149" s="229">
        <f>SUM(D143:D148)</f>
        <v>268038161</v>
      </c>
      <c r="E149" s="229">
        <f>SUM(E143:E148)</f>
        <v>285320073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0.36988973636573502</v>
      </c>
      <c r="D152" s="227">
        <f>IF(D166=0,0,D160/D166)</f>
        <v>0.37039258465495589</v>
      </c>
      <c r="E152" s="227">
        <f>IF(E166=0,0,E160/E166)</f>
        <v>0.35942032372068422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0.48024303447719596</v>
      </c>
      <c r="D153" s="227">
        <f>IF(D166=0,0,D161/D166)</f>
        <v>0.49296939948607404</v>
      </c>
      <c r="E153" s="227">
        <f>IF(E166=0,0,E161/E166)</f>
        <v>0.49431645181053224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0.13526712220905637</v>
      </c>
      <c r="D154" s="227">
        <f>IF(D166=0,0,D162/D166)</f>
        <v>0.12120273462088178</v>
      </c>
      <c r="E154" s="227">
        <f>IF(E166=0,0,E162/E166)</f>
        <v>0.13530097629808369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4.260181806854865E-4</v>
      </c>
      <c r="D155" s="227">
        <f>IF(D166=0,0,D163/D166)</f>
        <v>8.3446641815525789E-4</v>
      </c>
      <c r="E155" s="227">
        <f>IF(E166=0,0,E163/E166)</f>
        <v>8.224615552808387E-4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1.0348428481067968E-2</v>
      </c>
      <c r="D156" s="227">
        <f>IF(D166=0,0,D164/D166)</f>
        <v>1.0372315392472199E-2</v>
      </c>
      <c r="E156" s="227">
        <f>IF(E166=0,0,E164/E166)</f>
        <v>5.7325096074701083E-3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3.8256602862591924E-3</v>
      </c>
      <c r="D157" s="227">
        <f>IF(D166=0,0,D165/D166)</f>
        <v>4.2284994274608256E-3</v>
      </c>
      <c r="E157" s="227">
        <f>IF(E166=0,0,E165/E166)</f>
        <v>4.4072770079488831E-3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1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43455848</v>
      </c>
      <c r="D160" s="229">
        <f>+D44-D164</f>
        <v>42916668</v>
      </c>
      <c r="E160" s="229">
        <f>+E44-E164</f>
        <v>42206440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56420512</v>
      </c>
      <c r="D161" s="229">
        <f>+D50</f>
        <v>57119405</v>
      </c>
      <c r="E161" s="229">
        <f>+E50</f>
        <v>58047184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15891621</v>
      </c>
      <c r="D162" s="229">
        <f>+D54</f>
        <v>14043525</v>
      </c>
      <c r="E162" s="229">
        <f>+E54</f>
        <v>15888285</v>
      </c>
    </row>
    <row r="163" spans="1:6" ht="20.100000000000001" customHeight="1" x14ac:dyDescent="0.2">
      <c r="A163" s="226">
        <v>11</v>
      </c>
      <c r="B163" s="224" t="s">
        <v>415</v>
      </c>
      <c r="C163" s="228">
        <v>50050</v>
      </c>
      <c r="D163" s="229">
        <v>96688</v>
      </c>
      <c r="E163" s="229">
        <v>96581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1215767</v>
      </c>
      <c r="D164" s="229">
        <f>+D45</f>
        <v>1201820</v>
      </c>
      <c r="E164" s="229">
        <f>+E45</f>
        <v>673164</v>
      </c>
    </row>
    <row r="165" spans="1:6" ht="20.100000000000001" customHeight="1" x14ac:dyDescent="0.2">
      <c r="A165" s="226">
        <v>13</v>
      </c>
      <c r="B165" s="224" t="s">
        <v>417</v>
      </c>
      <c r="C165" s="230">
        <v>449451</v>
      </c>
      <c r="D165" s="229">
        <v>489948</v>
      </c>
      <c r="E165" s="229">
        <v>517543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117483249</v>
      </c>
      <c r="D166" s="229">
        <f>SUM(D160:D165)</f>
        <v>115868054</v>
      </c>
      <c r="E166" s="229">
        <f>SUM(E160:E165)</f>
        <v>117429197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1821</v>
      </c>
      <c r="D169" s="218">
        <v>1585</v>
      </c>
      <c r="E169" s="218">
        <v>1430</v>
      </c>
    </row>
    <row r="170" spans="1:6" ht="20.100000000000001" customHeight="1" x14ac:dyDescent="0.2">
      <c r="A170" s="226">
        <v>2</v>
      </c>
      <c r="B170" s="224" t="s">
        <v>420</v>
      </c>
      <c r="C170" s="218">
        <v>3510</v>
      </c>
      <c r="D170" s="218">
        <v>3299</v>
      </c>
      <c r="E170" s="218">
        <v>3363</v>
      </c>
    </row>
    <row r="171" spans="1:6" ht="20.100000000000001" customHeight="1" x14ac:dyDescent="0.2">
      <c r="A171" s="226">
        <v>3</v>
      </c>
      <c r="B171" s="224" t="s">
        <v>421</v>
      </c>
      <c r="C171" s="218">
        <v>1170</v>
      </c>
      <c r="D171" s="218">
        <v>1183</v>
      </c>
      <c r="E171" s="218">
        <v>1207</v>
      </c>
    </row>
    <row r="172" spans="1:6" ht="20.100000000000001" customHeight="1" x14ac:dyDescent="0.2">
      <c r="A172" s="226">
        <v>4</v>
      </c>
      <c r="B172" s="224" t="s">
        <v>422</v>
      </c>
      <c r="C172" s="218">
        <v>1167</v>
      </c>
      <c r="D172" s="218">
        <v>1172</v>
      </c>
      <c r="E172" s="218">
        <v>1200</v>
      </c>
    </row>
    <row r="173" spans="1:6" ht="20.100000000000001" customHeight="1" x14ac:dyDescent="0.2">
      <c r="A173" s="226">
        <v>5</v>
      </c>
      <c r="B173" s="224" t="s">
        <v>423</v>
      </c>
      <c r="C173" s="218">
        <v>3</v>
      </c>
      <c r="D173" s="218">
        <v>11</v>
      </c>
      <c r="E173" s="218">
        <v>7</v>
      </c>
    </row>
    <row r="174" spans="1:6" ht="20.100000000000001" customHeight="1" x14ac:dyDescent="0.2">
      <c r="A174" s="226">
        <v>6</v>
      </c>
      <c r="B174" s="224" t="s">
        <v>424</v>
      </c>
      <c r="C174" s="218">
        <v>32</v>
      </c>
      <c r="D174" s="218">
        <v>39</v>
      </c>
      <c r="E174" s="218">
        <v>30</v>
      </c>
    </row>
    <row r="175" spans="1:6" ht="20.100000000000001" customHeight="1" x14ac:dyDescent="0.2">
      <c r="A175" s="226">
        <v>7</v>
      </c>
      <c r="B175" s="224" t="s">
        <v>425</v>
      </c>
      <c r="C175" s="218">
        <v>200</v>
      </c>
      <c r="D175" s="218">
        <v>137</v>
      </c>
      <c r="E175" s="218">
        <v>102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6533</v>
      </c>
      <c r="D176" s="218">
        <f>+D169+D170+D171+D174</f>
        <v>6106</v>
      </c>
      <c r="E176" s="218">
        <f>+E169+E170+E171+E174</f>
        <v>6030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1.0895999999999999</v>
      </c>
      <c r="D179" s="231">
        <v>1.1468</v>
      </c>
      <c r="E179" s="231">
        <v>1.089</v>
      </c>
    </row>
    <row r="180" spans="1:6" ht="20.100000000000001" customHeight="1" x14ac:dyDescent="0.2">
      <c r="A180" s="226">
        <v>2</v>
      </c>
      <c r="B180" s="224" t="s">
        <v>420</v>
      </c>
      <c r="C180" s="231">
        <v>1.4476</v>
      </c>
      <c r="D180" s="231">
        <v>1.391</v>
      </c>
      <c r="E180" s="231">
        <v>1.4038999999999999</v>
      </c>
    </row>
    <row r="181" spans="1:6" ht="20.100000000000001" customHeight="1" x14ac:dyDescent="0.2">
      <c r="A181" s="226">
        <v>3</v>
      </c>
      <c r="B181" s="224" t="s">
        <v>421</v>
      </c>
      <c r="C181" s="231">
        <v>1.0481929999999999</v>
      </c>
      <c r="D181" s="231">
        <v>1.0128779999999999</v>
      </c>
      <c r="E181" s="231">
        <v>0.95822799999999997</v>
      </c>
    </row>
    <row r="182" spans="1:6" ht="20.100000000000001" customHeight="1" x14ac:dyDescent="0.2">
      <c r="A182" s="226">
        <v>4</v>
      </c>
      <c r="B182" s="224" t="s">
        <v>422</v>
      </c>
      <c r="C182" s="231">
        <v>1.048</v>
      </c>
      <c r="D182" s="231">
        <v>1.0141</v>
      </c>
      <c r="E182" s="231">
        <v>0.95740000000000003</v>
      </c>
    </row>
    <row r="183" spans="1:6" ht="20.100000000000001" customHeight="1" x14ac:dyDescent="0.2">
      <c r="A183" s="226">
        <v>5</v>
      </c>
      <c r="B183" s="224" t="s">
        <v>423</v>
      </c>
      <c r="C183" s="231">
        <v>1.1234999999999999</v>
      </c>
      <c r="D183" s="231">
        <v>0.88270000000000004</v>
      </c>
      <c r="E183" s="231">
        <v>1.1002000000000001</v>
      </c>
    </row>
    <row r="184" spans="1:6" ht="20.100000000000001" customHeight="1" x14ac:dyDescent="0.2">
      <c r="A184" s="226">
        <v>6</v>
      </c>
      <c r="B184" s="224" t="s">
        <v>424</v>
      </c>
      <c r="C184" s="231">
        <v>1.0033000000000001</v>
      </c>
      <c r="D184" s="231">
        <v>0.95299999999999996</v>
      </c>
      <c r="E184" s="231">
        <v>1.0337000000000001</v>
      </c>
    </row>
    <row r="185" spans="1:6" ht="20.100000000000001" customHeight="1" x14ac:dyDescent="0.2">
      <c r="A185" s="226">
        <v>7</v>
      </c>
      <c r="B185" s="224" t="s">
        <v>425</v>
      </c>
      <c r="C185" s="231">
        <v>1.0268999999999999</v>
      </c>
      <c r="D185" s="231">
        <v>1.0423</v>
      </c>
      <c r="E185" s="231">
        <v>1.0630999999999999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1.274105</v>
      </c>
      <c r="D186" s="231">
        <v>1.2515540000000001</v>
      </c>
      <c r="E186" s="231">
        <v>1.2381720000000001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5182</v>
      </c>
      <c r="D189" s="218">
        <v>4871</v>
      </c>
      <c r="E189" s="218">
        <v>4956</v>
      </c>
    </row>
    <row r="190" spans="1:6" ht="20.100000000000001" customHeight="1" x14ac:dyDescent="0.2">
      <c r="A190" s="226">
        <v>2</v>
      </c>
      <c r="B190" s="224" t="s">
        <v>433</v>
      </c>
      <c r="C190" s="218">
        <v>35790</v>
      </c>
      <c r="D190" s="218">
        <v>35853</v>
      </c>
      <c r="E190" s="218">
        <v>37474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40972</v>
      </c>
      <c r="D191" s="218">
        <f>+D190+D189</f>
        <v>40724</v>
      </c>
      <c r="E191" s="218">
        <f>+E190+E189</f>
        <v>42430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68" orientation="portrait" horizontalDpi="1200" verticalDpi="1200" r:id="rId1"/>
  <headerFooter>
    <oddHeader>&amp;LOFFICE OF HEALTH CARE ACCESS&amp;CTWELVE MONTHS ACTUAL FILING&amp;RCHARLOTTE HUNGERFORD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128530</v>
      </c>
      <c r="D14" s="258">
        <v>433370</v>
      </c>
      <c r="E14" s="258">
        <f t="shared" ref="E14:E24" si="0">D14-C14</f>
        <v>304840</v>
      </c>
      <c r="F14" s="259">
        <f t="shared" ref="F14:F24" si="1">IF(C14=0,0,E14/C14)</f>
        <v>2.3717420057574108</v>
      </c>
    </row>
    <row r="15" spans="1:7" ht="20.25" customHeight="1" x14ac:dyDescent="0.3">
      <c r="A15" s="256">
        <v>2</v>
      </c>
      <c r="B15" s="257" t="s">
        <v>442</v>
      </c>
      <c r="C15" s="258">
        <v>92343</v>
      </c>
      <c r="D15" s="258">
        <v>163442</v>
      </c>
      <c r="E15" s="258">
        <f t="shared" si="0"/>
        <v>71099</v>
      </c>
      <c r="F15" s="259">
        <f t="shared" si="1"/>
        <v>0.76994466283313301</v>
      </c>
    </row>
    <row r="16" spans="1:7" ht="20.25" customHeight="1" x14ac:dyDescent="0.3">
      <c r="A16" s="256">
        <v>3</v>
      </c>
      <c r="B16" s="257" t="s">
        <v>443</v>
      </c>
      <c r="C16" s="258">
        <v>272656</v>
      </c>
      <c r="D16" s="258">
        <v>410002</v>
      </c>
      <c r="E16" s="258">
        <f t="shared" si="0"/>
        <v>137346</v>
      </c>
      <c r="F16" s="259">
        <f t="shared" si="1"/>
        <v>0.50373364239187846</v>
      </c>
    </row>
    <row r="17" spans="1:6" ht="20.25" customHeight="1" x14ac:dyDescent="0.3">
      <c r="A17" s="256">
        <v>4</v>
      </c>
      <c r="B17" s="257" t="s">
        <v>444</v>
      </c>
      <c r="C17" s="258">
        <v>121410</v>
      </c>
      <c r="D17" s="258">
        <v>94684</v>
      </c>
      <c r="E17" s="258">
        <f t="shared" si="0"/>
        <v>-26726</v>
      </c>
      <c r="F17" s="259">
        <f t="shared" si="1"/>
        <v>-0.22013013755044888</v>
      </c>
    </row>
    <row r="18" spans="1:6" ht="20.25" customHeight="1" x14ac:dyDescent="0.3">
      <c r="A18" s="256">
        <v>5</v>
      </c>
      <c r="B18" s="257" t="s">
        <v>381</v>
      </c>
      <c r="C18" s="260">
        <v>5</v>
      </c>
      <c r="D18" s="260">
        <v>27</v>
      </c>
      <c r="E18" s="260">
        <f t="shared" si="0"/>
        <v>22</v>
      </c>
      <c r="F18" s="259">
        <f t="shared" si="1"/>
        <v>4.4000000000000004</v>
      </c>
    </row>
    <row r="19" spans="1:6" ht="20.25" customHeight="1" x14ac:dyDescent="0.3">
      <c r="A19" s="256">
        <v>6</v>
      </c>
      <c r="B19" s="257" t="s">
        <v>380</v>
      </c>
      <c r="C19" s="260">
        <v>20</v>
      </c>
      <c r="D19" s="260">
        <v>119</v>
      </c>
      <c r="E19" s="260">
        <f t="shared" si="0"/>
        <v>99</v>
      </c>
      <c r="F19" s="259">
        <f t="shared" si="1"/>
        <v>4.95</v>
      </c>
    </row>
    <row r="20" spans="1:6" ht="20.25" customHeight="1" x14ac:dyDescent="0.3">
      <c r="A20" s="256">
        <v>7</v>
      </c>
      <c r="B20" s="257" t="s">
        <v>445</v>
      </c>
      <c r="C20" s="260">
        <v>441</v>
      </c>
      <c r="D20" s="260">
        <v>633</v>
      </c>
      <c r="E20" s="260">
        <f t="shared" si="0"/>
        <v>192</v>
      </c>
      <c r="F20" s="259">
        <f t="shared" si="1"/>
        <v>0.43537414965986393</v>
      </c>
    </row>
    <row r="21" spans="1:6" ht="20.25" customHeight="1" x14ac:dyDescent="0.3">
      <c r="A21" s="256">
        <v>8</v>
      </c>
      <c r="B21" s="257" t="s">
        <v>446</v>
      </c>
      <c r="C21" s="260">
        <v>32</v>
      </c>
      <c r="D21" s="260">
        <v>70</v>
      </c>
      <c r="E21" s="260">
        <f t="shared" si="0"/>
        <v>38</v>
      </c>
      <c r="F21" s="259">
        <f t="shared" si="1"/>
        <v>1.1875</v>
      </c>
    </row>
    <row r="22" spans="1:6" ht="20.25" customHeight="1" x14ac:dyDescent="0.3">
      <c r="A22" s="256">
        <v>9</v>
      </c>
      <c r="B22" s="257" t="s">
        <v>447</v>
      </c>
      <c r="C22" s="260">
        <v>2</v>
      </c>
      <c r="D22" s="260">
        <v>28</v>
      </c>
      <c r="E22" s="260">
        <f t="shared" si="0"/>
        <v>26</v>
      </c>
      <c r="F22" s="259">
        <f t="shared" si="1"/>
        <v>13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401186</v>
      </c>
      <c r="D23" s="263">
        <f>+D14+D16</f>
        <v>843372</v>
      </c>
      <c r="E23" s="263">
        <f t="shared" si="0"/>
        <v>442186</v>
      </c>
      <c r="F23" s="264">
        <f t="shared" si="1"/>
        <v>1.1021969859366978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213753</v>
      </c>
      <c r="D24" s="263">
        <f>+D15+D17</f>
        <v>258126</v>
      </c>
      <c r="E24" s="263">
        <f t="shared" si="0"/>
        <v>44373</v>
      </c>
      <c r="F24" s="264">
        <f t="shared" si="1"/>
        <v>0.20759006891131351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4254935</v>
      </c>
      <c r="D40" s="258">
        <v>3656524</v>
      </c>
      <c r="E40" s="258">
        <f t="shared" ref="E40:E50" si="4">D40-C40</f>
        <v>-598411</v>
      </c>
      <c r="F40" s="259">
        <f t="shared" ref="F40:F50" si="5">IF(C40=0,0,E40/C40)</f>
        <v>-0.14063928121111133</v>
      </c>
    </row>
    <row r="41" spans="1:6" ht="20.25" customHeight="1" x14ac:dyDescent="0.3">
      <c r="A41" s="256">
        <v>2</v>
      </c>
      <c r="B41" s="257" t="s">
        <v>442</v>
      </c>
      <c r="C41" s="258">
        <v>2381111</v>
      </c>
      <c r="D41" s="258">
        <v>2165812</v>
      </c>
      <c r="E41" s="258">
        <f t="shared" si="4"/>
        <v>-215299</v>
      </c>
      <c r="F41" s="259">
        <f t="shared" si="5"/>
        <v>-9.0419556249162675E-2</v>
      </c>
    </row>
    <row r="42" spans="1:6" ht="20.25" customHeight="1" x14ac:dyDescent="0.3">
      <c r="A42" s="256">
        <v>3</v>
      </c>
      <c r="B42" s="257" t="s">
        <v>443</v>
      </c>
      <c r="C42" s="258">
        <v>4807397</v>
      </c>
      <c r="D42" s="258">
        <v>5250628</v>
      </c>
      <c r="E42" s="258">
        <f t="shared" si="4"/>
        <v>443231</v>
      </c>
      <c r="F42" s="259">
        <f t="shared" si="5"/>
        <v>9.2197711152209816E-2</v>
      </c>
    </row>
    <row r="43" spans="1:6" ht="20.25" customHeight="1" x14ac:dyDescent="0.3">
      <c r="A43" s="256">
        <v>4</v>
      </c>
      <c r="B43" s="257" t="s">
        <v>444</v>
      </c>
      <c r="C43" s="258">
        <v>1673804</v>
      </c>
      <c r="D43" s="258">
        <v>1408533</v>
      </c>
      <c r="E43" s="258">
        <f t="shared" si="4"/>
        <v>-265271</v>
      </c>
      <c r="F43" s="259">
        <f t="shared" si="5"/>
        <v>-0.15848390851019595</v>
      </c>
    </row>
    <row r="44" spans="1:6" ht="20.25" customHeight="1" x14ac:dyDescent="0.3">
      <c r="A44" s="256">
        <v>5</v>
      </c>
      <c r="B44" s="257" t="s">
        <v>381</v>
      </c>
      <c r="C44" s="260">
        <v>191</v>
      </c>
      <c r="D44" s="260">
        <v>188</v>
      </c>
      <c r="E44" s="260">
        <f t="shared" si="4"/>
        <v>-3</v>
      </c>
      <c r="F44" s="259">
        <f t="shared" si="5"/>
        <v>-1.5706806282722512E-2</v>
      </c>
    </row>
    <row r="45" spans="1:6" ht="20.25" customHeight="1" x14ac:dyDescent="0.3">
      <c r="A45" s="256">
        <v>6</v>
      </c>
      <c r="B45" s="257" t="s">
        <v>380</v>
      </c>
      <c r="C45" s="260">
        <v>993</v>
      </c>
      <c r="D45" s="260">
        <v>829</v>
      </c>
      <c r="E45" s="260">
        <f t="shared" si="4"/>
        <v>-164</v>
      </c>
      <c r="F45" s="259">
        <f t="shared" si="5"/>
        <v>-0.16515609264853978</v>
      </c>
    </row>
    <row r="46" spans="1:6" ht="20.25" customHeight="1" x14ac:dyDescent="0.3">
      <c r="A46" s="256">
        <v>7</v>
      </c>
      <c r="B46" s="257" t="s">
        <v>445</v>
      </c>
      <c r="C46" s="260">
        <v>6471</v>
      </c>
      <c r="D46" s="260">
        <v>6560</v>
      </c>
      <c r="E46" s="260">
        <f t="shared" si="4"/>
        <v>89</v>
      </c>
      <c r="F46" s="259">
        <f t="shared" si="5"/>
        <v>1.3753670220985937E-2</v>
      </c>
    </row>
    <row r="47" spans="1:6" ht="20.25" customHeight="1" x14ac:dyDescent="0.3">
      <c r="A47" s="256">
        <v>8</v>
      </c>
      <c r="B47" s="257" t="s">
        <v>446</v>
      </c>
      <c r="C47" s="260">
        <v>521</v>
      </c>
      <c r="D47" s="260">
        <v>581</v>
      </c>
      <c r="E47" s="260">
        <f t="shared" si="4"/>
        <v>60</v>
      </c>
      <c r="F47" s="259">
        <f t="shared" si="5"/>
        <v>0.11516314779270634</v>
      </c>
    </row>
    <row r="48" spans="1:6" ht="20.25" customHeight="1" x14ac:dyDescent="0.3">
      <c r="A48" s="256">
        <v>9</v>
      </c>
      <c r="B48" s="257" t="s">
        <v>447</v>
      </c>
      <c r="C48" s="260">
        <v>160</v>
      </c>
      <c r="D48" s="260">
        <v>164</v>
      </c>
      <c r="E48" s="260">
        <f t="shared" si="4"/>
        <v>4</v>
      </c>
      <c r="F48" s="259">
        <f t="shared" si="5"/>
        <v>2.5000000000000001E-2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9062332</v>
      </c>
      <c r="D49" s="263">
        <f>+D40+D42</f>
        <v>8907152</v>
      </c>
      <c r="E49" s="263">
        <f t="shared" si="4"/>
        <v>-155180</v>
      </c>
      <c r="F49" s="264">
        <f t="shared" si="5"/>
        <v>-1.7123627781458459E-2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4054915</v>
      </c>
      <c r="D50" s="263">
        <f>+D41+D43</f>
        <v>3574345</v>
      </c>
      <c r="E50" s="263">
        <f t="shared" si="4"/>
        <v>-480570</v>
      </c>
      <c r="F50" s="264">
        <f t="shared" si="5"/>
        <v>-0.118515431272912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83232</v>
      </c>
      <c r="D66" s="258">
        <v>429531</v>
      </c>
      <c r="E66" s="258">
        <f t="shared" ref="E66:E76" si="8">D66-C66</f>
        <v>346299</v>
      </c>
      <c r="F66" s="259">
        <f t="shared" ref="F66:F76" si="9">IF(C66=0,0,E66/C66)</f>
        <v>4.1606473471741641</v>
      </c>
    </row>
    <row r="67" spans="1:6" ht="20.25" customHeight="1" x14ac:dyDescent="0.3">
      <c r="A67" s="256">
        <v>2</v>
      </c>
      <c r="B67" s="257" t="s">
        <v>442</v>
      </c>
      <c r="C67" s="258">
        <v>33545</v>
      </c>
      <c r="D67" s="258">
        <v>223228</v>
      </c>
      <c r="E67" s="258">
        <f t="shared" si="8"/>
        <v>189683</v>
      </c>
      <c r="F67" s="259">
        <f t="shared" si="9"/>
        <v>5.6545833954389622</v>
      </c>
    </row>
    <row r="68" spans="1:6" ht="20.25" customHeight="1" x14ac:dyDescent="0.3">
      <c r="A68" s="256">
        <v>3</v>
      </c>
      <c r="B68" s="257" t="s">
        <v>443</v>
      </c>
      <c r="C68" s="258">
        <v>192798</v>
      </c>
      <c r="D68" s="258">
        <v>108246</v>
      </c>
      <c r="E68" s="258">
        <f t="shared" si="8"/>
        <v>-84552</v>
      </c>
      <c r="F68" s="259">
        <f t="shared" si="9"/>
        <v>-0.43855226713970064</v>
      </c>
    </row>
    <row r="69" spans="1:6" ht="20.25" customHeight="1" x14ac:dyDescent="0.3">
      <c r="A69" s="256">
        <v>4</v>
      </c>
      <c r="B69" s="257" t="s">
        <v>444</v>
      </c>
      <c r="C69" s="258">
        <v>69368</v>
      </c>
      <c r="D69" s="258">
        <v>25058</v>
      </c>
      <c r="E69" s="258">
        <f t="shared" si="8"/>
        <v>-44310</v>
      </c>
      <c r="F69" s="259">
        <f t="shared" si="9"/>
        <v>-0.63876715488409641</v>
      </c>
    </row>
    <row r="70" spans="1:6" ht="20.25" customHeight="1" x14ac:dyDescent="0.3">
      <c r="A70" s="256">
        <v>5</v>
      </c>
      <c r="B70" s="257" t="s">
        <v>381</v>
      </c>
      <c r="C70" s="260">
        <v>5</v>
      </c>
      <c r="D70" s="260">
        <v>15</v>
      </c>
      <c r="E70" s="260">
        <f t="shared" si="8"/>
        <v>10</v>
      </c>
      <c r="F70" s="259">
        <f t="shared" si="9"/>
        <v>2</v>
      </c>
    </row>
    <row r="71" spans="1:6" ht="20.25" customHeight="1" x14ac:dyDescent="0.3">
      <c r="A71" s="256">
        <v>6</v>
      </c>
      <c r="B71" s="257" t="s">
        <v>380</v>
      </c>
      <c r="C71" s="260">
        <v>10</v>
      </c>
      <c r="D71" s="260">
        <v>102</v>
      </c>
      <c r="E71" s="260">
        <f t="shared" si="8"/>
        <v>92</v>
      </c>
      <c r="F71" s="259">
        <f t="shared" si="9"/>
        <v>9.1999999999999993</v>
      </c>
    </row>
    <row r="72" spans="1:6" ht="20.25" customHeight="1" x14ac:dyDescent="0.3">
      <c r="A72" s="256">
        <v>7</v>
      </c>
      <c r="B72" s="257" t="s">
        <v>445</v>
      </c>
      <c r="C72" s="260">
        <v>95</v>
      </c>
      <c r="D72" s="260">
        <v>228</v>
      </c>
      <c r="E72" s="260">
        <f t="shared" si="8"/>
        <v>133</v>
      </c>
      <c r="F72" s="259">
        <f t="shared" si="9"/>
        <v>1.4</v>
      </c>
    </row>
    <row r="73" spans="1:6" ht="20.25" customHeight="1" x14ac:dyDescent="0.3">
      <c r="A73" s="256">
        <v>8</v>
      </c>
      <c r="B73" s="257" t="s">
        <v>446</v>
      </c>
      <c r="C73" s="260">
        <v>27</v>
      </c>
      <c r="D73" s="260">
        <v>38</v>
      </c>
      <c r="E73" s="260">
        <f t="shared" si="8"/>
        <v>11</v>
      </c>
      <c r="F73" s="259">
        <f t="shared" si="9"/>
        <v>0.40740740740740738</v>
      </c>
    </row>
    <row r="74" spans="1:6" ht="20.25" customHeight="1" x14ac:dyDescent="0.3">
      <c r="A74" s="256">
        <v>9</v>
      </c>
      <c r="B74" s="257" t="s">
        <v>447</v>
      </c>
      <c r="C74" s="260">
        <v>6</v>
      </c>
      <c r="D74" s="260">
        <v>10</v>
      </c>
      <c r="E74" s="260">
        <f t="shared" si="8"/>
        <v>4</v>
      </c>
      <c r="F74" s="259">
        <f t="shared" si="9"/>
        <v>0.66666666666666663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276030</v>
      </c>
      <c r="D75" s="263">
        <f>+D66+D68</f>
        <v>537777</v>
      </c>
      <c r="E75" s="263">
        <f t="shared" si="8"/>
        <v>261747</v>
      </c>
      <c r="F75" s="264">
        <f t="shared" si="9"/>
        <v>0.94825562438865341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102913</v>
      </c>
      <c r="D76" s="263">
        <f>+D67+D69</f>
        <v>248286</v>
      </c>
      <c r="E76" s="263">
        <f t="shared" si="8"/>
        <v>145373</v>
      </c>
      <c r="F76" s="264">
        <f t="shared" si="9"/>
        <v>1.4125815008793836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1569473</v>
      </c>
      <c r="D92" s="258">
        <v>1905630</v>
      </c>
      <c r="E92" s="258">
        <f t="shared" ref="E92:E102" si="12">D92-C92</f>
        <v>336157</v>
      </c>
      <c r="F92" s="259">
        <f t="shared" ref="F92:F102" si="13">IF(C92=0,0,E92/C92)</f>
        <v>0.21418463395037698</v>
      </c>
    </row>
    <row r="93" spans="1:6" ht="20.25" customHeight="1" x14ac:dyDescent="0.3">
      <c r="A93" s="256">
        <v>2</v>
      </c>
      <c r="B93" s="257" t="s">
        <v>442</v>
      </c>
      <c r="C93" s="258">
        <v>928699</v>
      </c>
      <c r="D93" s="258">
        <v>1020381</v>
      </c>
      <c r="E93" s="258">
        <f t="shared" si="12"/>
        <v>91682</v>
      </c>
      <c r="F93" s="259">
        <f t="shared" si="13"/>
        <v>9.8720898805748691E-2</v>
      </c>
    </row>
    <row r="94" spans="1:6" ht="20.25" customHeight="1" x14ac:dyDescent="0.3">
      <c r="A94" s="256">
        <v>3</v>
      </c>
      <c r="B94" s="257" t="s">
        <v>443</v>
      </c>
      <c r="C94" s="258">
        <v>2562716</v>
      </c>
      <c r="D94" s="258">
        <v>2584685</v>
      </c>
      <c r="E94" s="258">
        <f t="shared" si="12"/>
        <v>21969</v>
      </c>
      <c r="F94" s="259">
        <f t="shared" si="13"/>
        <v>8.5725456898072209E-3</v>
      </c>
    </row>
    <row r="95" spans="1:6" ht="20.25" customHeight="1" x14ac:dyDescent="0.3">
      <c r="A95" s="256">
        <v>4</v>
      </c>
      <c r="B95" s="257" t="s">
        <v>444</v>
      </c>
      <c r="C95" s="258">
        <v>826639</v>
      </c>
      <c r="D95" s="258">
        <v>837564</v>
      </c>
      <c r="E95" s="258">
        <f t="shared" si="12"/>
        <v>10925</v>
      </c>
      <c r="F95" s="259">
        <f t="shared" si="13"/>
        <v>1.3216168121755687E-2</v>
      </c>
    </row>
    <row r="96" spans="1:6" ht="20.25" customHeight="1" x14ac:dyDescent="0.3">
      <c r="A96" s="256">
        <v>5</v>
      </c>
      <c r="B96" s="257" t="s">
        <v>381</v>
      </c>
      <c r="C96" s="260">
        <v>90</v>
      </c>
      <c r="D96" s="260">
        <v>92</v>
      </c>
      <c r="E96" s="260">
        <f t="shared" si="12"/>
        <v>2</v>
      </c>
      <c r="F96" s="259">
        <f t="shared" si="13"/>
        <v>2.2222222222222223E-2</v>
      </c>
    </row>
    <row r="97" spans="1:6" ht="20.25" customHeight="1" x14ac:dyDescent="0.3">
      <c r="A97" s="256">
        <v>6</v>
      </c>
      <c r="B97" s="257" t="s">
        <v>380</v>
      </c>
      <c r="C97" s="260">
        <v>425</v>
      </c>
      <c r="D97" s="260">
        <v>413</v>
      </c>
      <c r="E97" s="260">
        <f t="shared" si="12"/>
        <v>-12</v>
      </c>
      <c r="F97" s="259">
        <f t="shared" si="13"/>
        <v>-2.823529411764706E-2</v>
      </c>
    </row>
    <row r="98" spans="1:6" ht="20.25" customHeight="1" x14ac:dyDescent="0.3">
      <c r="A98" s="256">
        <v>7</v>
      </c>
      <c r="B98" s="257" t="s">
        <v>445</v>
      </c>
      <c r="C98" s="260">
        <v>2830</v>
      </c>
      <c r="D98" s="260">
        <v>2886</v>
      </c>
      <c r="E98" s="260">
        <f t="shared" si="12"/>
        <v>56</v>
      </c>
      <c r="F98" s="259">
        <f t="shared" si="13"/>
        <v>1.9787985865724382E-2</v>
      </c>
    </row>
    <row r="99" spans="1:6" ht="20.25" customHeight="1" x14ac:dyDescent="0.3">
      <c r="A99" s="256">
        <v>8</v>
      </c>
      <c r="B99" s="257" t="s">
        <v>446</v>
      </c>
      <c r="C99" s="260">
        <v>281</v>
      </c>
      <c r="D99" s="260">
        <v>292</v>
      </c>
      <c r="E99" s="260">
        <f t="shared" si="12"/>
        <v>11</v>
      </c>
      <c r="F99" s="259">
        <f t="shared" si="13"/>
        <v>3.9145907473309607E-2</v>
      </c>
    </row>
    <row r="100" spans="1:6" ht="20.25" customHeight="1" x14ac:dyDescent="0.3">
      <c r="A100" s="256">
        <v>9</v>
      </c>
      <c r="B100" s="257" t="s">
        <v>447</v>
      </c>
      <c r="C100" s="260">
        <v>78</v>
      </c>
      <c r="D100" s="260">
        <v>77</v>
      </c>
      <c r="E100" s="260">
        <f t="shared" si="12"/>
        <v>-1</v>
      </c>
      <c r="F100" s="259">
        <f t="shared" si="13"/>
        <v>-1.282051282051282E-2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4132189</v>
      </c>
      <c r="D101" s="263">
        <f>+D92+D94</f>
        <v>4490315</v>
      </c>
      <c r="E101" s="263">
        <f t="shared" si="12"/>
        <v>358126</v>
      </c>
      <c r="F101" s="264">
        <f t="shared" si="13"/>
        <v>8.6667381380667735E-2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1755338</v>
      </c>
      <c r="D102" s="263">
        <f>+D93+D95</f>
        <v>1857945</v>
      </c>
      <c r="E102" s="263">
        <f t="shared" si="12"/>
        <v>102607</v>
      </c>
      <c r="F102" s="264">
        <f t="shared" si="13"/>
        <v>5.8454269206272523E-2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3281971</v>
      </c>
      <c r="D118" s="258">
        <v>4985569</v>
      </c>
      <c r="E118" s="258">
        <f t="shared" ref="E118:E128" si="16">D118-C118</f>
        <v>1703598</v>
      </c>
      <c r="F118" s="259">
        <f t="shared" ref="F118:F128" si="17">IF(C118=0,0,E118/C118)</f>
        <v>0.51907771275248926</v>
      </c>
    </row>
    <row r="119" spans="1:6" ht="20.25" customHeight="1" x14ac:dyDescent="0.3">
      <c r="A119" s="256">
        <v>2</v>
      </c>
      <c r="B119" s="257" t="s">
        <v>442</v>
      </c>
      <c r="C119" s="258">
        <v>1669411</v>
      </c>
      <c r="D119" s="258">
        <v>2394838</v>
      </c>
      <c r="E119" s="258">
        <f t="shared" si="16"/>
        <v>725427</v>
      </c>
      <c r="F119" s="259">
        <f t="shared" si="17"/>
        <v>0.43454068530757256</v>
      </c>
    </row>
    <row r="120" spans="1:6" ht="20.25" customHeight="1" x14ac:dyDescent="0.3">
      <c r="A120" s="256">
        <v>3</v>
      </c>
      <c r="B120" s="257" t="s">
        <v>443</v>
      </c>
      <c r="C120" s="258">
        <v>3507075</v>
      </c>
      <c r="D120" s="258">
        <v>5056975</v>
      </c>
      <c r="E120" s="258">
        <f t="shared" si="16"/>
        <v>1549900</v>
      </c>
      <c r="F120" s="259">
        <f t="shared" si="17"/>
        <v>0.44193523092605663</v>
      </c>
    </row>
    <row r="121" spans="1:6" ht="20.25" customHeight="1" x14ac:dyDescent="0.3">
      <c r="A121" s="256">
        <v>4</v>
      </c>
      <c r="B121" s="257" t="s">
        <v>444</v>
      </c>
      <c r="C121" s="258">
        <v>1188635</v>
      </c>
      <c r="D121" s="258">
        <v>1409797</v>
      </c>
      <c r="E121" s="258">
        <f t="shared" si="16"/>
        <v>221162</v>
      </c>
      <c r="F121" s="259">
        <f t="shared" si="17"/>
        <v>0.18606384634475681</v>
      </c>
    </row>
    <row r="122" spans="1:6" ht="20.25" customHeight="1" x14ac:dyDescent="0.3">
      <c r="A122" s="256">
        <v>5</v>
      </c>
      <c r="B122" s="257" t="s">
        <v>381</v>
      </c>
      <c r="C122" s="260">
        <v>166</v>
      </c>
      <c r="D122" s="260">
        <v>199</v>
      </c>
      <c r="E122" s="260">
        <f t="shared" si="16"/>
        <v>33</v>
      </c>
      <c r="F122" s="259">
        <f t="shared" si="17"/>
        <v>0.19879518072289157</v>
      </c>
    </row>
    <row r="123" spans="1:6" ht="20.25" customHeight="1" x14ac:dyDescent="0.3">
      <c r="A123" s="256">
        <v>6</v>
      </c>
      <c r="B123" s="257" t="s">
        <v>380</v>
      </c>
      <c r="C123" s="260">
        <v>789</v>
      </c>
      <c r="D123" s="260">
        <v>1116</v>
      </c>
      <c r="E123" s="260">
        <f t="shared" si="16"/>
        <v>327</v>
      </c>
      <c r="F123" s="259">
        <f t="shared" si="17"/>
        <v>0.4144486692015209</v>
      </c>
    </row>
    <row r="124" spans="1:6" ht="20.25" customHeight="1" x14ac:dyDescent="0.3">
      <c r="A124" s="256">
        <v>7</v>
      </c>
      <c r="B124" s="257" t="s">
        <v>445</v>
      </c>
      <c r="C124" s="260">
        <v>4534</v>
      </c>
      <c r="D124" s="260">
        <v>5852</v>
      </c>
      <c r="E124" s="260">
        <f t="shared" si="16"/>
        <v>1318</v>
      </c>
      <c r="F124" s="259">
        <f t="shared" si="17"/>
        <v>0.29069254521393911</v>
      </c>
    </row>
    <row r="125" spans="1:6" ht="20.25" customHeight="1" x14ac:dyDescent="0.3">
      <c r="A125" s="256">
        <v>8</v>
      </c>
      <c r="B125" s="257" t="s">
        <v>446</v>
      </c>
      <c r="C125" s="260">
        <v>419</v>
      </c>
      <c r="D125" s="260">
        <v>489</v>
      </c>
      <c r="E125" s="260">
        <f t="shared" si="16"/>
        <v>70</v>
      </c>
      <c r="F125" s="259">
        <f t="shared" si="17"/>
        <v>0.16706443914081145</v>
      </c>
    </row>
    <row r="126" spans="1:6" ht="20.25" customHeight="1" x14ac:dyDescent="0.3">
      <c r="A126" s="256">
        <v>9</v>
      </c>
      <c r="B126" s="257" t="s">
        <v>447</v>
      </c>
      <c r="C126" s="260">
        <v>147</v>
      </c>
      <c r="D126" s="260">
        <v>159</v>
      </c>
      <c r="E126" s="260">
        <f t="shared" si="16"/>
        <v>12</v>
      </c>
      <c r="F126" s="259">
        <f t="shared" si="17"/>
        <v>8.1632653061224483E-2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6789046</v>
      </c>
      <c r="D127" s="263">
        <f>+D118+D120</f>
        <v>10042544</v>
      </c>
      <c r="E127" s="263">
        <f t="shared" si="16"/>
        <v>3253498</v>
      </c>
      <c r="F127" s="264">
        <f t="shared" si="17"/>
        <v>0.47922756746676926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2858046</v>
      </c>
      <c r="D128" s="263">
        <f>+D119+D121</f>
        <v>3804635</v>
      </c>
      <c r="E128" s="263">
        <f t="shared" si="16"/>
        <v>946589</v>
      </c>
      <c r="F128" s="264">
        <f t="shared" si="17"/>
        <v>0.33120145721937294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9318141</v>
      </c>
      <c r="D198" s="263">
        <f t="shared" si="28"/>
        <v>11410624</v>
      </c>
      <c r="E198" s="263">
        <f t="shared" ref="E198:E208" si="29">D198-C198</f>
        <v>2092483</v>
      </c>
      <c r="F198" s="273">
        <f t="shared" ref="F198:F208" si="30">IF(C198=0,0,E198/C198)</f>
        <v>0.22456013490244459</v>
      </c>
    </row>
    <row r="199" spans="1:9" ht="20.25" customHeight="1" x14ac:dyDescent="0.3">
      <c r="A199" s="271"/>
      <c r="B199" s="272" t="s">
        <v>466</v>
      </c>
      <c r="C199" s="263">
        <f t="shared" si="28"/>
        <v>5105109</v>
      </c>
      <c r="D199" s="263">
        <f t="shared" si="28"/>
        <v>5967701</v>
      </c>
      <c r="E199" s="263">
        <f t="shared" si="29"/>
        <v>862592</v>
      </c>
      <c r="F199" s="273">
        <f t="shared" si="30"/>
        <v>0.16896642167679476</v>
      </c>
    </row>
    <row r="200" spans="1:9" ht="20.25" customHeight="1" x14ac:dyDescent="0.3">
      <c r="A200" s="271"/>
      <c r="B200" s="272" t="s">
        <v>467</v>
      </c>
      <c r="C200" s="263">
        <f t="shared" si="28"/>
        <v>11342642</v>
      </c>
      <c r="D200" s="263">
        <f t="shared" si="28"/>
        <v>13410536</v>
      </c>
      <c r="E200" s="263">
        <f t="shared" si="29"/>
        <v>2067894</v>
      </c>
      <c r="F200" s="273">
        <f t="shared" si="30"/>
        <v>0.18231149321295692</v>
      </c>
    </row>
    <row r="201" spans="1:9" ht="20.25" customHeight="1" x14ac:dyDescent="0.3">
      <c r="A201" s="271"/>
      <c r="B201" s="272" t="s">
        <v>468</v>
      </c>
      <c r="C201" s="263">
        <f t="shared" si="28"/>
        <v>3879856</v>
      </c>
      <c r="D201" s="263">
        <f t="shared" si="28"/>
        <v>3775636</v>
      </c>
      <c r="E201" s="263">
        <f t="shared" si="29"/>
        <v>-104220</v>
      </c>
      <c r="F201" s="273">
        <f t="shared" si="30"/>
        <v>-2.6861821675856011E-2</v>
      </c>
    </row>
    <row r="202" spans="1:9" ht="20.25" customHeight="1" x14ac:dyDescent="0.3">
      <c r="A202" s="271"/>
      <c r="B202" s="272" t="s">
        <v>138</v>
      </c>
      <c r="C202" s="274">
        <f t="shared" si="28"/>
        <v>457</v>
      </c>
      <c r="D202" s="274">
        <f t="shared" si="28"/>
        <v>521</v>
      </c>
      <c r="E202" s="274">
        <f t="shared" si="29"/>
        <v>64</v>
      </c>
      <c r="F202" s="273">
        <f t="shared" si="30"/>
        <v>0.14004376367614879</v>
      </c>
    </row>
    <row r="203" spans="1:9" ht="20.25" customHeight="1" x14ac:dyDescent="0.3">
      <c r="A203" s="271"/>
      <c r="B203" s="272" t="s">
        <v>140</v>
      </c>
      <c r="C203" s="274">
        <f t="shared" si="28"/>
        <v>2237</v>
      </c>
      <c r="D203" s="274">
        <f t="shared" si="28"/>
        <v>2579</v>
      </c>
      <c r="E203" s="274">
        <f t="shared" si="29"/>
        <v>342</v>
      </c>
      <c r="F203" s="273">
        <f t="shared" si="30"/>
        <v>0.15288332588287887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14371</v>
      </c>
      <c r="D204" s="274">
        <f t="shared" si="28"/>
        <v>16159</v>
      </c>
      <c r="E204" s="274">
        <f t="shared" si="29"/>
        <v>1788</v>
      </c>
      <c r="F204" s="273">
        <f t="shared" si="30"/>
        <v>0.12441722914202213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1280</v>
      </c>
      <c r="D205" s="274">
        <f t="shared" si="28"/>
        <v>1470</v>
      </c>
      <c r="E205" s="274">
        <f t="shared" si="29"/>
        <v>190</v>
      </c>
      <c r="F205" s="273">
        <f t="shared" si="30"/>
        <v>0.1484375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393</v>
      </c>
      <c r="D206" s="274">
        <f t="shared" si="28"/>
        <v>438</v>
      </c>
      <c r="E206" s="274">
        <f t="shared" si="29"/>
        <v>45</v>
      </c>
      <c r="F206" s="273">
        <f t="shared" si="30"/>
        <v>0.11450381679389313</v>
      </c>
    </row>
    <row r="207" spans="1:9" ht="20.25" customHeight="1" x14ac:dyDescent="0.3">
      <c r="A207" s="271"/>
      <c r="B207" s="262" t="s">
        <v>471</v>
      </c>
      <c r="C207" s="263">
        <f>+C198+C200</f>
        <v>20660783</v>
      </c>
      <c r="D207" s="263">
        <f>+D198+D200</f>
        <v>24821160</v>
      </c>
      <c r="E207" s="263">
        <f t="shared" si="29"/>
        <v>4160377</v>
      </c>
      <c r="F207" s="273">
        <f t="shared" si="30"/>
        <v>0.20136589208647127</v>
      </c>
    </row>
    <row r="208" spans="1:9" ht="20.25" customHeight="1" x14ac:dyDescent="0.3">
      <c r="A208" s="271"/>
      <c r="B208" s="262" t="s">
        <v>472</v>
      </c>
      <c r="C208" s="263">
        <f>+C199+C201</f>
        <v>8984965</v>
      </c>
      <c r="D208" s="263">
        <f>+D199+D201</f>
        <v>9743337</v>
      </c>
      <c r="E208" s="263">
        <f t="shared" si="29"/>
        <v>758372</v>
      </c>
      <c r="F208" s="273">
        <f t="shared" si="30"/>
        <v>8.4404558058935125E-2</v>
      </c>
    </row>
  </sheetData>
  <mergeCells count="12"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  <mergeCell ref="G195:I196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FILING&amp;RCHARLOTTE HUNGERFORD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FILING&amp;RCHARLOTTE HUNGERFORD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7223350</v>
      </c>
      <c r="D13" s="22">
        <v>5598887</v>
      </c>
      <c r="E13" s="22">
        <f t="shared" ref="E13:E22" si="0">D13-C13</f>
        <v>-1624463</v>
      </c>
      <c r="F13" s="306">
        <f t="shared" ref="F13:F22" si="1">IF(C13=0,0,E13/C13)</f>
        <v>-0.22489052863283657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13152579</v>
      </c>
      <c r="D15" s="22">
        <v>13732468</v>
      </c>
      <c r="E15" s="22">
        <f t="shared" si="0"/>
        <v>579889</v>
      </c>
      <c r="F15" s="306">
        <f t="shared" si="1"/>
        <v>4.4089375931518827E-2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1952261</v>
      </c>
      <c r="D19" s="22">
        <v>1969907</v>
      </c>
      <c r="E19" s="22">
        <f t="shared" si="0"/>
        <v>17646</v>
      </c>
      <c r="F19" s="306">
        <f t="shared" si="1"/>
        <v>9.0387504539608185E-3</v>
      </c>
    </row>
    <row r="20" spans="1:11" ht="24" customHeight="1" x14ac:dyDescent="0.2">
      <c r="A20" s="304">
        <v>8</v>
      </c>
      <c r="B20" s="305" t="s">
        <v>23</v>
      </c>
      <c r="C20" s="22">
        <v>0</v>
      </c>
      <c r="D20" s="22">
        <v>0</v>
      </c>
      <c r="E20" s="22">
        <f t="shared" si="0"/>
        <v>0</v>
      </c>
      <c r="F20" s="306">
        <f t="shared" si="1"/>
        <v>0</v>
      </c>
    </row>
    <row r="21" spans="1:11" ht="24" customHeight="1" x14ac:dyDescent="0.2">
      <c r="A21" s="304">
        <v>9</v>
      </c>
      <c r="B21" s="305" t="s">
        <v>24</v>
      </c>
      <c r="C21" s="22">
        <v>2171770</v>
      </c>
      <c r="D21" s="22">
        <v>1624373</v>
      </c>
      <c r="E21" s="22">
        <f t="shared" si="0"/>
        <v>-547397</v>
      </c>
      <c r="F21" s="306">
        <f t="shared" si="1"/>
        <v>-0.25205109196646053</v>
      </c>
    </row>
    <row r="22" spans="1:11" ht="24" customHeight="1" x14ac:dyDescent="0.25">
      <c r="A22" s="307"/>
      <c r="B22" s="308" t="s">
        <v>25</v>
      </c>
      <c r="C22" s="309">
        <f>SUM(C13:C21)</f>
        <v>24499960</v>
      </c>
      <c r="D22" s="309">
        <f>SUM(D13:D21)</f>
        <v>22925635</v>
      </c>
      <c r="E22" s="309">
        <f t="shared" si="0"/>
        <v>-1574325</v>
      </c>
      <c r="F22" s="310">
        <f t="shared" si="1"/>
        <v>-6.4258268176764374E-2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22585921</v>
      </c>
      <c r="D25" s="22">
        <v>23198753</v>
      </c>
      <c r="E25" s="22">
        <f>D25-C25</f>
        <v>612832</v>
      </c>
      <c r="F25" s="306">
        <f>IF(C25=0,0,E25/C25)</f>
        <v>2.713336330185517E-2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7260499</v>
      </c>
      <c r="D28" s="22">
        <v>6997698</v>
      </c>
      <c r="E28" s="22">
        <f>D28-C28</f>
        <v>-262801</v>
      </c>
      <c r="F28" s="306">
        <f>IF(C28=0,0,E28/C28)</f>
        <v>-3.6195996996900626E-2</v>
      </c>
    </row>
    <row r="29" spans="1:11" ht="35.1" customHeight="1" x14ac:dyDescent="0.25">
      <c r="A29" s="307"/>
      <c r="B29" s="308" t="s">
        <v>32</v>
      </c>
      <c r="C29" s="309">
        <f>SUM(C25:C28)</f>
        <v>29846420</v>
      </c>
      <c r="D29" s="309">
        <f>SUM(D25:D28)</f>
        <v>30196451</v>
      </c>
      <c r="E29" s="309">
        <f>D29-C29</f>
        <v>350031</v>
      </c>
      <c r="F29" s="310">
        <f>IF(C29=0,0,E29/C29)</f>
        <v>1.1727738201097486E-2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39735759</v>
      </c>
      <c r="D32" s="22">
        <v>39204252</v>
      </c>
      <c r="E32" s="22">
        <f>D32-C32</f>
        <v>-531507</v>
      </c>
      <c r="F32" s="306">
        <f>IF(C32=0,0,E32/C32)</f>
        <v>-1.3376037437714478E-2</v>
      </c>
    </row>
    <row r="33" spans="1:8" ht="24" customHeight="1" x14ac:dyDescent="0.2">
      <c r="A33" s="304">
        <v>7</v>
      </c>
      <c r="B33" s="305" t="s">
        <v>35</v>
      </c>
      <c r="C33" s="22">
        <v>1077802</v>
      </c>
      <c r="D33" s="22">
        <v>1088648</v>
      </c>
      <c r="E33" s="22">
        <f>D33-C33</f>
        <v>10846</v>
      </c>
      <c r="F33" s="306">
        <f>IF(C33=0,0,E33/C33)</f>
        <v>1.0063072809291503E-2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154679979</v>
      </c>
      <c r="D36" s="22">
        <v>160046200</v>
      </c>
      <c r="E36" s="22">
        <f>D36-C36</f>
        <v>5366221</v>
      </c>
      <c r="F36" s="306">
        <f>IF(C36=0,0,E36/C36)</f>
        <v>3.4692408382082852E-2</v>
      </c>
    </row>
    <row r="37" spans="1:8" ht="24" customHeight="1" x14ac:dyDescent="0.2">
      <c r="A37" s="304">
        <v>2</v>
      </c>
      <c r="B37" s="305" t="s">
        <v>39</v>
      </c>
      <c r="C37" s="22">
        <v>116381671</v>
      </c>
      <c r="D37" s="22">
        <v>120950456</v>
      </c>
      <c r="E37" s="22">
        <f>D37-C37</f>
        <v>4568785</v>
      </c>
      <c r="F37" s="22">
        <f>IF(C37=0,0,E37/C37)</f>
        <v>3.9256911855132241E-2</v>
      </c>
    </row>
    <row r="38" spans="1:8" ht="24" customHeight="1" x14ac:dyDescent="0.25">
      <c r="A38" s="307"/>
      <c r="B38" s="308" t="s">
        <v>40</v>
      </c>
      <c r="C38" s="309">
        <f>C36-C37</f>
        <v>38298308</v>
      </c>
      <c r="D38" s="309">
        <f>D36-D37</f>
        <v>39095744</v>
      </c>
      <c r="E38" s="309">
        <f>D38-C38</f>
        <v>797436</v>
      </c>
      <c r="F38" s="310">
        <f>IF(C38=0,0,E38/C38)</f>
        <v>2.082170314155915E-2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941793</v>
      </c>
      <c r="D40" s="22">
        <v>737026</v>
      </c>
      <c r="E40" s="22">
        <f>D40-C40</f>
        <v>-204767</v>
      </c>
      <c r="F40" s="306">
        <f>IF(C40=0,0,E40/C40)</f>
        <v>-0.2174225121656245</v>
      </c>
    </row>
    <row r="41" spans="1:8" ht="24" customHeight="1" x14ac:dyDescent="0.25">
      <c r="A41" s="307"/>
      <c r="B41" s="308" t="s">
        <v>42</v>
      </c>
      <c r="C41" s="309">
        <f>+C38+C40</f>
        <v>39240101</v>
      </c>
      <c r="D41" s="309">
        <f>+D38+D40</f>
        <v>39832770</v>
      </c>
      <c r="E41" s="309">
        <f>D41-C41</f>
        <v>592669</v>
      </c>
      <c r="F41" s="310">
        <f>IF(C41=0,0,E41/C41)</f>
        <v>1.5103656333606276E-2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134400042</v>
      </c>
      <c r="D43" s="309">
        <f>D22+D29+D31+D32+D33+D41</f>
        <v>133247756</v>
      </c>
      <c r="E43" s="309">
        <f>D43-C43</f>
        <v>-1152286</v>
      </c>
      <c r="F43" s="310">
        <f>IF(C43=0,0,E43/C43)</f>
        <v>-8.5735538683834635E-3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7275470</v>
      </c>
      <c r="D49" s="22">
        <v>8062260</v>
      </c>
      <c r="E49" s="22">
        <f t="shared" ref="E49:E56" si="2">D49-C49</f>
        <v>786790</v>
      </c>
      <c r="F49" s="306">
        <f t="shared" ref="F49:F56" si="3">IF(C49=0,0,E49/C49)</f>
        <v>0.10814284163084996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4456310</v>
      </c>
      <c r="D50" s="22">
        <v>4471292</v>
      </c>
      <c r="E50" s="22">
        <f t="shared" si="2"/>
        <v>14982</v>
      </c>
      <c r="F50" s="306">
        <f t="shared" si="3"/>
        <v>3.3619743689285529E-3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1877375</v>
      </c>
      <c r="D51" s="22">
        <v>2797659</v>
      </c>
      <c r="E51" s="22">
        <f t="shared" si="2"/>
        <v>920284</v>
      </c>
      <c r="F51" s="306">
        <f t="shared" si="3"/>
        <v>0.4901972168586457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0</v>
      </c>
      <c r="D53" s="22">
        <v>0</v>
      </c>
      <c r="E53" s="22">
        <f t="shared" si="2"/>
        <v>0</v>
      </c>
      <c r="F53" s="306">
        <f t="shared" si="3"/>
        <v>0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715526</v>
      </c>
      <c r="D55" s="22">
        <v>531004</v>
      </c>
      <c r="E55" s="22">
        <f t="shared" si="2"/>
        <v>-184522</v>
      </c>
      <c r="F55" s="306">
        <f t="shared" si="3"/>
        <v>-0.25788301193807073</v>
      </c>
    </row>
    <row r="56" spans="1:6" ht="24" customHeight="1" x14ac:dyDescent="0.25">
      <c r="A56" s="307"/>
      <c r="B56" s="308" t="s">
        <v>54</v>
      </c>
      <c r="C56" s="309">
        <f>SUM(C49:C55)</f>
        <v>14324681</v>
      </c>
      <c r="D56" s="309">
        <f>SUM(D49:D55)</f>
        <v>15862215</v>
      </c>
      <c r="E56" s="309">
        <f t="shared" si="2"/>
        <v>1537534</v>
      </c>
      <c r="F56" s="310">
        <f t="shared" si="3"/>
        <v>0.10733460661357834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0</v>
      </c>
      <c r="D61" s="309">
        <f>SUM(D59:D60)</f>
        <v>0</v>
      </c>
      <c r="E61" s="309">
        <f>D61-C61</f>
        <v>0</v>
      </c>
      <c r="F61" s="310">
        <f>IF(C61=0,0,E61/C61)</f>
        <v>0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31585188</v>
      </c>
      <c r="D63" s="22">
        <v>42419641</v>
      </c>
      <c r="E63" s="22">
        <f>D63-C63</f>
        <v>10834453</v>
      </c>
      <c r="F63" s="306">
        <f>IF(C63=0,0,E63/C63)</f>
        <v>0.34302322341725494</v>
      </c>
    </row>
    <row r="64" spans="1:6" ht="24" customHeight="1" x14ac:dyDescent="0.2">
      <c r="A64" s="304">
        <v>4</v>
      </c>
      <c r="B64" s="305" t="s">
        <v>60</v>
      </c>
      <c r="C64" s="22">
        <v>3971340</v>
      </c>
      <c r="D64" s="22">
        <v>3763019</v>
      </c>
      <c r="E64" s="22">
        <f>D64-C64</f>
        <v>-208321</v>
      </c>
      <c r="F64" s="306">
        <f>IF(C64=0,0,E64/C64)</f>
        <v>-5.2456097941752655E-2</v>
      </c>
    </row>
    <row r="65" spans="1:6" ht="24" customHeight="1" x14ac:dyDescent="0.25">
      <c r="A65" s="307"/>
      <c r="B65" s="308" t="s">
        <v>61</v>
      </c>
      <c r="C65" s="309">
        <f>SUM(C61:C64)</f>
        <v>35556528</v>
      </c>
      <c r="D65" s="309">
        <f>SUM(D61:D64)</f>
        <v>46182660</v>
      </c>
      <c r="E65" s="309">
        <f>D65-C65</f>
        <v>10626132</v>
      </c>
      <c r="F65" s="310">
        <f>IF(C65=0,0,E65/C65)</f>
        <v>0.2988517889035735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59368912</v>
      </c>
      <c r="D70" s="22">
        <v>44560677</v>
      </c>
      <c r="E70" s="22">
        <f>D70-C70</f>
        <v>-14808235</v>
      </c>
      <c r="F70" s="306">
        <f>IF(C70=0,0,E70/C70)</f>
        <v>-0.24942742760722986</v>
      </c>
    </row>
    <row r="71" spans="1:6" ht="24" customHeight="1" x14ac:dyDescent="0.2">
      <c r="A71" s="304">
        <v>2</v>
      </c>
      <c r="B71" s="305" t="s">
        <v>65</v>
      </c>
      <c r="C71" s="22">
        <v>3508118</v>
      </c>
      <c r="D71" s="22">
        <v>3245317</v>
      </c>
      <c r="E71" s="22">
        <f>D71-C71</f>
        <v>-262801</v>
      </c>
      <c r="F71" s="306">
        <f>IF(C71=0,0,E71/C71)</f>
        <v>-7.4912246395360704E-2</v>
      </c>
    </row>
    <row r="72" spans="1:6" ht="24" customHeight="1" x14ac:dyDescent="0.2">
      <c r="A72" s="304">
        <v>3</v>
      </c>
      <c r="B72" s="305" t="s">
        <v>66</v>
      </c>
      <c r="C72" s="22">
        <v>21641803</v>
      </c>
      <c r="D72" s="22">
        <v>23396887</v>
      </c>
      <c r="E72" s="22">
        <f>D72-C72</f>
        <v>1755084</v>
      </c>
      <c r="F72" s="306">
        <f>IF(C72=0,0,E72/C72)</f>
        <v>8.1096940028517958E-2</v>
      </c>
    </row>
    <row r="73" spans="1:6" ht="24" customHeight="1" x14ac:dyDescent="0.25">
      <c r="A73" s="304"/>
      <c r="B73" s="308" t="s">
        <v>67</v>
      </c>
      <c r="C73" s="309">
        <f>SUM(C70:C72)</f>
        <v>84518833</v>
      </c>
      <c r="D73" s="309">
        <f>SUM(D70:D72)</f>
        <v>71202881</v>
      </c>
      <c r="E73" s="309">
        <f>D73-C73</f>
        <v>-13315952</v>
      </c>
      <c r="F73" s="310">
        <f>IF(C73=0,0,E73/C73)</f>
        <v>-0.15755011667044669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134400042</v>
      </c>
      <c r="D75" s="309">
        <f>D56+D65+D67+D73</f>
        <v>133247756</v>
      </c>
      <c r="E75" s="309">
        <f>D75-C75</f>
        <v>-1152286</v>
      </c>
      <c r="F75" s="310">
        <f>IF(C75=0,0,E75/C75)</f>
        <v>-8.5735538683834635E-3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2" orientation="portrait" horizontalDpi="1200" verticalDpi="1200" r:id="rId1"/>
  <headerFooter>
    <oddHeader>&amp;LOFFICE OF HEALTH CARE ACCESS&amp;CTWELVE MONTHS ACTUAL FILING&amp;RTHE CHARLOTTE HUNGERFORD HOSPITAL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268038155</v>
      </c>
      <c r="D11" s="76">
        <v>285320074</v>
      </c>
      <c r="E11" s="76">
        <f t="shared" ref="E11:E20" si="0">D11-C11</f>
        <v>17281919</v>
      </c>
      <c r="F11" s="77">
        <f t="shared" ref="F11:F20" si="1">IF(C11=0,0,E11/C11)</f>
        <v>6.4475593036372E-2</v>
      </c>
    </row>
    <row r="12" spans="1:7" ht="23.1" customHeight="1" x14ac:dyDescent="0.2">
      <c r="A12" s="74">
        <v>2</v>
      </c>
      <c r="B12" s="75" t="s">
        <v>72</v>
      </c>
      <c r="C12" s="76">
        <v>147781220</v>
      </c>
      <c r="D12" s="76">
        <v>167576462</v>
      </c>
      <c r="E12" s="76">
        <f t="shared" si="0"/>
        <v>19795242</v>
      </c>
      <c r="F12" s="77">
        <f t="shared" si="1"/>
        <v>0.13394964529322467</v>
      </c>
    </row>
    <row r="13" spans="1:7" ht="23.1" customHeight="1" x14ac:dyDescent="0.2">
      <c r="A13" s="74">
        <v>3</v>
      </c>
      <c r="B13" s="75" t="s">
        <v>73</v>
      </c>
      <c r="C13" s="76">
        <v>2935378</v>
      </c>
      <c r="D13" s="76">
        <v>1613966</v>
      </c>
      <c r="E13" s="76">
        <f t="shared" si="0"/>
        <v>-1321412</v>
      </c>
      <c r="F13" s="77">
        <f t="shared" si="1"/>
        <v>-0.45016757637346877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117321557</v>
      </c>
      <c r="D15" s="79">
        <f>D11-D12-D13-D14</f>
        <v>116129646</v>
      </c>
      <c r="E15" s="79">
        <f t="shared" si="0"/>
        <v>-1191911</v>
      </c>
      <c r="F15" s="80">
        <f t="shared" si="1"/>
        <v>-1.015935204473974E-2</v>
      </c>
    </row>
    <row r="16" spans="1:7" ht="23.1" customHeight="1" x14ac:dyDescent="0.2">
      <c r="A16" s="74">
        <v>5</v>
      </c>
      <c r="B16" s="75" t="s">
        <v>76</v>
      </c>
      <c r="C16" s="76">
        <v>2699503</v>
      </c>
      <c r="D16" s="76">
        <v>2393914</v>
      </c>
      <c r="E16" s="76">
        <f t="shared" si="0"/>
        <v>-305589</v>
      </c>
      <c r="F16" s="77">
        <f t="shared" si="1"/>
        <v>-0.11320194865499315</v>
      </c>
      <c r="G16" s="65"/>
    </row>
    <row r="17" spans="1:7" ht="31.5" customHeight="1" x14ac:dyDescent="0.25">
      <c r="A17" s="71"/>
      <c r="B17" s="81" t="s">
        <v>77</v>
      </c>
      <c r="C17" s="79">
        <f>C15-C16</f>
        <v>114622054</v>
      </c>
      <c r="D17" s="79">
        <f>D15-D16</f>
        <v>113735732</v>
      </c>
      <c r="E17" s="79">
        <f t="shared" si="0"/>
        <v>-886322</v>
      </c>
      <c r="F17" s="80">
        <f t="shared" si="1"/>
        <v>-7.7325607862514835E-3</v>
      </c>
    </row>
    <row r="18" spans="1:7" ht="23.1" customHeight="1" x14ac:dyDescent="0.2">
      <c r="A18" s="74">
        <v>6</v>
      </c>
      <c r="B18" s="75" t="s">
        <v>78</v>
      </c>
      <c r="C18" s="76">
        <v>7533927</v>
      </c>
      <c r="D18" s="76">
        <v>6810203</v>
      </c>
      <c r="E18" s="76">
        <f t="shared" si="0"/>
        <v>-723724</v>
      </c>
      <c r="F18" s="77">
        <f t="shared" si="1"/>
        <v>-9.6061987327458839E-2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122155981</v>
      </c>
      <c r="D20" s="79">
        <f>SUM(D17:D19)</f>
        <v>120545935</v>
      </c>
      <c r="E20" s="79">
        <f t="shared" si="0"/>
        <v>-1610046</v>
      </c>
      <c r="F20" s="80">
        <f t="shared" si="1"/>
        <v>-1.3180246982749048E-2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59008896</v>
      </c>
      <c r="D23" s="76">
        <v>55930510</v>
      </c>
      <c r="E23" s="76">
        <f t="shared" ref="E23:E32" si="2">D23-C23</f>
        <v>-3078386</v>
      </c>
      <c r="F23" s="77">
        <f t="shared" ref="F23:F32" si="3">IF(C23=0,0,E23/C23)</f>
        <v>-5.216816799961823E-2</v>
      </c>
    </row>
    <row r="24" spans="1:7" ht="23.1" customHeight="1" x14ac:dyDescent="0.2">
      <c r="A24" s="74">
        <v>2</v>
      </c>
      <c r="B24" s="75" t="s">
        <v>83</v>
      </c>
      <c r="C24" s="76">
        <v>14032091</v>
      </c>
      <c r="D24" s="76">
        <v>14254316</v>
      </c>
      <c r="E24" s="76">
        <f t="shared" si="2"/>
        <v>222225</v>
      </c>
      <c r="F24" s="77">
        <f t="shared" si="3"/>
        <v>1.5836912688208762E-2</v>
      </c>
    </row>
    <row r="25" spans="1:7" ht="23.1" customHeight="1" x14ac:dyDescent="0.2">
      <c r="A25" s="74">
        <v>3</v>
      </c>
      <c r="B25" s="75" t="s">
        <v>84</v>
      </c>
      <c r="C25" s="76">
        <v>4330528</v>
      </c>
      <c r="D25" s="76">
        <v>5055157</v>
      </c>
      <c r="E25" s="76">
        <f t="shared" si="2"/>
        <v>724629</v>
      </c>
      <c r="F25" s="77">
        <f t="shared" si="3"/>
        <v>0.1673304040523465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11619961</v>
      </c>
      <c r="D26" s="76">
        <v>11367243</v>
      </c>
      <c r="E26" s="76">
        <f t="shared" si="2"/>
        <v>-252718</v>
      </c>
      <c r="F26" s="77">
        <f t="shared" si="3"/>
        <v>-2.1748609999637694E-2</v>
      </c>
    </row>
    <row r="27" spans="1:7" ht="23.1" customHeight="1" x14ac:dyDescent="0.2">
      <c r="A27" s="74">
        <v>5</v>
      </c>
      <c r="B27" s="75" t="s">
        <v>86</v>
      </c>
      <c r="C27" s="76">
        <v>5899420</v>
      </c>
      <c r="D27" s="76">
        <v>5917387</v>
      </c>
      <c r="E27" s="76">
        <f t="shared" si="2"/>
        <v>17967</v>
      </c>
      <c r="F27" s="77">
        <f t="shared" si="3"/>
        <v>3.045553630695899E-3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15651</v>
      </c>
      <c r="D29" s="76">
        <v>0</v>
      </c>
      <c r="E29" s="76">
        <f t="shared" si="2"/>
        <v>-15651</v>
      </c>
      <c r="F29" s="77">
        <f t="shared" si="3"/>
        <v>-1</v>
      </c>
    </row>
    <row r="30" spans="1:7" ht="23.1" customHeight="1" x14ac:dyDescent="0.2">
      <c r="A30" s="74">
        <v>8</v>
      </c>
      <c r="B30" s="75" t="s">
        <v>89</v>
      </c>
      <c r="C30" s="76">
        <v>1701301</v>
      </c>
      <c r="D30" s="76">
        <v>2090487</v>
      </c>
      <c r="E30" s="76">
        <f t="shared" si="2"/>
        <v>389186</v>
      </c>
      <c r="F30" s="77">
        <f t="shared" si="3"/>
        <v>0.22875787412104032</v>
      </c>
    </row>
    <row r="31" spans="1:7" ht="23.1" customHeight="1" x14ac:dyDescent="0.2">
      <c r="A31" s="74">
        <v>9</v>
      </c>
      <c r="B31" s="75" t="s">
        <v>90</v>
      </c>
      <c r="C31" s="76">
        <v>25390983</v>
      </c>
      <c r="D31" s="76">
        <v>27364151</v>
      </c>
      <c r="E31" s="76">
        <f t="shared" si="2"/>
        <v>1973168</v>
      </c>
      <c r="F31" s="77">
        <f t="shared" si="3"/>
        <v>7.7711367062866368E-2</v>
      </c>
    </row>
    <row r="32" spans="1:7" ht="23.1" customHeight="1" x14ac:dyDescent="0.25">
      <c r="A32" s="71"/>
      <c r="B32" s="78" t="s">
        <v>91</v>
      </c>
      <c r="C32" s="79">
        <f>SUM(C23:C31)</f>
        <v>121998831</v>
      </c>
      <c r="D32" s="79">
        <f>SUM(D23:D31)</f>
        <v>121979251</v>
      </c>
      <c r="E32" s="79">
        <f t="shared" si="2"/>
        <v>-19580</v>
      </c>
      <c r="F32" s="80">
        <f t="shared" si="3"/>
        <v>-1.6049334112062106E-4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157150</v>
      </c>
      <c r="D34" s="79">
        <f>+D20-D32</f>
        <v>-1433316</v>
      </c>
      <c r="E34" s="79">
        <f>D34-C34</f>
        <v>-1590466</v>
      </c>
      <c r="F34" s="80">
        <f>IF(C34=0,0,E34/C34)</f>
        <v>-10.120687241489023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2689094</v>
      </c>
      <c r="D37" s="76">
        <v>2896009</v>
      </c>
      <c r="E37" s="76">
        <f>D37-C37</f>
        <v>206915</v>
      </c>
      <c r="F37" s="77">
        <f>IF(C37=0,0,E37/C37)</f>
        <v>7.6945989987705896E-2</v>
      </c>
    </row>
    <row r="38" spans="1:6" ht="23.1" customHeight="1" x14ac:dyDescent="0.2">
      <c r="A38" s="85">
        <v>2</v>
      </c>
      <c r="B38" s="75" t="s">
        <v>95</v>
      </c>
      <c r="C38" s="76">
        <v>110807</v>
      </c>
      <c r="D38" s="76">
        <v>323460</v>
      </c>
      <c r="E38" s="76">
        <f>D38-C38</f>
        <v>212653</v>
      </c>
      <c r="F38" s="77">
        <f>IF(C38=0,0,E38/C38)</f>
        <v>1.9191296578736001</v>
      </c>
    </row>
    <row r="39" spans="1:6" ht="23.1" customHeight="1" x14ac:dyDescent="0.2">
      <c r="A39" s="85">
        <v>3</v>
      </c>
      <c r="B39" s="75" t="s">
        <v>96</v>
      </c>
      <c r="C39" s="76">
        <v>65999</v>
      </c>
      <c r="D39" s="76">
        <v>-258757</v>
      </c>
      <c r="E39" s="76">
        <f>D39-C39</f>
        <v>-324756</v>
      </c>
      <c r="F39" s="77">
        <f>IF(C39=0,0,E39/C39)</f>
        <v>-4.9206200093940815</v>
      </c>
    </row>
    <row r="40" spans="1:6" ht="23.1" customHeight="1" x14ac:dyDescent="0.25">
      <c r="A40" s="83"/>
      <c r="B40" s="78" t="s">
        <v>97</v>
      </c>
      <c r="C40" s="79">
        <f>SUM(C37:C39)</f>
        <v>2865900</v>
      </c>
      <c r="D40" s="79">
        <f>SUM(D37:D39)</f>
        <v>2960712</v>
      </c>
      <c r="E40" s="79">
        <f>D40-C40</f>
        <v>94812</v>
      </c>
      <c r="F40" s="80">
        <f>IF(C40=0,0,E40/C40)</f>
        <v>3.3082801214278236E-2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3023050</v>
      </c>
      <c r="D42" s="79">
        <f>D34+D40</f>
        <v>1527396</v>
      </c>
      <c r="E42" s="79">
        <f>D42-C42</f>
        <v>-1495654</v>
      </c>
      <c r="F42" s="80">
        <f>IF(C42=0,0,E42/C42)</f>
        <v>-0.49475000413489689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3023050</v>
      </c>
      <c r="D49" s="79">
        <f>D42+D47</f>
        <v>1527396</v>
      </c>
      <c r="E49" s="79">
        <f>D49-C49</f>
        <v>-1495654</v>
      </c>
      <c r="F49" s="80">
        <f>IF(C49=0,0,E49/C49)</f>
        <v>-0.49475000413489689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FILING&amp;R&amp;8THE CHARLOTTE HUNGERFORD HOSPITAL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Cotto, Carmen</cp:lastModifiedBy>
  <dcterms:created xsi:type="dcterms:W3CDTF">2016-07-29T20:44:51Z</dcterms:created>
  <dcterms:modified xsi:type="dcterms:W3CDTF">2016-07-29T21:01:15Z</dcterms:modified>
</cp:coreProperties>
</file>