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Report485!$A$11:$F$29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D83" i="22"/>
  <c r="D102" i="22"/>
  <c r="C83" i="22"/>
  <c r="C101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D23" i="22"/>
  <c r="D54" i="22"/>
  <c r="E21" i="22"/>
  <c r="D21" i="22"/>
  <c r="C21" i="22"/>
  <c r="E12" i="22"/>
  <c r="E33" i="22"/>
  <c r="D12" i="22"/>
  <c r="D34" i="22"/>
  <c r="C12" i="22"/>
  <c r="C33" i="22"/>
  <c r="D21" i="21"/>
  <c r="E21" i="21"/>
  <c r="C21" i="21"/>
  <c r="D19" i="21"/>
  <c r="E19" i="21"/>
  <c r="F19" i="21"/>
  <c r="C19" i="21"/>
  <c r="F17" i="21"/>
  <c r="E17" i="21"/>
  <c r="F15" i="21"/>
  <c r="E15" i="21"/>
  <c r="D45" i="20"/>
  <c r="E45" i="20"/>
  <c r="F45" i="20"/>
  <c r="C45" i="20"/>
  <c r="D44" i="20"/>
  <c r="E44" i="20"/>
  <c r="F44" i="20"/>
  <c r="C44" i="20"/>
  <c r="D43" i="20"/>
  <c r="D46" i="20"/>
  <c r="C43" i="20"/>
  <c r="C46" i="20"/>
  <c r="D36" i="20"/>
  <c r="D40" i="20"/>
  <c r="E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D20" i="20"/>
  <c r="E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15" i="19"/>
  <c r="C105" i="19"/>
  <c r="C137" i="19"/>
  <c r="C139" i="19"/>
  <c r="C143" i="19"/>
  <c r="C96" i="19"/>
  <c r="C95" i="19"/>
  <c r="C89" i="19"/>
  <c r="C88" i="19"/>
  <c r="C83" i="19"/>
  <c r="C77" i="19"/>
  <c r="C78" i="19"/>
  <c r="C64" i="19"/>
  <c r="C63" i="19"/>
  <c r="C65" i="19"/>
  <c r="C114" i="19"/>
  <c r="C116" i="19"/>
  <c r="C119" i="19"/>
  <c r="C123" i="19"/>
  <c r="C60" i="19"/>
  <c r="C59" i="19"/>
  <c r="C49" i="19"/>
  <c r="C48" i="19"/>
  <c r="C36" i="19"/>
  <c r="C32" i="19"/>
  <c r="C33" i="19"/>
  <c r="C21" i="19"/>
  <c r="C37" i="19"/>
  <c r="E328" i="18"/>
  <c r="E325" i="18"/>
  <c r="D324" i="18"/>
  <c r="E324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E301" i="18"/>
  <c r="C301" i="18"/>
  <c r="D293" i="18"/>
  <c r="C293" i="18"/>
  <c r="E293" i="18"/>
  <c r="D292" i="18"/>
  <c r="E292" i="18"/>
  <c r="C292" i="18"/>
  <c r="D291" i="18"/>
  <c r="C291" i="18"/>
  <c r="E291" i="18"/>
  <c r="D290" i="18"/>
  <c r="E290" i="18"/>
  <c r="C290" i="18"/>
  <c r="D288" i="18"/>
  <c r="E288" i="18"/>
  <c r="C288" i="18"/>
  <c r="D287" i="18"/>
  <c r="C287" i="18"/>
  <c r="E287" i="18"/>
  <c r="D282" i="18"/>
  <c r="E282" i="18"/>
  <c r="C282" i="18"/>
  <c r="D281" i="18"/>
  <c r="C281" i="18"/>
  <c r="E281" i="18"/>
  <c r="D280" i="18"/>
  <c r="E280" i="18"/>
  <c r="C280" i="18"/>
  <c r="D279" i="18"/>
  <c r="C279" i="18"/>
  <c r="E279" i="18"/>
  <c r="D278" i="18"/>
  <c r="E278" i="18"/>
  <c r="C278" i="18"/>
  <c r="D277" i="18"/>
  <c r="C277" i="18"/>
  <c r="E277" i="18"/>
  <c r="D276" i="18"/>
  <c r="E276" i="18"/>
  <c r="C276" i="18"/>
  <c r="E270" i="18"/>
  <c r="D265" i="18"/>
  <c r="D302" i="18"/>
  <c r="C265" i="18"/>
  <c r="C302" i="18"/>
  <c r="D262" i="18"/>
  <c r="E262" i="18"/>
  <c r="C262" i="18"/>
  <c r="D251" i="18"/>
  <c r="C251" i="18"/>
  <c r="D233" i="18"/>
  <c r="E233" i="18"/>
  <c r="C233" i="18"/>
  <c r="D232" i="18"/>
  <c r="C232" i="18"/>
  <c r="E232" i="18"/>
  <c r="D231" i="18"/>
  <c r="C231" i="18"/>
  <c r="D230" i="18"/>
  <c r="C230" i="18"/>
  <c r="E230" i="18"/>
  <c r="D228" i="18"/>
  <c r="C228" i="18"/>
  <c r="E228" i="18"/>
  <c r="D227" i="18"/>
  <c r="E227" i="18"/>
  <c r="C227" i="18"/>
  <c r="D221" i="18"/>
  <c r="D245" i="18"/>
  <c r="C221" i="18"/>
  <c r="C245" i="18"/>
  <c r="D220" i="18"/>
  <c r="E220" i="18"/>
  <c r="C220" i="18"/>
  <c r="C244" i="18"/>
  <c r="D219" i="18"/>
  <c r="D243" i="18"/>
  <c r="C219" i="18"/>
  <c r="C243" i="18"/>
  <c r="D218" i="18"/>
  <c r="E218" i="18"/>
  <c r="C218" i="18"/>
  <c r="C242" i="18"/>
  <c r="C217" i="18"/>
  <c r="D216" i="18"/>
  <c r="C216" i="18"/>
  <c r="C240" i="18"/>
  <c r="D215" i="18"/>
  <c r="D239" i="18"/>
  <c r="C215" i="18"/>
  <c r="C210" i="18"/>
  <c r="E209" i="18"/>
  <c r="E208" i="18"/>
  <c r="E207" i="18"/>
  <c r="E206" i="18"/>
  <c r="D205" i="18"/>
  <c r="C205" i="18"/>
  <c r="C229" i="18"/>
  <c r="E204" i="18"/>
  <c r="E203" i="18"/>
  <c r="E197" i="18"/>
  <c r="E196" i="18"/>
  <c r="D195" i="18"/>
  <c r="D260" i="18"/>
  <c r="C195" i="18"/>
  <c r="C260" i="18"/>
  <c r="E194" i="18"/>
  <c r="E193" i="18"/>
  <c r="E192" i="18"/>
  <c r="E191" i="18"/>
  <c r="E190" i="18"/>
  <c r="D188" i="18"/>
  <c r="C188" i="18"/>
  <c r="C261" i="18"/>
  <c r="E186" i="18"/>
  <c r="E185" i="18"/>
  <c r="D179" i="18"/>
  <c r="C179" i="18"/>
  <c r="E179" i="18"/>
  <c r="D178" i="18"/>
  <c r="E178" i="18"/>
  <c r="C178" i="18"/>
  <c r="D177" i="18"/>
  <c r="C177" i="18"/>
  <c r="E177" i="18"/>
  <c r="D176" i="18"/>
  <c r="E176" i="18"/>
  <c r="C176" i="18"/>
  <c r="C175" i="18"/>
  <c r="D174" i="18"/>
  <c r="E174" i="18"/>
  <c r="C174" i="18"/>
  <c r="D173" i="18"/>
  <c r="C173" i="18"/>
  <c r="E173" i="18"/>
  <c r="D167" i="18"/>
  <c r="E167" i="18"/>
  <c r="C167" i="18"/>
  <c r="D166" i="18"/>
  <c r="C166" i="18"/>
  <c r="E166" i="18"/>
  <c r="D165" i="18"/>
  <c r="E165" i="18"/>
  <c r="C165" i="18"/>
  <c r="D164" i="18"/>
  <c r="C164" i="18"/>
  <c r="E164" i="18"/>
  <c r="D162" i="18"/>
  <c r="C162" i="18"/>
  <c r="E162" i="18"/>
  <c r="D161" i="18"/>
  <c r="E161" i="18"/>
  <c r="C161" i="18"/>
  <c r="D156" i="18"/>
  <c r="D157" i="18"/>
  <c r="E155" i="18"/>
  <c r="E154" i="18"/>
  <c r="E153" i="18"/>
  <c r="E152" i="18"/>
  <c r="D151" i="18"/>
  <c r="C151" i="18"/>
  <c r="E151" i="18"/>
  <c r="E150" i="18"/>
  <c r="E149" i="18"/>
  <c r="C144" i="18"/>
  <c r="E143" i="18"/>
  <c r="E142" i="18"/>
  <c r="E141" i="18"/>
  <c r="E140" i="18"/>
  <c r="D139" i="18"/>
  <c r="C139" i="18"/>
  <c r="C163" i="18"/>
  <c r="E138" i="18"/>
  <c r="E137" i="18"/>
  <c r="D75" i="18"/>
  <c r="E75" i="18"/>
  <c r="C75" i="18"/>
  <c r="D74" i="18"/>
  <c r="C74" i="18"/>
  <c r="E74" i="18"/>
  <c r="D73" i="18"/>
  <c r="E73" i="18"/>
  <c r="C73" i="18"/>
  <c r="D72" i="18"/>
  <c r="C72" i="18"/>
  <c r="E72" i="18"/>
  <c r="D71" i="18"/>
  <c r="D70" i="18"/>
  <c r="D76" i="18"/>
  <c r="C70" i="18"/>
  <c r="D69" i="18"/>
  <c r="D77" i="18"/>
  <c r="C69" i="18"/>
  <c r="D65" i="18"/>
  <c r="D66" i="18"/>
  <c r="E64" i="18"/>
  <c r="E63" i="18"/>
  <c r="E62" i="18"/>
  <c r="E61" i="18"/>
  <c r="D60" i="18"/>
  <c r="D289" i="18"/>
  <c r="C60" i="18"/>
  <c r="C289" i="18"/>
  <c r="E59" i="18"/>
  <c r="E58" i="18"/>
  <c r="D55" i="18"/>
  <c r="D54" i="18"/>
  <c r="C54" i="18"/>
  <c r="E54" i="18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C40" i="18"/>
  <c r="E40" i="18"/>
  <c r="D39" i="18"/>
  <c r="E39" i="18"/>
  <c r="C39" i="18"/>
  <c r="D38" i="18"/>
  <c r="C38" i="18"/>
  <c r="E38" i="18"/>
  <c r="D37" i="18"/>
  <c r="D43" i="18"/>
  <c r="C37" i="18"/>
  <c r="C43" i="18"/>
  <c r="D36" i="18"/>
  <c r="D44" i="18"/>
  <c r="C36" i="18"/>
  <c r="C44" i="18"/>
  <c r="D33" i="18"/>
  <c r="D32" i="18"/>
  <c r="D294" i="18"/>
  <c r="C32" i="18"/>
  <c r="C33" i="18"/>
  <c r="E31" i="18"/>
  <c r="E30" i="18"/>
  <c r="E29" i="18"/>
  <c r="E28" i="18"/>
  <c r="E27" i="18"/>
  <c r="E26" i="18"/>
  <c r="E25" i="18"/>
  <c r="C22" i="18"/>
  <c r="D21" i="18"/>
  <c r="D283" i="18"/>
  <c r="E283" i="18"/>
  <c r="C21" i="18"/>
  <c r="C283" i="18"/>
  <c r="E20" i="18"/>
  <c r="E19" i="18"/>
  <c r="E18" i="18"/>
  <c r="E17" i="18"/>
  <c r="E16" i="18"/>
  <c r="E15" i="18"/>
  <c r="E14" i="18"/>
  <c r="E335" i="17"/>
  <c r="F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F308" i="17"/>
  <c r="E308" i="17"/>
  <c r="D307" i="17"/>
  <c r="E307" i="17"/>
  <c r="F307" i="17"/>
  <c r="C307" i="17"/>
  <c r="D299" i="17"/>
  <c r="C299" i="17"/>
  <c r="D298" i="17"/>
  <c r="C298" i="17"/>
  <c r="D297" i="17"/>
  <c r="C297" i="17"/>
  <c r="D296" i="17"/>
  <c r="C296" i="17"/>
  <c r="D295" i="17"/>
  <c r="E295" i="17"/>
  <c r="C295" i="17"/>
  <c r="D294" i="17"/>
  <c r="E294" i="17"/>
  <c r="C294" i="17"/>
  <c r="D250" i="17"/>
  <c r="D306" i="17"/>
  <c r="C250" i="17"/>
  <c r="C306" i="17"/>
  <c r="E249" i="17"/>
  <c r="F249" i="17"/>
  <c r="E248" i="17"/>
  <c r="F248" i="17"/>
  <c r="F245" i="17"/>
  <c r="E245" i="17"/>
  <c r="E244" i="17"/>
  <c r="F244" i="17"/>
  <c r="E243" i="17"/>
  <c r="F243" i="17"/>
  <c r="D238" i="17"/>
  <c r="C238" i="17"/>
  <c r="D237" i="17"/>
  <c r="D239" i="17"/>
  <c r="E239" i="17"/>
  <c r="C237" i="17"/>
  <c r="C239" i="17"/>
  <c r="E234" i="17"/>
  <c r="F234" i="17"/>
  <c r="E233" i="17"/>
  <c r="F233" i="17"/>
  <c r="D230" i="17"/>
  <c r="C230" i="17"/>
  <c r="D229" i="17"/>
  <c r="C229" i="17"/>
  <c r="E228" i="17"/>
  <c r="F228" i="17"/>
  <c r="D226" i="17"/>
  <c r="D227" i="17"/>
  <c r="C226" i="17"/>
  <c r="C227" i="17"/>
  <c r="E225" i="17"/>
  <c r="F225" i="17"/>
  <c r="E224" i="17"/>
  <c r="F224" i="17"/>
  <c r="D223" i="17"/>
  <c r="C223" i="17"/>
  <c r="E223" i="17"/>
  <c r="E222" i="17"/>
  <c r="F222" i="17"/>
  <c r="E221" i="17"/>
  <c r="F221" i="17"/>
  <c r="D204" i="17"/>
  <c r="C204" i="17"/>
  <c r="D203" i="17"/>
  <c r="C203" i="17"/>
  <c r="D198" i="17"/>
  <c r="C198" i="17"/>
  <c r="D191" i="17"/>
  <c r="C191" i="17"/>
  <c r="D189" i="17"/>
  <c r="C189" i="17"/>
  <c r="D188" i="17"/>
  <c r="C188" i="17"/>
  <c r="D180" i="17"/>
  <c r="C180" i="17"/>
  <c r="E180" i="17"/>
  <c r="D179" i="17"/>
  <c r="D181" i="17"/>
  <c r="C179" i="17"/>
  <c r="C181" i="17"/>
  <c r="D171" i="17"/>
  <c r="D172" i="17"/>
  <c r="C171" i="17"/>
  <c r="C172" i="17"/>
  <c r="D170" i="17"/>
  <c r="C170" i="17"/>
  <c r="E170" i="17"/>
  <c r="E169" i="17"/>
  <c r="F169" i="17"/>
  <c r="E168" i="17"/>
  <c r="F168" i="17"/>
  <c r="D165" i="17"/>
  <c r="C165" i="17"/>
  <c r="E165" i="17"/>
  <c r="D164" i="17"/>
  <c r="C164" i="17"/>
  <c r="E164" i="17"/>
  <c r="E163" i="17"/>
  <c r="F163" i="17"/>
  <c r="D158" i="17"/>
  <c r="D159" i="17"/>
  <c r="E159" i="17"/>
  <c r="C158" i="17"/>
  <c r="C159" i="17"/>
  <c r="E157" i="17"/>
  <c r="F157" i="17"/>
  <c r="E156" i="17"/>
  <c r="F156" i="17"/>
  <c r="D155" i="17"/>
  <c r="C155" i="17"/>
  <c r="E154" i="17"/>
  <c r="F154" i="17"/>
  <c r="E153" i="17"/>
  <c r="F153" i="17"/>
  <c r="D145" i="17"/>
  <c r="C145" i="17"/>
  <c r="D144" i="17"/>
  <c r="D146" i="17"/>
  <c r="E146" i="17"/>
  <c r="C144" i="17"/>
  <c r="C146" i="17"/>
  <c r="D136" i="17"/>
  <c r="D137" i="17"/>
  <c r="C136" i="17"/>
  <c r="C137" i="17"/>
  <c r="D135" i="17"/>
  <c r="C135" i="17"/>
  <c r="E134" i="17"/>
  <c r="F134" i="17"/>
  <c r="E133" i="17"/>
  <c r="F133" i="17"/>
  <c r="D130" i="17"/>
  <c r="C130" i="17"/>
  <c r="D129" i="17"/>
  <c r="C129" i="17"/>
  <c r="E128" i="17"/>
  <c r="F128" i="17"/>
  <c r="D123" i="17"/>
  <c r="C123" i="17"/>
  <c r="C192" i="17"/>
  <c r="E122" i="17"/>
  <c r="F122" i="17"/>
  <c r="E121" i="17"/>
  <c r="F121" i="17"/>
  <c r="D120" i="17"/>
  <c r="C120" i="17"/>
  <c r="E120" i="17"/>
  <c r="E119" i="17"/>
  <c r="F119" i="17"/>
  <c r="E118" i="17"/>
  <c r="F118" i="17"/>
  <c r="D110" i="17"/>
  <c r="C110" i="17"/>
  <c r="E110" i="17"/>
  <c r="D109" i="17"/>
  <c r="D111" i="17"/>
  <c r="C109" i="17"/>
  <c r="C111" i="17"/>
  <c r="D101" i="17"/>
  <c r="D102" i="17"/>
  <c r="C101" i="17"/>
  <c r="C102" i="17"/>
  <c r="D100" i="17"/>
  <c r="C100" i="17"/>
  <c r="E100" i="17"/>
  <c r="E99" i="17"/>
  <c r="F99" i="17"/>
  <c r="E98" i="17"/>
  <c r="F98" i="17"/>
  <c r="D95" i="17"/>
  <c r="C95" i="17"/>
  <c r="E95" i="17"/>
  <c r="D94" i="17"/>
  <c r="C94" i="17"/>
  <c r="E94" i="17"/>
  <c r="E93" i="17"/>
  <c r="F93" i="17"/>
  <c r="D88" i="17"/>
  <c r="D89" i="17"/>
  <c r="E89" i="17"/>
  <c r="C88" i="17"/>
  <c r="C89" i="17"/>
  <c r="E87" i="17"/>
  <c r="F87" i="17"/>
  <c r="E86" i="17"/>
  <c r="F86" i="17"/>
  <c r="D85" i="17"/>
  <c r="C85" i="17"/>
  <c r="E84" i="17"/>
  <c r="F84" i="17"/>
  <c r="E83" i="17"/>
  <c r="F83" i="17"/>
  <c r="D76" i="17"/>
  <c r="D77" i="17"/>
  <c r="E77" i="17"/>
  <c r="C76" i="17"/>
  <c r="C77" i="17"/>
  <c r="F74" i="17"/>
  <c r="E74" i="17"/>
  <c r="F73" i="17"/>
  <c r="E73" i="17"/>
  <c r="D67" i="17"/>
  <c r="E67" i="17"/>
  <c r="F67" i="17"/>
  <c r="C67" i="17"/>
  <c r="D66" i="17"/>
  <c r="D68" i="17"/>
  <c r="E68" i="17"/>
  <c r="C66" i="17"/>
  <c r="C68" i="17"/>
  <c r="D59" i="17"/>
  <c r="D60" i="17"/>
  <c r="C59" i="17"/>
  <c r="C60" i="17"/>
  <c r="D58" i="17"/>
  <c r="E58" i="17"/>
  <c r="F58" i="17"/>
  <c r="C58" i="17"/>
  <c r="F57" i="17"/>
  <c r="E57" i="17"/>
  <c r="F56" i="17"/>
  <c r="E56" i="17"/>
  <c r="F53" i="17"/>
  <c r="D53" i="17"/>
  <c r="E53" i="17"/>
  <c r="C53" i="17"/>
  <c r="D52" i="17"/>
  <c r="E52" i="17"/>
  <c r="F52" i="17"/>
  <c r="C52" i="17"/>
  <c r="E51" i="17"/>
  <c r="F51" i="17"/>
  <c r="D47" i="17"/>
  <c r="E47" i="17"/>
  <c r="F47" i="17"/>
  <c r="C47" i="17"/>
  <c r="C48" i="17"/>
  <c r="F46" i="17"/>
  <c r="E46" i="17"/>
  <c r="F45" i="17"/>
  <c r="E45" i="17"/>
  <c r="D44" i="17"/>
  <c r="E44" i="17"/>
  <c r="F44" i="17"/>
  <c r="C44" i="17"/>
  <c r="F43" i="17"/>
  <c r="E43" i="17"/>
  <c r="F42" i="17"/>
  <c r="E42" i="17"/>
  <c r="F36" i="17"/>
  <c r="D36" i="17"/>
  <c r="E36" i="17"/>
  <c r="C36" i="17"/>
  <c r="D35" i="17"/>
  <c r="E35" i="17"/>
  <c r="F35" i="17"/>
  <c r="C35" i="17"/>
  <c r="D30" i="17"/>
  <c r="C30" i="17"/>
  <c r="C31" i="17"/>
  <c r="C32" i="17"/>
  <c r="D29" i="17"/>
  <c r="C29" i="17"/>
  <c r="E29" i="17"/>
  <c r="E28" i="17"/>
  <c r="F28" i="17"/>
  <c r="E27" i="17"/>
  <c r="F27" i="17"/>
  <c r="D24" i="17"/>
  <c r="C24" i="17"/>
  <c r="E24" i="17"/>
  <c r="D23" i="17"/>
  <c r="C23" i="17"/>
  <c r="E23" i="17"/>
  <c r="E22" i="17"/>
  <c r="F22" i="17"/>
  <c r="D20" i="17"/>
  <c r="C20" i="17"/>
  <c r="E19" i="17"/>
  <c r="F19" i="17"/>
  <c r="E18" i="17"/>
  <c r="F18" i="17"/>
  <c r="D17" i="17"/>
  <c r="C17" i="17"/>
  <c r="E16" i="17"/>
  <c r="F16" i="17"/>
  <c r="E15" i="17"/>
  <c r="F15" i="17"/>
  <c r="D22" i="16"/>
  <c r="E22" i="16"/>
  <c r="F22" i="16"/>
  <c r="C22" i="16"/>
  <c r="F21" i="16"/>
  <c r="E21" i="16"/>
  <c r="F20" i="16"/>
  <c r="E20" i="16"/>
  <c r="D17" i="16"/>
  <c r="E17" i="16"/>
  <c r="F17" i="16"/>
  <c r="C17" i="16"/>
  <c r="F16" i="16"/>
  <c r="E16" i="16"/>
  <c r="D13" i="16"/>
  <c r="E13" i="16"/>
  <c r="F13" i="16"/>
  <c r="C13" i="16"/>
  <c r="F12" i="16"/>
  <c r="E12" i="16"/>
  <c r="D107" i="15"/>
  <c r="E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F68" i="15"/>
  <c r="E68" i="15"/>
  <c r="D65" i="15"/>
  <c r="E65" i="15"/>
  <c r="F65" i="15"/>
  <c r="C65" i="15"/>
  <c r="F64" i="15"/>
  <c r="E64" i="15"/>
  <c r="F63" i="15"/>
  <c r="E63" i="15"/>
  <c r="D60" i="15"/>
  <c r="C60" i="15"/>
  <c r="F59" i="15"/>
  <c r="E59" i="15"/>
  <c r="F58" i="15"/>
  <c r="E58" i="15"/>
  <c r="E60" i="15"/>
  <c r="F60" i="15"/>
  <c r="F55" i="15"/>
  <c r="D55" i="15"/>
  <c r="E55" i="15"/>
  <c r="C55" i="15"/>
  <c r="F54" i="15"/>
  <c r="E54" i="15"/>
  <c r="F53" i="15"/>
  <c r="E53" i="15"/>
  <c r="F50" i="15"/>
  <c r="D50" i="15"/>
  <c r="E50" i="15"/>
  <c r="C50" i="15"/>
  <c r="F49" i="15"/>
  <c r="E49" i="15"/>
  <c r="F48" i="15"/>
  <c r="E48" i="15"/>
  <c r="D45" i="15"/>
  <c r="E45" i="15"/>
  <c r="F45" i="15"/>
  <c r="C45" i="15"/>
  <c r="F44" i="15"/>
  <c r="E44" i="15"/>
  <c r="F43" i="15"/>
  <c r="E43" i="15"/>
  <c r="F37" i="15"/>
  <c r="D37" i="15"/>
  <c r="E37" i="15"/>
  <c r="C37" i="15"/>
  <c r="F36" i="15"/>
  <c r="E36" i="15"/>
  <c r="F35" i="15"/>
  <c r="E35" i="15"/>
  <c r="F34" i="15"/>
  <c r="E34" i="15"/>
  <c r="F33" i="15"/>
  <c r="E33" i="15"/>
  <c r="D30" i="15"/>
  <c r="E30" i="15"/>
  <c r="F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F13" i="15"/>
  <c r="E13" i="15"/>
  <c r="F12" i="15"/>
  <c r="E12" i="15"/>
  <c r="I37" i="14"/>
  <c r="H37" i="14"/>
  <c r="G31" i="14"/>
  <c r="I31" i="14"/>
  <c r="E31" i="14"/>
  <c r="C31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3" i="14"/>
  <c r="F17" i="14"/>
  <c r="F33" i="14"/>
  <c r="E17" i="14"/>
  <c r="E33" i="14"/>
  <c r="E36" i="14"/>
  <c r="E38" i="14"/>
  <c r="E40" i="14"/>
  <c r="D17" i="14"/>
  <c r="D33" i="14"/>
  <c r="D36" i="14"/>
  <c r="D38" i="14"/>
  <c r="D40" i="14"/>
  <c r="C17" i="14"/>
  <c r="C33" i="14"/>
  <c r="C36" i="14"/>
  <c r="C38" i="14"/>
  <c r="C40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C75" i="13"/>
  <c r="E73" i="13"/>
  <c r="D73" i="13"/>
  <c r="D75" i="13"/>
  <c r="C73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E59" i="13"/>
  <c r="E61" i="13"/>
  <c r="E57" i="13"/>
  <c r="C59" i="13"/>
  <c r="C61" i="13"/>
  <c r="C57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E48" i="13"/>
  <c r="E42" i="13"/>
  <c r="C48" i="13"/>
  <c r="C42" i="13"/>
  <c r="E46" i="13"/>
  <c r="D46" i="13"/>
  <c r="D59" i="13"/>
  <c r="D61" i="13"/>
  <c r="D57" i="13"/>
  <c r="C46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15" i="13"/>
  <c r="E24" i="13"/>
  <c r="C15" i="13"/>
  <c r="C24" i="13"/>
  <c r="E13" i="13"/>
  <c r="E25" i="13"/>
  <c r="E27" i="13"/>
  <c r="D13" i="13"/>
  <c r="D25" i="13"/>
  <c r="D27" i="13"/>
  <c r="C13" i="13"/>
  <c r="C25" i="13"/>
  <c r="C27" i="13"/>
  <c r="F47" i="12"/>
  <c r="D47" i="12"/>
  <c r="E47" i="12"/>
  <c r="C47" i="12"/>
  <c r="F46" i="12"/>
  <c r="E46" i="12"/>
  <c r="F45" i="12"/>
  <c r="E45" i="12"/>
  <c r="D40" i="12"/>
  <c r="E40" i="12"/>
  <c r="F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F12" i="12"/>
  <c r="E12" i="12"/>
  <c r="F11" i="12"/>
  <c r="E11" i="12"/>
  <c r="D73" i="11"/>
  <c r="E73" i="11"/>
  <c r="F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F61" i="11"/>
  <c r="D61" i="11"/>
  <c r="E61" i="11"/>
  <c r="C61" i="11"/>
  <c r="C65" i="11"/>
  <c r="F60" i="11"/>
  <c r="E60" i="11"/>
  <c r="F59" i="11"/>
  <c r="E59" i="11"/>
  <c r="D56" i="11"/>
  <c r="E56" i="11"/>
  <c r="F56" i="11"/>
  <c r="C56" i="11"/>
  <c r="C75" i="11"/>
  <c r="F55" i="11"/>
  <c r="E55" i="11"/>
  <c r="E54" i="11"/>
  <c r="F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E38" i="11"/>
  <c r="F38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E22" i="11"/>
  <c r="F22" i="11"/>
  <c r="C22" i="11"/>
  <c r="C43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D120" i="10"/>
  <c r="E120" i="10"/>
  <c r="F120" i="10"/>
  <c r="C120" i="10"/>
  <c r="D119" i="10"/>
  <c r="E119" i="10"/>
  <c r="F119" i="10"/>
  <c r="C119" i="10"/>
  <c r="D118" i="10"/>
  <c r="E118" i="10"/>
  <c r="F118" i="10"/>
  <c r="C118" i="10"/>
  <c r="D117" i="10"/>
  <c r="E117" i="10"/>
  <c r="F117" i="10"/>
  <c r="C117" i="10"/>
  <c r="D116" i="10"/>
  <c r="E116" i="10"/>
  <c r="F116" i="10"/>
  <c r="C116" i="10"/>
  <c r="D115" i="10"/>
  <c r="E115" i="10"/>
  <c r="F115" i="10"/>
  <c r="C115" i="10"/>
  <c r="D114" i="10"/>
  <c r="E114" i="10"/>
  <c r="F114" i="10"/>
  <c r="C114" i="10"/>
  <c r="D113" i="10"/>
  <c r="E113" i="10"/>
  <c r="F113" i="10"/>
  <c r="C113" i="10"/>
  <c r="C122" i="10"/>
  <c r="D112" i="10"/>
  <c r="E112" i="10"/>
  <c r="F112" i="10"/>
  <c r="C112" i="10"/>
  <c r="C121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/>
  <c r="F36" i="10"/>
  <c r="C36" i="10"/>
  <c r="D35" i="10"/>
  <c r="E35" i="10"/>
  <c r="F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F206" i="9"/>
  <c r="C206" i="9"/>
  <c r="D205" i="9"/>
  <c r="E205" i="9"/>
  <c r="F205" i="9"/>
  <c r="C205" i="9"/>
  <c r="D204" i="9"/>
  <c r="E204" i="9"/>
  <c r="F204" i="9"/>
  <c r="C204" i="9"/>
  <c r="D203" i="9"/>
  <c r="E203" i="9"/>
  <c r="F203" i="9"/>
  <c r="C203" i="9"/>
  <c r="D202" i="9"/>
  <c r="E202" i="9"/>
  <c r="F202" i="9"/>
  <c r="C202" i="9"/>
  <c r="D201" i="9"/>
  <c r="E201" i="9"/>
  <c r="F201" i="9"/>
  <c r="C201" i="9"/>
  <c r="D200" i="9"/>
  <c r="E200" i="9"/>
  <c r="F200" i="9"/>
  <c r="C200" i="9"/>
  <c r="D199" i="9"/>
  <c r="D208" i="9"/>
  <c r="E208" i="9"/>
  <c r="C199" i="9"/>
  <c r="C208" i="9"/>
  <c r="D198" i="9"/>
  <c r="D207" i="9"/>
  <c r="E207" i="9"/>
  <c r="C198" i="9"/>
  <c r="C207" i="9"/>
  <c r="F193" i="9"/>
  <c r="D193" i="9"/>
  <c r="E193" i="9"/>
  <c r="C193" i="9"/>
  <c r="F192" i="9"/>
  <c r="D192" i="9"/>
  <c r="E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E141" i="9"/>
  <c r="C141" i="9"/>
  <c r="F140" i="9"/>
  <c r="D140" i="9"/>
  <c r="E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F115" i="9"/>
  <c r="D115" i="9"/>
  <c r="E115" i="9"/>
  <c r="C115" i="9"/>
  <c r="F114" i="9"/>
  <c r="D114" i="9"/>
  <c r="E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/>
  <c r="F102" i="9"/>
  <c r="C102" i="9"/>
  <c r="D101" i="9"/>
  <c r="E101" i="9"/>
  <c r="F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/>
  <c r="C76" i="9"/>
  <c r="D75" i="9"/>
  <c r="E75" i="9"/>
  <c r="F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C164" i="8"/>
  <c r="E162" i="8"/>
  <c r="D162" i="8"/>
  <c r="C162" i="8"/>
  <c r="E161" i="8"/>
  <c r="D161" i="8"/>
  <c r="C161" i="8"/>
  <c r="E160" i="8"/>
  <c r="E166" i="8"/>
  <c r="D160" i="8"/>
  <c r="D166" i="8"/>
  <c r="C160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2" i="8"/>
  <c r="E104" i="8"/>
  <c r="D102" i="8"/>
  <c r="D104" i="8"/>
  <c r="C102" i="8"/>
  <c r="C104" i="8"/>
  <c r="E100" i="8"/>
  <c r="D100" i="8"/>
  <c r="C100" i="8"/>
  <c r="E95" i="8"/>
  <c r="D95" i="8"/>
  <c r="D94" i="8"/>
  <c r="C95" i="8"/>
  <c r="E94" i="8"/>
  <c r="C94" i="8"/>
  <c r="E89" i="8"/>
  <c r="D89" i="8"/>
  <c r="C89" i="8"/>
  <c r="D88" i="8"/>
  <c r="D90" i="8"/>
  <c r="D86" i="8"/>
  <c r="E87" i="8"/>
  <c r="D87" i="8"/>
  <c r="C87" i="8"/>
  <c r="E84" i="8"/>
  <c r="D84" i="8"/>
  <c r="C84" i="8"/>
  <c r="E83" i="8"/>
  <c r="D83" i="8"/>
  <c r="D79" i="8"/>
  <c r="C83" i="8"/>
  <c r="E79" i="8"/>
  <c r="C79" i="8"/>
  <c r="D77" i="8"/>
  <c r="D71" i="8"/>
  <c r="E75" i="8"/>
  <c r="E88" i="8"/>
  <c r="E90" i="8"/>
  <c r="E86" i="8"/>
  <c r="D75" i="8"/>
  <c r="C75" i="8"/>
  <c r="C88" i="8"/>
  <c r="C90" i="8"/>
  <c r="C86" i="8"/>
  <c r="E74" i="8"/>
  <c r="D74" i="8"/>
  <c r="C74" i="8"/>
  <c r="E67" i="8"/>
  <c r="D67" i="8"/>
  <c r="C67" i="8"/>
  <c r="E53" i="8"/>
  <c r="C53" i="8"/>
  <c r="E43" i="8"/>
  <c r="C43" i="8"/>
  <c r="E38" i="8"/>
  <c r="E57" i="8"/>
  <c r="E62" i="8"/>
  <c r="D38" i="8"/>
  <c r="D53" i="8"/>
  <c r="C38" i="8"/>
  <c r="C57" i="8"/>
  <c r="C62" i="8"/>
  <c r="E33" i="8"/>
  <c r="E34" i="8"/>
  <c r="D33" i="8"/>
  <c r="D34" i="8"/>
  <c r="E26" i="8"/>
  <c r="D26" i="8"/>
  <c r="C26" i="8"/>
  <c r="D25" i="8"/>
  <c r="D27" i="8"/>
  <c r="D15" i="8"/>
  <c r="D24" i="8"/>
  <c r="E13" i="8"/>
  <c r="E25" i="8"/>
  <c r="E27" i="8"/>
  <c r="D13" i="8"/>
  <c r="C13" i="8"/>
  <c r="C25" i="8"/>
  <c r="C27" i="8"/>
  <c r="F186" i="7"/>
  <c r="E186" i="7"/>
  <c r="D183" i="7"/>
  <c r="D188" i="7"/>
  <c r="E188" i="7"/>
  <c r="C183" i="7"/>
  <c r="C188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E167" i="7"/>
  <c r="F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D130" i="7"/>
  <c r="E130" i="7"/>
  <c r="F130" i="7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/>
  <c r="F121" i="7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D95" i="7"/>
  <c r="E95" i="7"/>
  <c r="C90" i="7"/>
  <c r="C95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F39" i="7"/>
  <c r="E39" i="7"/>
  <c r="F38" i="7"/>
  <c r="E38" i="7"/>
  <c r="D35" i="7"/>
  <c r="E35" i="7"/>
  <c r="F35" i="7"/>
  <c r="C35" i="7"/>
  <c r="F34" i="7"/>
  <c r="E34" i="7"/>
  <c r="F33" i="7"/>
  <c r="E33" i="7"/>
  <c r="D30" i="7"/>
  <c r="E30" i="7"/>
  <c r="F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F15" i="7"/>
  <c r="E15" i="7"/>
  <c r="D179" i="6"/>
  <c r="E179" i="6"/>
  <c r="F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D94" i="6"/>
  <c r="E94" i="6"/>
  <c r="F94" i="6"/>
  <c r="C94" i="6"/>
  <c r="F93" i="6"/>
  <c r="D93" i="6"/>
  <c r="E93" i="6"/>
  <c r="C93" i="6"/>
  <c r="D92" i="6"/>
  <c r="E92" i="6"/>
  <c r="F92" i="6"/>
  <c r="C92" i="6"/>
  <c r="D91" i="6"/>
  <c r="E91" i="6"/>
  <c r="F91" i="6"/>
  <c r="C91" i="6"/>
  <c r="D90" i="6"/>
  <c r="E90" i="6"/>
  <c r="F90" i="6"/>
  <c r="C90" i="6"/>
  <c r="D89" i="6"/>
  <c r="E89" i="6"/>
  <c r="F89" i="6"/>
  <c r="C89" i="6"/>
  <c r="D88" i="6"/>
  <c r="E88" i="6"/>
  <c r="F88" i="6"/>
  <c r="C88" i="6"/>
  <c r="D87" i="6"/>
  <c r="E87" i="6"/>
  <c r="F87" i="6"/>
  <c r="C87" i="6"/>
  <c r="D86" i="6"/>
  <c r="E86" i="6"/>
  <c r="F86" i="6"/>
  <c r="C86" i="6"/>
  <c r="D85" i="6"/>
  <c r="E85" i="6"/>
  <c r="F85" i="6"/>
  <c r="C85" i="6"/>
  <c r="D84" i="6"/>
  <c r="D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D51" i="6"/>
  <c r="E51" i="6"/>
  <c r="F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D44" i="6"/>
  <c r="E44" i="6"/>
  <c r="F44" i="6"/>
  <c r="C44" i="6"/>
  <c r="D43" i="6"/>
  <c r="E43" i="6"/>
  <c r="F43" i="6"/>
  <c r="C43" i="6"/>
  <c r="D42" i="6"/>
  <c r="E42" i="6"/>
  <c r="F42" i="6"/>
  <c r="C42" i="6"/>
  <c r="D41" i="6"/>
  <c r="D52" i="6"/>
  <c r="E52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F48" i="5"/>
  <c r="D48" i="5"/>
  <c r="E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/>
  <c r="C16" i="5"/>
  <c r="C18" i="5"/>
  <c r="F15" i="5"/>
  <c r="E15" i="5"/>
  <c r="F14" i="5"/>
  <c r="E14" i="5"/>
  <c r="F13" i="5"/>
  <c r="E13" i="5"/>
  <c r="F12" i="5"/>
  <c r="E12" i="5"/>
  <c r="D73" i="4"/>
  <c r="E73" i="4"/>
  <c r="F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F61" i="4"/>
  <c r="D61" i="4"/>
  <c r="D65" i="4"/>
  <c r="C61" i="4"/>
  <c r="C65" i="4"/>
  <c r="F60" i="4"/>
  <c r="E60" i="4"/>
  <c r="F59" i="4"/>
  <c r="E59" i="4"/>
  <c r="D56" i="4"/>
  <c r="E56" i="4"/>
  <c r="F56" i="4"/>
  <c r="C56" i="4"/>
  <c r="F55" i="4"/>
  <c r="E55" i="4"/>
  <c r="E54" i="4"/>
  <c r="F54" i="4"/>
  <c r="F53" i="4"/>
  <c r="E53" i="4"/>
  <c r="F52" i="4"/>
  <c r="E52" i="4"/>
  <c r="F51" i="4"/>
  <c r="E51" i="4"/>
  <c r="A51" i="4"/>
  <c r="A52" i="4"/>
  <c r="A53" i="4"/>
  <c r="A54" i="4"/>
  <c r="A55" i="4"/>
  <c r="E50" i="4"/>
  <c r="F50" i="4"/>
  <c r="A50" i="4"/>
  <c r="F49" i="4"/>
  <c r="E49" i="4"/>
  <c r="F40" i="4"/>
  <c r="E40" i="4"/>
  <c r="D38" i="4"/>
  <c r="E38" i="4"/>
  <c r="F38" i="4"/>
  <c r="C38" i="4"/>
  <c r="C41" i="4"/>
  <c r="F37" i="4"/>
  <c r="E37" i="4"/>
  <c r="F36" i="4"/>
  <c r="E36" i="4"/>
  <c r="F33" i="4"/>
  <c r="E33" i="4"/>
  <c r="F32" i="4"/>
  <c r="E32" i="4"/>
  <c r="F31" i="4"/>
  <c r="E31" i="4"/>
  <c r="D29" i="4"/>
  <c r="E29" i="4"/>
  <c r="F29" i="4"/>
  <c r="C29" i="4"/>
  <c r="F28" i="4"/>
  <c r="E28" i="4"/>
  <c r="F27" i="4"/>
  <c r="E27" i="4"/>
  <c r="F26" i="4"/>
  <c r="E26" i="4"/>
  <c r="F25" i="4"/>
  <c r="E25" i="4"/>
  <c r="D22" i="4"/>
  <c r="E22" i="4"/>
  <c r="F22" i="4"/>
  <c r="C22" i="4"/>
  <c r="C43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D108" i="22"/>
  <c r="D109" i="22"/>
  <c r="C109" i="22"/>
  <c r="C108" i="22"/>
  <c r="E109" i="22"/>
  <c r="E108" i="22"/>
  <c r="D22" i="22"/>
  <c r="C23" i="22"/>
  <c r="E23" i="22"/>
  <c r="D33" i="22"/>
  <c r="C34" i="22"/>
  <c r="E34" i="22"/>
  <c r="D101" i="22"/>
  <c r="D103" i="22"/>
  <c r="C102" i="22"/>
  <c r="C103" i="22"/>
  <c r="E102" i="22"/>
  <c r="E103" i="22"/>
  <c r="D111" i="22"/>
  <c r="C22" i="22"/>
  <c r="E22" i="22"/>
  <c r="D30" i="22"/>
  <c r="D36" i="22"/>
  <c r="D40" i="22"/>
  <c r="D46" i="22"/>
  <c r="F21" i="21"/>
  <c r="F20" i="20"/>
  <c r="C41" i="20"/>
  <c r="F40" i="20"/>
  <c r="D41" i="20"/>
  <c r="E39" i="20"/>
  <c r="E41" i="20"/>
  <c r="E19" i="20"/>
  <c r="F19" i="20"/>
  <c r="E43" i="20"/>
  <c r="C38" i="19"/>
  <c r="C127" i="19"/>
  <c r="C129" i="19"/>
  <c r="C133" i="19"/>
  <c r="C22" i="19"/>
  <c r="E33" i="18"/>
  <c r="D258" i="18"/>
  <c r="D101" i="18"/>
  <c r="D99" i="18"/>
  <c r="D97" i="18"/>
  <c r="D95" i="18"/>
  <c r="D88" i="18"/>
  <c r="D86" i="18"/>
  <c r="E86" i="18"/>
  <c r="D100" i="18"/>
  <c r="D96" i="18"/>
  <c r="D89" i="18"/>
  <c r="D84" i="18"/>
  <c r="E44" i="18"/>
  <c r="D98" i="18"/>
  <c r="D87" i="18"/>
  <c r="D85" i="18"/>
  <c r="E85" i="18"/>
  <c r="D83" i="18"/>
  <c r="D259" i="18"/>
  <c r="E43" i="18"/>
  <c r="C258" i="18"/>
  <c r="C100" i="18"/>
  <c r="C98" i="18"/>
  <c r="C96" i="18"/>
  <c r="C89" i="18"/>
  <c r="C87" i="18"/>
  <c r="C99" i="18"/>
  <c r="C95" i="18"/>
  <c r="C88" i="18"/>
  <c r="C85" i="18"/>
  <c r="C83" i="18"/>
  <c r="C101" i="18"/>
  <c r="C97" i="18"/>
  <c r="C86" i="18"/>
  <c r="C84" i="18"/>
  <c r="C90" i="18"/>
  <c r="D126" i="18"/>
  <c r="D124" i="18"/>
  <c r="D122" i="18"/>
  <c r="D115" i="18"/>
  <c r="D113" i="18"/>
  <c r="D111" i="18"/>
  <c r="D109" i="18"/>
  <c r="D127" i="18"/>
  <c r="D123" i="18"/>
  <c r="D112" i="18"/>
  <c r="D125" i="18"/>
  <c r="D121" i="18"/>
  <c r="D114" i="18"/>
  <c r="D110" i="18"/>
  <c r="E17" i="17"/>
  <c r="E85" i="17"/>
  <c r="D192" i="17"/>
  <c r="E129" i="17"/>
  <c r="E130" i="17"/>
  <c r="E135" i="17"/>
  <c r="E145" i="17"/>
  <c r="E155" i="17"/>
  <c r="E229" i="17"/>
  <c r="E230" i="17"/>
  <c r="E238" i="17"/>
  <c r="E296" i="17"/>
  <c r="E297" i="17"/>
  <c r="E298" i="17"/>
  <c r="E299" i="17"/>
  <c r="E21" i="18"/>
  <c r="D22" i="18"/>
  <c r="E37" i="18"/>
  <c r="C55" i="18"/>
  <c r="E55" i="18"/>
  <c r="E289" i="18"/>
  <c r="C65" i="18"/>
  <c r="C66" i="18"/>
  <c r="C295" i="18"/>
  <c r="E69" i="18"/>
  <c r="C71" i="18"/>
  <c r="C76" i="18"/>
  <c r="D163" i="18"/>
  <c r="E163" i="18"/>
  <c r="D175" i="18"/>
  <c r="E175" i="18"/>
  <c r="D144" i="18"/>
  <c r="E139" i="18"/>
  <c r="E157" i="18"/>
  <c r="C294" i="18"/>
  <c r="E294" i="18"/>
  <c r="E32" i="18"/>
  <c r="D295" i="18"/>
  <c r="E36" i="18"/>
  <c r="E60" i="18"/>
  <c r="E70" i="18"/>
  <c r="C168" i="18"/>
  <c r="C180" i="18"/>
  <c r="C145" i="18"/>
  <c r="C156" i="18"/>
  <c r="C157" i="18"/>
  <c r="E156" i="18"/>
  <c r="C189" i="18"/>
  <c r="E260" i="18"/>
  <c r="C211" i="18"/>
  <c r="C235" i="18"/>
  <c r="C234" i="18"/>
  <c r="C241" i="18"/>
  <c r="E243" i="18"/>
  <c r="E245" i="18"/>
  <c r="E302" i="18"/>
  <c r="C303" i="18"/>
  <c r="C306" i="18"/>
  <c r="C310" i="18"/>
  <c r="D261" i="18"/>
  <c r="E261" i="18"/>
  <c r="D189" i="18"/>
  <c r="E189" i="18"/>
  <c r="E188" i="18"/>
  <c r="E195" i="18"/>
  <c r="D210" i="18"/>
  <c r="E205" i="18"/>
  <c r="D229" i="18"/>
  <c r="E229" i="18"/>
  <c r="C239" i="18"/>
  <c r="E239" i="18"/>
  <c r="E215" i="18"/>
  <c r="E216" i="18"/>
  <c r="D240" i="18"/>
  <c r="E240" i="18"/>
  <c r="D222" i="18"/>
  <c r="C252" i="18"/>
  <c r="C254" i="18"/>
  <c r="C253" i="18"/>
  <c r="D320" i="18"/>
  <c r="E320" i="18"/>
  <c r="E316" i="18"/>
  <c r="E219" i="18"/>
  <c r="E221" i="18"/>
  <c r="D242" i="18"/>
  <c r="E242" i="18"/>
  <c r="D244" i="18"/>
  <c r="E244" i="18"/>
  <c r="D253" i="18"/>
  <c r="E253" i="18"/>
  <c r="E265" i="18"/>
  <c r="D303" i="18"/>
  <c r="E314" i="18"/>
  <c r="D326" i="18"/>
  <c r="D217" i="18"/>
  <c r="C222" i="18"/>
  <c r="C246" i="18"/>
  <c r="D223" i="18"/>
  <c r="E231" i="18"/>
  <c r="E251" i="18"/>
  <c r="F17" i="17"/>
  <c r="D21" i="17"/>
  <c r="F23" i="17"/>
  <c r="F24" i="17"/>
  <c r="F29" i="17"/>
  <c r="E30" i="17"/>
  <c r="F30" i="17"/>
  <c r="D31" i="17"/>
  <c r="D37" i="17"/>
  <c r="D48" i="17"/>
  <c r="C61" i="17"/>
  <c r="F68" i="17"/>
  <c r="F89" i="17"/>
  <c r="E102" i="17"/>
  <c r="D103" i="17"/>
  <c r="E111" i="17"/>
  <c r="F111" i="17"/>
  <c r="E192" i="17"/>
  <c r="C207" i="17"/>
  <c r="C138" i="17"/>
  <c r="F146" i="17"/>
  <c r="F159" i="17"/>
  <c r="E172" i="17"/>
  <c r="D173" i="17"/>
  <c r="E181" i="17"/>
  <c r="F181" i="17"/>
  <c r="E20" i="17"/>
  <c r="F20" i="17"/>
  <c r="C21" i="17"/>
  <c r="C140" i="17"/>
  <c r="C62" i="17"/>
  <c r="C160" i="17"/>
  <c r="C90" i="17"/>
  <c r="D61" i="17"/>
  <c r="E60" i="17"/>
  <c r="F60" i="17"/>
  <c r="C103" i="17"/>
  <c r="F102" i="17"/>
  <c r="F192" i="17"/>
  <c r="D207" i="17"/>
  <c r="E137" i="17"/>
  <c r="F137" i="17"/>
  <c r="D138" i="17"/>
  <c r="E138" i="17"/>
  <c r="C173" i="17"/>
  <c r="C175" i="17"/>
  <c r="F172" i="17"/>
  <c r="C37" i="17"/>
  <c r="E59" i="17"/>
  <c r="F59" i="17"/>
  <c r="E66" i="17"/>
  <c r="F66" i="17"/>
  <c r="E76" i="17"/>
  <c r="F76" i="17"/>
  <c r="F85" i="17"/>
  <c r="F94" i="17"/>
  <c r="F95" i="17"/>
  <c r="F100" i="17"/>
  <c r="F110" i="17"/>
  <c r="F120" i="17"/>
  <c r="D124" i="17"/>
  <c r="F129" i="17"/>
  <c r="F130" i="17"/>
  <c r="F135" i="17"/>
  <c r="F145" i="17"/>
  <c r="F155" i="17"/>
  <c r="F164" i="17"/>
  <c r="F165" i="17"/>
  <c r="F170" i="17"/>
  <c r="F180" i="17"/>
  <c r="D277" i="17"/>
  <c r="D261" i="17"/>
  <c r="D214" i="17"/>
  <c r="D206" i="17"/>
  <c r="D278" i="17"/>
  <c r="D262" i="17"/>
  <c r="D215" i="17"/>
  <c r="D190" i="17"/>
  <c r="D280" i="17"/>
  <c r="D264" i="17"/>
  <c r="D200" i="17"/>
  <c r="D193" i="17"/>
  <c r="C193" i="17"/>
  <c r="C266" i="17"/>
  <c r="C290" i="17"/>
  <c r="C274" i="17"/>
  <c r="E198" i="17"/>
  <c r="F198" i="17"/>
  <c r="C285" i="17"/>
  <c r="C269" i="17"/>
  <c r="E204" i="17"/>
  <c r="F204" i="17"/>
  <c r="E227" i="17"/>
  <c r="F227" i="17"/>
  <c r="F239" i="17"/>
  <c r="E88" i="17"/>
  <c r="F88" i="17"/>
  <c r="E101" i="17"/>
  <c r="F101" i="17"/>
  <c r="E109" i="17"/>
  <c r="F109" i="17"/>
  <c r="E123" i="17"/>
  <c r="F123" i="17"/>
  <c r="C124" i="17"/>
  <c r="E136" i="17"/>
  <c r="F136" i="17"/>
  <c r="E144" i="17"/>
  <c r="F144" i="17"/>
  <c r="E158" i="17"/>
  <c r="F158" i="17"/>
  <c r="E171" i="17"/>
  <c r="F171" i="17"/>
  <c r="E179" i="17"/>
  <c r="F179" i="17"/>
  <c r="C277" i="17"/>
  <c r="C261" i="17"/>
  <c r="C254" i="17"/>
  <c r="C214" i="17"/>
  <c r="E188" i="17"/>
  <c r="F188" i="17"/>
  <c r="C278" i="17"/>
  <c r="C262" i="17"/>
  <c r="C255" i="17"/>
  <c r="C215" i="17"/>
  <c r="E189" i="17"/>
  <c r="F189" i="17"/>
  <c r="C190" i="17"/>
  <c r="C280" i="17"/>
  <c r="C264" i="17"/>
  <c r="E191" i="17"/>
  <c r="F191" i="17"/>
  <c r="C199" i="17"/>
  <c r="C200" i="17"/>
  <c r="C283" i="17"/>
  <c r="C267" i="17"/>
  <c r="E203" i="17"/>
  <c r="F203" i="17"/>
  <c r="C205" i="17"/>
  <c r="C206" i="17"/>
  <c r="D290" i="17"/>
  <c r="E290" i="17"/>
  <c r="D274" i="17"/>
  <c r="E274" i="17"/>
  <c r="D199" i="17"/>
  <c r="E199" i="17"/>
  <c r="D283" i="17"/>
  <c r="D267" i="17"/>
  <c r="D285" i="17"/>
  <c r="E285" i="17"/>
  <c r="D269" i="17"/>
  <c r="E269" i="17"/>
  <c r="D205" i="17"/>
  <c r="E205" i="17"/>
  <c r="F223" i="17"/>
  <c r="F229" i="17"/>
  <c r="F230" i="17"/>
  <c r="F238" i="17"/>
  <c r="E306" i="17"/>
  <c r="F294" i="17"/>
  <c r="F295" i="17"/>
  <c r="E226" i="17"/>
  <c r="F226" i="17"/>
  <c r="E237" i="17"/>
  <c r="F237" i="17"/>
  <c r="E250" i="17"/>
  <c r="F250" i="17"/>
  <c r="F296" i="17"/>
  <c r="F297" i="17"/>
  <c r="F298" i="17"/>
  <c r="F299" i="17"/>
  <c r="F107" i="15"/>
  <c r="H33" i="14"/>
  <c r="H36" i="14"/>
  <c r="H38" i="14"/>
  <c r="H40" i="14"/>
  <c r="F36" i="14"/>
  <c r="F38" i="14"/>
  <c r="F40" i="14"/>
  <c r="G36" i="14"/>
  <c r="G38" i="14"/>
  <c r="G40" i="14"/>
  <c r="I33" i="14"/>
  <c r="I36" i="14"/>
  <c r="I38" i="14"/>
  <c r="I40" i="14"/>
  <c r="I17" i="14"/>
  <c r="D31" i="14"/>
  <c r="F31" i="14"/>
  <c r="H31" i="14"/>
  <c r="H17" i="14"/>
  <c r="D21" i="13"/>
  <c r="C22" i="13"/>
  <c r="C20" i="13"/>
  <c r="C21" i="13"/>
  <c r="E20" i="13"/>
  <c r="E21" i="13"/>
  <c r="D15" i="13"/>
  <c r="C17" i="13"/>
  <c r="C28" i="13"/>
  <c r="C70" i="13"/>
  <c r="C72" i="13"/>
  <c r="C69" i="13"/>
  <c r="E17" i="13"/>
  <c r="E28" i="13"/>
  <c r="E70" i="13"/>
  <c r="E72" i="13"/>
  <c r="E69" i="13"/>
  <c r="D48" i="13"/>
  <c r="D42" i="13"/>
  <c r="D20" i="12"/>
  <c r="E17" i="12"/>
  <c r="F17" i="12"/>
  <c r="C20" i="12"/>
  <c r="E15" i="12"/>
  <c r="F15" i="12"/>
  <c r="D41" i="11"/>
  <c r="E41" i="11"/>
  <c r="F41" i="11"/>
  <c r="D65" i="11"/>
  <c r="E65" i="11"/>
  <c r="F65" i="11"/>
  <c r="D121" i="10"/>
  <c r="E121" i="10"/>
  <c r="F121" i="10"/>
  <c r="D122" i="10"/>
  <c r="E122" i="10"/>
  <c r="F122" i="10"/>
  <c r="F207" i="9"/>
  <c r="F208" i="9"/>
  <c r="E198" i="9"/>
  <c r="F198" i="9"/>
  <c r="E199" i="9"/>
  <c r="F199" i="9"/>
  <c r="C21" i="8"/>
  <c r="E21" i="8"/>
  <c r="D21" i="8"/>
  <c r="D20" i="8"/>
  <c r="E140" i="8"/>
  <c r="E138" i="8"/>
  <c r="E136" i="8"/>
  <c r="E139" i="8"/>
  <c r="E137" i="8"/>
  <c r="E135" i="8"/>
  <c r="E141" i="8"/>
  <c r="D139" i="8"/>
  <c r="D137" i="8"/>
  <c r="D135" i="8"/>
  <c r="D140" i="8"/>
  <c r="D138" i="8"/>
  <c r="D136" i="8"/>
  <c r="C157" i="8"/>
  <c r="C155" i="8"/>
  <c r="C153" i="8"/>
  <c r="C156" i="8"/>
  <c r="C154" i="8"/>
  <c r="C152" i="8"/>
  <c r="C158" i="8"/>
  <c r="E157" i="8"/>
  <c r="E155" i="8"/>
  <c r="E153" i="8"/>
  <c r="E156" i="8"/>
  <c r="E154" i="8"/>
  <c r="E152" i="8"/>
  <c r="E158" i="8"/>
  <c r="C140" i="8"/>
  <c r="C138" i="8"/>
  <c r="C136" i="8"/>
  <c r="C139" i="8"/>
  <c r="C137" i="8"/>
  <c r="C135" i="8"/>
  <c r="D156" i="8"/>
  <c r="D154" i="8"/>
  <c r="D152" i="8"/>
  <c r="D157" i="8"/>
  <c r="D155" i="8"/>
  <c r="D153" i="8"/>
  <c r="D49" i="8"/>
  <c r="D57" i="8"/>
  <c r="D62" i="8"/>
  <c r="C15" i="8"/>
  <c r="E15" i="8"/>
  <c r="D17" i="8"/>
  <c r="D43" i="8"/>
  <c r="C49" i="8"/>
  <c r="E49" i="8"/>
  <c r="C77" i="8"/>
  <c r="C71" i="8"/>
  <c r="E77" i="8"/>
  <c r="E71" i="8"/>
  <c r="F95" i="7"/>
  <c r="F188" i="7"/>
  <c r="E90" i="7"/>
  <c r="F90" i="7"/>
  <c r="E183" i="7"/>
  <c r="F183" i="7"/>
  <c r="F52" i="6"/>
  <c r="E95" i="6"/>
  <c r="F95" i="6"/>
  <c r="E41" i="6"/>
  <c r="F41" i="6"/>
  <c r="E84" i="6"/>
  <c r="F84" i="6"/>
  <c r="D21" i="5"/>
  <c r="E18" i="5"/>
  <c r="F18" i="5"/>
  <c r="C21" i="5"/>
  <c r="E16" i="5"/>
  <c r="F16" i="5"/>
  <c r="F41" i="4"/>
  <c r="C75" i="4"/>
  <c r="E65" i="4"/>
  <c r="F65" i="4"/>
  <c r="D41" i="4"/>
  <c r="E41" i="4"/>
  <c r="D43" i="4"/>
  <c r="E43" i="4"/>
  <c r="F43" i="4"/>
  <c r="D75" i="4"/>
  <c r="E75" i="4"/>
  <c r="E61" i="4"/>
  <c r="E53" i="22"/>
  <c r="E45" i="22"/>
  <c r="E39" i="22"/>
  <c r="E35" i="22"/>
  <c r="E29" i="22"/>
  <c r="E110" i="22"/>
  <c r="C111" i="22"/>
  <c r="C54" i="22"/>
  <c r="C46" i="22"/>
  <c r="C40" i="22"/>
  <c r="C36" i="22"/>
  <c r="C30" i="22"/>
  <c r="D56" i="22"/>
  <c r="D48" i="22"/>
  <c r="D38" i="22"/>
  <c r="D113" i="22"/>
  <c r="C53" i="22"/>
  <c r="C45" i="22"/>
  <c r="C39" i="22"/>
  <c r="C35" i="22"/>
  <c r="C29" i="22"/>
  <c r="C110" i="22"/>
  <c r="E111" i="22"/>
  <c r="E54" i="22"/>
  <c r="E46" i="22"/>
  <c r="E40" i="22"/>
  <c r="E36" i="22"/>
  <c r="E30" i="22"/>
  <c r="D110" i="22"/>
  <c r="D53" i="22"/>
  <c r="D45" i="22"/>
  <c r="D39" i="22"/>
  <c r="D35" i="22"/>
  <c r="D29" i="22"/>
  <c r="F39" i="20"/>
  <c r="F43" i="20"/>
  <c r="E46" i="20"/>
  <c r="F46" i="20"/>
  <c r="F41" i="20"/>
  <c r="E76" i="18"/>
  <c r="C77" i="18"/>
  <c r="C259" i="18"/>
  <c r="C263" i="18"/>
  <c r="D247" i="18"/>
  <c r="E223" i="18"/>
  <c r="D241" i="18"/>
  <c r="E241" i="18"/>
  <c r="E217" i="18"/>
  <c r="E222" i="18"/>
  <c r="D246" i="18"/>
  <c r="E246" i="18"/>
  <c r="C223" i="18"/>
  <c r="C247" i="18"/>
  <c r="D234" i="18"/>
  <c r="E234" i="18"/>
  <c r="E210" i="18"/>
  <c r="D211" i="18"/>
  <c r="C284" i="18"/>
  <c r="E65" i="18"/>
  <c r="D284" i="18"/>
  <c r="E284" i="18"/>
  <c r="E22" i="18"/>
  <c r="D128" i="18"/>
  <c r="C103" i="18"/>
  <c r="C102" i="18"/>
  <c r="E71" i="18"/>
  <c r="E83" i="18"/>
  <c r="E87" i="18"/>
  <c r="E89" i="18"/>
  <c r="E100" i="18"/>
  <c r="E88" i="18"/>
  <c r="E97" i="18"/>
  <c r="E101" i="18"/>
  <c r="E326" i="18"/>
  <c r="D330" i="18"/>
  <c r="E330" i="18"/>
  <c r="E303" i="18"/>
  <c r="D306" i="18"/>
  <c r="D252" i="18"/>
  <c r="C181" i="18"/>
  <c r="C169" i="18"/>
  <c r="E295" i="18"/>
  <c r="D180" i="18"/>
  <c r="E180" i="18"/>
  <c r="D168" i="18"/>
  <c r="E168" i="18"/>
  <c r="D145" i="18"/>
  <c r="E144" i="18"/>
  <c r="D116" i="18"/>
  <c r="D129" i="18"/>
  <c r="E66" i="18"/>
  <c r="C91" i="18"/>
  <c r="C105" i="18"/>
  <c r="C264" i="18"/>
  <c r="C266" i="18"/>
  <c r="C267" i="18"/>
  <c r="D263" i="18"/>
  <c r="E263" i="18"/>
  <c r="E259" i="18"/>
  <c r="E98" i="18"/>
  <c r="D90" i="18"/>
  <c r="E90" i="18"/>
  <c r="E84" i="18"/>
  <c r="E96" i="18"/>
  <c r="D102" i="18"/>
  <c r="E102" i="18"/>
  <c r="E95" i="18"/>
  <c r="E99" i="18"/>
  <c r="E258" i="18"/>
  <c r="D264" i="18"/>
  <c r="C176" i="17"/>
  <c r="E267" i="17"/>
  <c r="D270" i="17"/>
  <c r="E283" i="17"/>
  <c r="D286" i="17"/>
  <c r="F205" i="17"/>
  <c r="C286" i="17"/>
  <c r="F283" i="17"/>
  <c r="F199" i="17"/>
  <c r="C300" i="17"/>
  <c r="C265" i="17"/>
  <c r="C272" i="17"/>
  <c r="C287" i="17"/>
  <c r="C284" i="17"/>
  <c r="C279" i="17"/>
  <c r="F285" i="17"/>
  <c r="F290" i="17"/>
  <c r="D194" i="17"/>
  <c r="D195" i="17"/>
  <c r="E193" i="17"/>
  <c r="D300" i="17"/>
  <c r="E300" i="17"/>
  <c r="E264" i="17"/>
  <c r="F264" i="17"/>
  <c r="E190" i="17"/>
  <c r="F190" i="17"/>
  <c r="D272" i="17"/>
  <c r="E262" i="17"/>
  <c r="F262" i="17"/>
  <c r="E206" i="17"/>
  <c r="D271" i="17"/>
  <c r="D268" i="17"/>
  <c r="E261" i="17"/>
  <c r="D263" i="17"/>
  <c r="E124" i="17"/>
  <c r="F124" i="17"/>
  <c r="E207" i="17"/>
  <c r="D208" i="17"/>
  <c r="D209" i="17"/>
  <c r="D174" i="17"/>
  <c r="E174" i="17"/>
  <c r="D139" i="17"/>
  <c r="D104" i="17"/>
  <c r="E104" i="17"/>
  <c r="E61" i="17"/>
  <c r="C125" i="17"/>
  <c r="C105" i="17"/>
  <c r="C161" i="17"/>
  <c r="C126" i="17"/>
  <c r="C91" i="17"/>
  <c r="C49" i="17"/>
  <c r="F138" i="17"/>
  <c r="E103" i="17"/>
  <c r="F103" i="17"/>
  <c r="C174" i="17"/>
  <c r="C139" i="17"/>
  <c r="C104" i="17"/>
  <c r="F61" i="17"/>
  <c r="D160" i="17"/>
  <c r="E160" i="17"/>
  <c r="D125" i="17"/>
  <c r="D90" i="17"/>
  <c r="E90" i="17"/>
  <c r="F90" i="17"/>
  <c r="E48" i="17"/>
  <c r="F48" i="17"/>
  <c r="E31" i="17"/>
  <c r="F31" i="17"/>
  <c r="D32" i="17"/>
  <c r="D266" i="17"/>
  <c r="E266" i="17"/>
  <c r="F266" i="17"/>
  <c r="F206" i="17"/>
  <c r="C270" i="17"/>
  <c r="F267" i="17"/>
  <c r="C288" i="17"/>
  <c r="C216" i="17"/>
  <c r="C271" i="17"/>
  <c r="C268" i="17"/>
  <c r="C263" i="17"/>
  <c r="F261" i="17"/>
  <c r="F269" i="17"/>
  <c r="F274" i="17"/>
  <c r="F193" i="17"/>
  <c r="C194" i="17"/>
  <c r="C196" i="17"/>
  <c r="E200" i="17"/>
  <c r="F200" i="17"/>
  <c r="E280" i="17"/>
  <c r="F280" i="17"/>
  <c r="E215" i="17"/>
  <c r="F215" i="17"/>
  <c r="D255" i="17"/>
  <c r="E255" i="17"/>
  <c r="F255" i="17"/>
  <c r="E278" i="17"/>
  <c r="F278" i="17"/>
  <c r="D288" i="17"/>
  <c r="E214" i="17"/>
  <c r="F214" i="17"/>
  <c r="D254" i="17"/>
  <c r="D216" i="17"/>
  <c r="E216" i="17"/>
  <c r="E277" i="17"/>
  <c r="F277" i="17"/>
  <c r="D287" i="17"/>
  <c r="D284" i="17"/>
  <c r="E284" i="17"/>
  <c r="D279" i="17"/>
  <c r="E279" i="17"/>
  <c r="C304" i="17"/>
  <c r="F160" i="17"/>
  <c r="C63" i="17"/>
  <c r="C141" i="17"/>
  <c r="C282" i="17"/>
  <c r="E173" i="17"/>
  <c r="F173" i="17"/>
  <c r="C208" i="17"/>
  <c r="F207" i="17"/>
  <c r="E37" i="17"/>
  <c r="F37" i="17"/>
  <c r="D196" i="17"/>
  <c r="D161" i="17"/>
  <c r="D126" i="17"/>
  <c r="D91" i="17"/>
  <c r="E21" i="17"/>
  <c r="F21" i="17"/>
  <c r="D49" i="17"/>
  <c r="D282" i="17"/>
  <c r="E282" i="17"/>
  <c r="D24" i="13"/>
  <c r="D20" i="13"/>
  <c r="D17" i="13"/>
  <c r="D28" i="13"/>
  <c r="E22" i="13"/>
  <c r="C34" i="12"/>
  <c r="D34" i="12"/>
  <c r="E20" i="12"/>
  <c r="F20" i="12"/>
  <c r="D75" i="11"/>
  <c r="E75" i="11"/>
  <c r="F75" i="11"/>
  <c r="D43" i="11"/>
  <c r="E43" i="11"/>
  <c r="F43" i="11"/>
  <c r="D28" i="8"/>
  <c r="D112" i="8"/>
  <c r="D111" i="8"/>
  <c r="E24" i="8"/>
  <c r="E20" i="8"/>
  <c r="E17" i="8"/>
  <c r="C141" i="8"/>
  <c r="D141" i="8"/>
  <c r="C24" i="8"/>
  <c r="C20" i="8"/>
  <c r="C17" i="8"/>
  <c r="D158" i="8"/>
  <c r="D35" i="5"/>
  <c r="E21" i="5"/>
  <c r="F21" i="5"/>
  <c r="C35" i="5"/>
  <c r="F75" i="4"/>
  <c r="D112" i="22"/>
  <c r="D55" i="22"/>
  <c r="D47" i="22"/>
  <c r="D37" i="22"/>
  <c r="E113" i="22"/>
  <c r="E56" i="22"/>
  <c r="E48" i="22"/>
  <c r="E38" i="22"/>
  <c r="C113" i="22"/>
  <c r="C56" i="22"/>
  <c r="C48" i="22"/>
  <c r="C38" i="22"/>
  <c r="C55" i="22"/>
  <c r="C47" i="22"/>
  <c r="C37" i="22"/>
  <c r="C112" i="22"/>
  <c r="E55" i="22"/>
  <c r="E47" i="22"/>
  <c r="E37" i="22"/>
  <c r="E112" i="22"/>
  <c r="C269" i="18"/>
  <c r="C268" i="18"/>
  <c r="D103" i="18"/>
  <c r="E103" i="18"/>
  <c r="D169" i="18"/>
  <c r="E169" i="18"/>
  <c r="D181" i="18"/>
  <c r="E181" i="18"/>
  <c r="E145" i="18"/>
  <c r="E252" i="18"/>
  <c r="D254" i="18"/>
  <c r="E254" i="18"/>
  <c r="E247" i="18"/>
  <c r="C127" i="18"/>
  <c r="E127" i="18"/>
  <c r="C125" i="18"/>
  <c r="E125" i="18"/>
  <c r="C123" i="18"/>
  <c r="E123" i="18"/>
  <c r="C121" i="18"/>
  <c r="C114" i="18"/>
  <c r="E114" i="18"/>
  <c r="C112" i="18"/>
  <c r="E112" i="18"/>
  <c r="C110" i="18"/>
  <c r="C126" i="18"/>
  <c r="E126" i="18"/>
  <c r="C122" i="18"/>
  <c r="C115" i="18"/>
  <c r="E115" i="18"/>
  <c r="C111" i="18"/>
  <c r="E111" i="18"/>
  <c r="C124" i="18"/>
  <c r="E124" i="18"/>
  <c r="C113" i="18"/>
  <c r="E113" i="18"/>
  <c r="C109" i="18"/>
  <c r="E77" i="18"/>
  <c r="E264" i="18"/>
  <c r="D266" i="18"/>
  <c r="E306" i="18"/>
  <c r="D310" i="18"/>
  <c r="E310" i="18"/>
  <c r="D91" i="18"/>
  <c r="D117" i="18"/>
  <c r="E211" i="18"/>
  <c r="D235" i="18"/>
  <c r="E235" i="18"/>
  <c r="E126" i="17"/>
  <c r="F126" i="17"/>
  <c r="D127" i="17"/>
  <c r="E287" i="17"/>
  <c r="D291" i="17"/>
  <c r="D289" i="17"/>
  <c r="E49" i="17"/>
  <c r="D50" i="17"/>
  <c r="E91" i="17"/>
  <c r="D92" i="17"/>
  <c r="E161" i="17"/>
  <c r="D162" i="17"/>
  <c r="C210" i="17"/>
  <c r="F282" i="17"/>
  <c r="C322" i="17"/>
  <c r="C211" i="17"/>
  <c r="E254" i="17"/>
  <c r="F254" i="17"/>
  <c r="E288" i="17"/>
  <c r="F288" i="17"/>
  <c r="D281" i="17"/>
  <c r="E281" i="17"/>
  <c r="C273" i="17"/>
  <c r="F216" i="17"/>
  <c r="C281" i="17"/>
  <c r="D210" i="17"/>
  <c r="D62" i="17"/>
  <c r="D175" i="17"/>
  <c r="D140" i="17"/>
  <c r="D105" i="17"/>
  <c r="E32" i="17"/>
  <c r="F32" i="17"/>
  <c r="E125" i="17"/>
  <c r="F104" i="17"/>
  <c r="F174" i="17"/>
  <c r="C127" i="17"/>
  <c r="C106" i="17"/>
  <c r="E139" i="17"/>
  <c r="E208" i="17"/>
  <c r="F208" i="17"/>
  <c r="E263" i="17"/>
  <c r="F263" i="17"/>
  <c r="E268" i="17"/>
  <c r="F268" i="17"/>
  <c r="E272" i="17"/>
  <c r="D265" i="17"/>
  <c r="E265" i="17"/>
  <c r="F265" i="17"/>
  <c r="E194" i="17"/>
  <c r="F194" i="17"/>
  <c r="F284" i="17"/>
  <c r="F300" i="17"/>
  <c r="D197" i="17"/>
  <c r="E196" i="17"/>
  <c r="F196" i="17"/>
  <c r="C195" i="17"/>
  <c r="F139" i="17"/>
  <c r="C209" i="17"/>
  <c r="C50" i="17"/>
  <c r="F49" i="17"/>
  <c r="C92" i="17"/>
  <c r="F91" i="17"/>
  <c r="C162" i="17"/>
  <c r="F161" i="17"/>
  <c r="F125" i="17"/>
  <c r="E271" i="17"/>
  <c r="F271" i="17"/>
  <c r="D304" i="17"/>
  <c r="D273" i="17"/>
  <c r="F279" i="17"/>
  <c r="C291" i="17"/>
  <c r="C289" i="17"/>
  <c r="F287" i="17"/>
  <c r="F272" i="17"/>
  <c r="E286" i="17"/>
  <c r="F286" i="17"/>
  <c r="E270" i="17"/>
  <c r="F270" i="17"/>
  <c r="D70" i="13"/>
  <c r="D72" i="13"/>
  <c r="D69" i="13"/>
  <c r="D22" i="13"/>
  <c r="C42" i="12"/>
  <c r="D42" i="12"/>
  <c r="E34" i="12"/>
  <c r="F34" i="12"/>
  <c r="D99" i="8"/>
  <c r="D101" i="8"/>
  <c r="D98" i="8"/>
  <c r="D22" i="8"/>
  <c r="C112" i="8"/>
  <c r="C111" i="8"/>
  <c r="C28" i="8"/>
  <c r="E112" i="8"/>
  <c r="E111" i="8"/>
  <c r="E28" i="8"/>
  <c r="D43" i="5"/>
  <c r="E35" i="5"/>
  <c r="F35" i="5"/>
  <c r="C43" i="5"/>
  <c r="E91" i="18"/>
  <c r="D105" i="18"/>
  <c r="E105" i="18"/>
  <c r="C117" i="18"/>
  <c r="E109" i="18"/>
  <c r="C129" i="18"/>
  <c r="E129" i="18"/>
  <c r="E121" i="18"/>
  <c r="C271" i="18"/>
  <c r="D131" i="18"/>
  <c r="E117" i="18"/>
  <c r="E266" i="18"/>
  <c r="D267" i="18"/>
  <c r="C128" i="18"/>
  <c r="E128" i="18"/>
  <c r="E122" i="18"/>
  <c r="C116" i="18"/>
  <c r="E116" i="18"/>
  <c r="E110" i="18"/>
  <c r="C323" i="17"/>
  <c r="C183" i="17"/>
  <c r="C70" i="17"/>
  <c r="E105" i="17"/>
  <c r="F105" i="17"/>
  <c r="D106" i="17"/>
  <c r="E106" i="17"/>
  <c r="F106" i="17"/>
  <c r="E210" i="17"/>
  <c r="F210" i="17"/>
  <c r="D211" i="17"/>
  <c r="E211" i="17"/>
  <c r="F211" i="17"/>
  <c r="E291" i="17"/>
  <c r="D305" i="17"/>
  <c r="E304" i="17"/>
  <c r="F304" i="17"/>
  <c r="C324" i="17"/>
  <c r="C113" i="17"/>
  <c r="C148" i="17"/>
  <c r="C197" i="17"/>
  <c r="E175" i="17"/>
  <c r="F175" i="17"/>
  <c r="D176" i="17"/>
  <c r="E176" i="17"/>
  <c r="F176" i="17"/>
  <c r="C305" i="17"/>
  <c r="F291" i="17"/>
  <c r="E273" i="17"/>
  <c r="F273" i="17"/>
  <c r="E197" i="17"/>
  <c r="E209" i="17"/>
  <c r="F209" i="17"/>
  <c r="E195" i="17"/>
  <c r="F195" i="17"/>
  <c r="E140" i="17"/>
  <c r="F140" i="17"/>
  <c r="D141" i="17"/>
  <c r="D63" i="17"/>
  <c r="E63" i="17"/>
  <c r="F63" i="17"/>
  <c r="E62" i="17"/>
  <c r="F62" i="17"/>
  <c r="F281" i="17"/>
  <c r="D323" i="17"/>
  <c r="E323" i="17"/>
  <c r="E162" i="17"/>
  <c r="F162" i="17"/>
  <c r="D183" i="17"/>
  <c r="E183" i="17"/>
  <c r="D324" i="17"/>
  <c r="E92" i="17"/>
  <c r="F92" i="17"/>
  <c r="D113" i="17"/>
  <c r="E50" i="17"/>
  <c r="F50" i="17"/>
  <c r="E289" i="17"/>
  <c r="F289" i="17"/>
  <c r="E127" i="17"/>
  <c r="F127" i="17"/>
  <c r="D148" i="17"/>
  <c r="E148" i="17"/>
  <c r="C49" i="12"/>
  <c r="D49" i="12"/>
  <c r="E42" i="12"/>
  <c r="F42" i="12"/>
  <c r="E99" i="8"/>
  <c r="E101" i="8"/>
  <c r="E98" i="8"/>
  <c r="E22" i="8"/>
  <c r="C99" i="8"/>
  <c r="C101" i="8"/>
  <c r="C98" i="8"/>
  <c r="C22" i="8"/>
  <c r="D50" i="5"/>
  <c r="E50" i="5"/>
  <c r="E43" i="5"/>
  <c r="F43" i="5"/>
  <c r="C50" i="5"/>
  <c r="D70" i="17"/>
  <c r="E70" i="17"/>
  <c r="D269" i="18"/>
  <c r="E269" i="18"/>
  <c r="E267" i="18"/>
  <c r="D268" i="18"/>
  <c r="C131" i="18"/>
  <c r="E131" i="18"/>
  <c r="D322" i="17"/>
  <c r="E322" i="17"/>
  <c r="F322" i="17"/>
  <c r="E141" i="17"/>
  <c r="F141" i="17"/>
  <c r="C309" i="17"/>
  <c r="D309" i="17"/>
  <c r="E305" i="17"/>
  <c r="F305" i="17"/>
  <c r="F70" i="17"/>
  <c r="F183" i="17"/>
  <c r="F148" i="17"/>
  <c r="E113" i="17"/>
  <c r="F113" i="17"/>
  <c r="E324" i="17"/>
  <c r="F324" i="17"/>
  <c r="F197" i="17"/>
  <c r="C325" i="17"/>
  <c r="F323" i="17"/>
  <c r="E49" i="12"/>
  <c r="F49" i="12"/>
  <c r="F50" i="5"/>
  <c r="D271" i="18"/>
  <c r="E271" i="18"/>
  <c r="E268" i="18"/>
  <c r="C310" i="17"/>
  <c r="D325" i="17"/>
  <c r="E325" i="17"/>
  <c r="F325" i="17"/>
  <c r="E309" i="17"/>
  <c r="F309" i="17"/>
  <c r="D310" i="17"/>
  <c r="D312" i="17"/>
  <c r="E310" i="17"/>
  <c r="F310" i="17"/>
  <c r="C312" i="17"/>
  <c r="E312" i="17"/>
  <c r="D313" i="17"/>
  <c r="F312" i="17"/>
  <c r="C313" i="17"/>
  <c r="F313" i="17"/>
  <c r="C314" i="17"/>
  <c r="C251" i="17"/>
  <c r="C256" i="17"/>
  <c r="C315" i="17"/>
  <c r="D315" i="17"/>
  <c r="D314" i="17"/>
  <c r="E313" i="17"/>
  <c r="D251" i="17"/>
  <c r="E251" i="17"/>
  <c r="D256" i="17"/>
  <c r="F251" i="17"/>
  <c r="E256" i="17"/>
  <c r="D257" i="17"/>
  <c r="E315" i="17"/>
  <c r="F315" i="17"/>
  <c r="C257" i="17"/>
  <c r="F256" i="17"/>
  <c r="C318" i="17"/>
  <c r="D318" i="17"/>
  <c r="E314" i="17"/>
  <c r="F314" i="17"/>
  <c r="E318" i="17"/>
  <c r="F318" i="17"/>
  <c r="E257" i="17"/>
  <c r="F257" i="17"/>
</calcChain>
</file>

<file path=xl/sharedStrings.xml><?xml version="1.0" encoding="utf-8"?>
<sst xmlns="http://schemas.openxmlformats.org/spreadsheetml/2006/main" count="2334" uniqueCount="1009">
  <si>
    <t>CHARLOTTE HUNGERFORD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</si>
  <si>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</si>
  <si>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</si>
  <si>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</si>
  <si>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</si>
  <si>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</si>
  <si>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</si>
  <si>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</si>
  <si>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</si>
  <si>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</si>
  <si>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</si>
  <si>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</si>
  <si>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</si>
  <si>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</si>
  <si>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</si>
  <si>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</si>
  <si>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</si>
  <si>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</si>
  <si>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</si>
  <si>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</si>
  <si>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</si>
  <si>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</si>
  <si>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</si>
  <si>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</si>
  <si>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</si>
  <si>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</si>
  <si>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</si>
  <si>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</si>
  <si>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</si>
  <si>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</si>
  <si>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</si>
  <si>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</si>
  <si>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</si>
  <si>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</si>
  <si>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</si>
  <si>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</si>
  <si>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</si>
  <si>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</si>
  <si>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</si>
  <si>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</si>
  <si>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</si>
  <si>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</si>
  <si>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</si>
  <si>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</si>
  <si>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</si>
  <si>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</si>
  <si>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</si>
  <si>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</si>
  <si>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</si>
  <si>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</si>
  <si>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</si>
  <si>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</si>
  <si>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</si>
  <si>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</si>
  <si>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</si>
  <si>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</si>
  <si>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</si>
  <si>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</si>
  <si>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</si>
  <si>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</si>
  <si>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</si>
  <si>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</si>
  <si>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</si>
  <si>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</si>
  <si>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</si>
  <si>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</si>
  <si>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</si>
  <si>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</si>
  <si>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</si>
  <si>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</si>
  <si>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</si>
  <si>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</si>
  <si>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</si>
  <si>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</si>
  <si>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</si>
  <si>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</si>
  <si>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</si>
  <si>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</si>
  <si>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</si>
  <si>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</si>
  <si>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</si>
  <si>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</si>
  <si>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</si>
  <si>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</si>
  <si>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</si>
  <si>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</si>
  <si>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</si>
  <si>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</si>
  <si>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</si>
  <si>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</si>
  <si>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</si>
  <si>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</si>
  <si>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</si>
  <si>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</si>
  <si>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</si>
  <si>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</si>
  <si>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</si>
  <si>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</si>
  <si>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</si>
  <si>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</si>
  <si>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</si>
  <si>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</si>
  <si>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</si>
  <si>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</si>
  <si>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</si>
  <si>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</si>
  <si>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</si>
  <si>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</si>
  <si>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</si>
  <si>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</si>
  <si>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</si>
  <si>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</si>
  <si>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</si>
  <si>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</si>
  <si>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</si>
  <si>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</si>
  <si>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</si>
  <si>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</si>
  <si>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</si>
  <si>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</si>
  <si>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</si>
  <si>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</si>
  <si>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</si>
  <si>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</si>
  <si>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</si>
  <si>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</si>
  <si>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</si>
  <si>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</si>
  <si>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</si>
  <si>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</si>
  <si>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</si>
  <si>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</si>
  <si>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</si>
  <si>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</si>
  <si>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</si>
  <si>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</si>
  <si>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</si>
  <si>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</si>
  <si>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</si>
  <si>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</si>
  <si>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</si>
  <si>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</si>
  <si>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</si>
  <si>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</si>
  <si>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</si>
  <si>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</si>
  <si>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</si>
  <si>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</si>
  <si>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</si>
  <si>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</si>
  <si>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</si>
  <si>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</si>
  <si>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</si>
  <si>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</si>
  <si>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</si>
  <si>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</si>
  <si>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</si>
  <si>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</si>
  <si>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</si>
  <si>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</si>
  <si>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</si>
  <si>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</si>
  <si>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</si>
  <si>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</si>
  <si>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</si>
  <si>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</si>
  <si>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</si>
  <si>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</si>
  <si>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</si>
  <si>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</si>
  <si>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</si>
  <si>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</si>
  <si>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</si>
  <si>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</si>
  <si>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</si>
  <si>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</si>
  <si>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</si>
  <si>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</si>
  <si>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</si>
  <si>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</si>
  <si>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</si>
  <si>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</si>
  <si>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</si>
  <si>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</si>
  <si>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</si>
  <si>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</si>
  <si>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</si>
  <si>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</si>
  <si>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</si>
  <si>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</si>
  <si>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</si>
  <si>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</si>
  <si>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</si>
  <si>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</si>
  <si>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</si>
  <si>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</si>
  <si>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</si>
  <si>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</si>
  <si>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</si>
  <si>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</si>
  <si>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</si>
  <si>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</si>
  <si>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</si>
  <si>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</si>
  <si>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</si>
  <si>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</si>
  <si>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</si>
  <si>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</si>
  <si>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</si>
  <si>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</si>
  <si>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</si>
  <si>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</si>
  <si>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</si>
  <si>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</si>
  <si>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</si>
  <si>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</si>
  <si>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</si>
  <si>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</si>
  <si>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</si>
  <si>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</si>
  <si>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</si>
  <si>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</si>
  <si>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</si>
  <si>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</si>
  <si>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</si>
  <si>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</si>
  <si>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</si>
  <si>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</si>
  <si>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</si>
  <si>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</si>
  <si>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</si>
  <si>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</si>
  <si>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</si>
  <si>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</si>
  <si>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</si>
  <si>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</si>
  <si>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</si>
  <si>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</si>
  <si>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</si>
  <si>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</si>
  <si>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</si>
  <si>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</si>
  <si>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</si>
  <si>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</si>
  <si>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</si>
  <si>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</si>
  <si>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</si>
  <si>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</si>
  <si>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</si>
  <si>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</si>
  <si>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</si>
  <si>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</si>
  <si>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</si>
  <si>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</si>
  <si>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</si>
  <si>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</si>
  <si>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</si>
  <si>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</si>
  <si>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</si>
  <si>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</si>
  <si>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</si>
  <si>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</si>
  <si>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</si>
  <si>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</si>
  <si>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</si>
  <si>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</si>
  <si>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</si>
  <si>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</si>
  <si>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</si>
  <si>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</si>
  <si>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</si>
  <si>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</si>
  <si>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</si>
  <si>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</si>
  <si>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</si>
  <si>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</si>
  <si>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</si>
  <si>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</si>
  <si>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</si>
  <si>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</si>
  <si>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</si>
  <si>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</si>
  <si>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</si>
  <si>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</si>
  <si>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</si>
  <si>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</si>
  <si>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</si>
  <si>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</si>
  <si>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</si>
  <si>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</si>
  <si>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</si>
  <si>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</si>
  <si>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</si>
  <si>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</si>
  <si>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</si>
  <si>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</si>
  <si>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</si>
  <si>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</si>
  <si>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</si>
  <si>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</si>
  <si>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</si>
  <si>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</si>
  <si>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</si>
  <si>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</si>
  <si>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</si>
  <si>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</si>
  <si>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</si>
  <si>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</si>
  <si>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</si>
  <si>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</si>
  <si>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</si>
  <si>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</si>
  <si>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</si>
  <si>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</si>
  <si>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</si>
  <si>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</si>
  <si>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</si>
  <si>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</si>
  <si>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</si>
  <si>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</si>
  <si>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</si>
  <si>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</si>
  <si>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</si>
  <si>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</si>
  <si>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</si>
  <si>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</si>
  <si>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</si>
  <si>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</si>
  <si>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</si>
  <si>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</si>
  <si>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</si>
  <si>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</si>
  <si>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</si>
  <si>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</si>
  <si>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</si>
  <si>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</si>
  <si>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</si>
  <si>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</si>
  <si>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</si>
  <si>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</si>
  <si>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</si>
  <si>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</si>
  <si>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</si>
  <si>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</si>
  <si>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</si>
  <si>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</si>
  <si>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</si>
  <si>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</si>
  <si>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</si>
  <si>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</si>
  <si>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</si>
  <si>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</si>
  <si>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</si>
  <si>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</si>
  <si>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</si>
  <si>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</si>
  <si>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</si>
  <si>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</si>
  <si>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</si>
  <si>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</si>
  <si>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</si>
  <si>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</si>
  <si>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</si>
  <si>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</si>
  <si>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</si>
  <si>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</si>
  <si>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</si>
  <si>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</si>
  <si>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</si>
  <si>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</si>
  <si>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</si>
  <si>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</si>
  <si>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</si>
  <si>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</si>
  <si>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</si>
  <si>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</si>
  <si>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</si>
  <si>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</si>
  <si>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</si>
  <si>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</si>
  <si>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</si>
  <si>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</si>
  <si>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</si>
  <si>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</si>
  <si>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</si>
  <si>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</si>
  <si>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</si>
  <si>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</si>
  <si>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</si>
  <si>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</si>
  <si>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</si>
  <si>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</si>
  <si>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</si>
  <si>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</si>
  <si>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</si>
  <si>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</si>
  <si>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</si>
  <si>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</si>
  <si>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</si>
  <si>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</si>
  <si>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</si>
  <si>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</si>
  <si>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</si>
  <si>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</si>
  <si>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</si>
  <si>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</si>
  <si>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</si>
  <si>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</si>
  <si>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</si>
  <si>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</si>
  <si>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</si>
  <si>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</si>
  <si>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</si>
  <si>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</si>
  <si>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</si>
  <si>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</si>
  <si>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</si>
  <si>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</si>
  <si>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</si>
  <si>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</si>
  <si>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</si>
  <si>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</si>
  <si>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</si>
  <si>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</si>
  <si>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</si>
  <si>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</si>
  <si>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</si>
  <si>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</si>
  <si>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</si>
  <si>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</si>
  <si>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</si>
  <si>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</si>
  <si>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</si>
  <si>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</si>
  <si>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</si>
  <si>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</si>
  <si>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</si>
  <si>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</si>
  <si>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</si>
  <si>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</si>
  <si>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</si>
  <si>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</si>
  <si>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</si>
  <si>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</si>
  <si>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</si>
  <si>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</si>
  <si>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</si>
  <si>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</si>
  <si>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</si>
  <si>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</si>
  <si>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</si>
  <si>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</si>
  <si>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</si>
  <si>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</si>
  <si>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</si>
  <si>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</si>
  <si>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</si>
  <si>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</si>
  <si>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</si>
  <si>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</si>
  <si>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</si>
  <si>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</si>
  <si>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</si>
  <si>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</si>
  <si>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</si>
  <si>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</si>
  <si>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</si>
  <si>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</si>
  <si>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</si>
  <si>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</si>
  <si>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</si>
  <si>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</si>
  <si>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</si>
  <si>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</si>
  <si>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</si>
  <si>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</si>
  <si>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</si>
  <si>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</si>
  <si>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</si>
  <si>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</si>
  <si>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</si>
  <si>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</si>
  <si>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</si>
  <si>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</si>
  <si>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</si>
  <si>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</si>
  <si>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</si>
  <si>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</si>
  <si>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</si>
  <si>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</si>
  <si>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</si>
  <si>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</si>
  <si>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</si>
  <si>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</si>
  <si>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</si>
  <si>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</si>
  <si>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</si>
  <si>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</si>
  <si>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</si>
  <si>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</si>
  <si>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THE CHARLOTTE HUNGERFORD HOSPITAL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</si>
  <si>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</si>
  <si>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</si>
  <si>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</si>
  <si>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</si>
  <si>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</si>
  <si>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</si>
  <si>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</si>
  <si>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</si>
  <si>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</si>
  <si>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</si>
  <si>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</si>
  <si>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</si>
  <si>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</si>
  <si>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</si>
  <si>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</si>
  <si>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</si>
  <si>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</si>
  <si>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</si>
  <si>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</si>
  <si>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</si>
  <si>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</si>
  <si>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</si>
  <si>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</si>
  <si>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</si>
  <si>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</si>
  <si>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</si>
  <si>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</si>
  <si>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</si>
  <si>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</si>
  <si>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</si>
  <si>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</si>
  <si>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</si>
  <si>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</si>
  <si>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</si>
  <si>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</si>
  <si>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</si>
  <si>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</si>
  <si>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</si>
  <si>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</si>
  <si>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</si>
  <si>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</si>
  <si>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</si>
  <si>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</si>
  <si>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</si>
  <si>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</si>
  <si>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</si>
  <si>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</si>
  <si>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</si>
  <si>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</si>
  <si>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</si>
  <si>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</si>
  <si>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</si>
  <si>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</si>
  <si>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</si>
  <si>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</si>
  <si>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</si>
  <si>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</si>
  <si>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</si>
  <si>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</si>
  <si>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</si>
  <si>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</si>
  <si>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</si>
  <si>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</si>
  <si>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</si>
  <si>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</si>
  <si>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</si>
  <si>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</si>
  <si>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</si>
  <si>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</si>
  <si>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</si>
  <si>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</si>
  <si>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</si>
  <si>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</si>
  <si>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</si>
  <si>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</si>
  <si>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</si>
  <si>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</si>
  <si>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</si>
  <si>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</si>
  <si>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</si>
  <si>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</si>
  <si>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</si>
  <si>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</si>
  <si>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</si>
  <si>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</si>
  <si>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</si>
  <si>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</si>
  <si>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</si>
  <si>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</si>
  <si>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</si>
  <si>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</si>
  <si>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</si>
  <si>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</si>
  <si>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</si>
  <si>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</si>
  <si>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</si>
  <si>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</si>
  <si>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</si>
  <si>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</si>
  <si>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</si>
  <si>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</si>
  <si>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</si>
  <si>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</si>
  <si>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</si>
  <si>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</si>
  <si>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</si>
  <si>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</si>
  <si>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</si>
  <si>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</si>
  <si>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</si>
  <si>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</si>
  <si>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</si>
  <si>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</si>
  <si>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</si>
  <si>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</si>
  <si>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</si>
  <si>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</si>
  <si>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</si>
  <si>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</si>
  <si>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</si>
  <si>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Charlotte Hungerford Hospital</t>
  </si>
  <si>
    <t>Total Outpatient Surgical Procedures(A)</t>
  </si>
  <si>
    <t>Total Outpatient Endoscopy Procedures(B)</t>
  </si>
  <si>
    <t>Outpatient Hospital Emergency Room Visits</t>
  </si>
  <si>
    <t>HEMC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</si>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</sst>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8948706</v>
      </c>
      <c r="D13" s="22">
        <v>7223350</v>
      </c>
      <c r="E13" s="22">
        <f t="shared" ref="E13:E22" si="0">D13-C13</f>
        <v>-1725356</v>
      </c>
      <c r="F13" s="23">
        <f t="shared" ref="F13:F22" si="1">IF(C13=0,0,E13/C13)</f>
        <v>-0.19280508265664331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13504471</v>
      </c>
      <c r="D15" s="22">
        <v>13152579</v>
      </c>
      <c r="E15" s="22">
        <f t="shared" si="0"/>
        <v>-351892</v>
      </c>
      <c r="F15" s="23">
        <f t="shared" si="1"/>
        <v>-2.6057444234579792E-2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840007</v>
      </c>
      <c r="D18" s="22">
        <v>2471609</v>
      </c>
      <c r="E18" s="22">
        <f t="shared" si="0"/>
        <v>1631602</v>
      </c>
      <c r="F18" s="23">
        <f t="shared" si="1"/>
        <v>1.9423671469404422</v>
      </c>
    </row>
    <row r="19" spans="1:11" ht="24" customHeight="1" x14ac:dyDescent="0.2">
      <c r="A19" s="20">
        <v>7</v>
      </c>
      <c r="B19" s="21" t="s">
        <v>22</v>
      </c>
      <c r="C19" s="22">
        <v>2092246</v>
      </c>
      <c r="D19" s="22">
        <v>1952261</v>
      </c>
      <c r="E19" s="22">
        <f t="shared" si="0"/>
        <v>-139985</v>
      </c>
      <c r="F19" s="23">
        <f t="shared" si="1"/>
        <v>-6.6906568348081438E-2</v>
      </c>
    </row>
    <row r="20" spans="1:11" ht="24" customHeight="1" x14ac:dyDescent="0.2">
      <c r="A20" s="20">
        <v>8</v>
      </c>
      <c r="B20" s="21" t="s">
        <v>23</v>
      </c>
      <c r="C20" s="22">
        <v>0</v>
      </c>
      <c r="D20" s="22">
        <v>0</v>
      </c>
      <c r="E20" s="22">
        <f t="shared" si="0"/>
        <v>0</v>
      </c>
      <c r="F20" s="23">
        <f t="shared" si="1"/>
        <v>0</v>
      </c>
    </row>
    <row r="21" spans="1:11" ht="24" customHeight="1" x14ac:dyDescent="0.2">
      <c r="A21" s="20">
        <v>9</v>
      </c>
      <c r="B21" s="21" t="s">
        <v>24</v>
      </c>
      <c r="C21" s="22">
        <v>2724846</v>
      </c>
      <c r="D21" s="22">
        <v>2171770</v>
      </c>
      <c r="E21" s="22">
        <f t="shared" si="0"/>
        <v>-553076</v>
      </c>
      <c r="F21" s="23">
        <f t="shared" si="1"/>
        <v>-0.20297514061345118</v>
      </c>
    </row>
    <row r="22" spans="1:11" ht="24" customHeight="1" x14ac:dyDescent="0.25">
      <c r="A22" s="24"/>
      <c r="B22" s="25" t="s">
        <v>25</v>
      </c>
      <c r="C22" s="26">
        <f>SUM(C13:C21)</f>
        <v>28110276</v>
      </c>
      <c r="D22" s="26">
        <f>SUM(D13:D21)</f>
        <v>26971569</v>
      </c>
      <c r="E22" s="26">
        <f t="shared" si="0"/>
        <v>-1138707</v>
      </c>
      <c r="F22" s="27">
        <f t="shared" si="1"/>
        <v>-4.0508567045019407E-2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20525079</v>
      </c>
      <c r="D25" s="22">
        <v>22585921</v>
      </c>
      <c r="E25" s="22">
        <f>D25-C25</f>
        <v>2060842</v>
      </c>
      <c r="F25" s="23">
        <f>IF(C25=0,0,E25/C25)</f>
        <v>0.10040604472216648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7067123</v>
      </c>
      <c r="D28" s="22">
        <v>7260499</v>
      </c>
      <c r="E28" s="22">
        <f>D28-C28</f>
        <v>193376</v>
      </c>
      <c r="F28" s="23">
        <f>IF(C28=0,0,E28/C28)</f>
        <v>2.7362761338666386E-2</v>
      </c>
    </row>
    <row r="29" spans="1:11" ht="24" customHeight="1" x14ac:dyDescent="0.25">
      <c r="A29" s="24"/>
      <c r="B29" s="25" t="s">
        <v>32</v>
      </c>
      <c r="C29" s="26">
        <f>SUM(C25:C28)</f>
        <v>27592202</v>
      </c>
      <c r="D29" s="26">
        <f>SUM(D25:D28)</f>
        <v>29846420</v>
      </c>
      <c r="E29" s="26">
        <f>D29-C29</f>
        <v>2254218</v>
      </c>
      <c r="F29" s="27">
        <f>IF(C29=0,0,E29/C29)</f>
        <v>8.169764776294404E-2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38742293</v>
      </c>
      <c r="D32" s="22">
        <v>39735759</v>
      </c>
      <c r="E32" s="22">
        <f>D32-C32</f>
        <v>993466</v>
      </c>
      <c r="F32" s="23">
        <f>IF(C32=0,0,E32/C32)</f>
        <v>2.5642932389159309E-2</v>
      </c>
    </row>
    <row r="33" spans="1:8" ht="24" customHeight="1" x14ac:dyDescent="0.2">
      <c r="A33" s="20">
        <v>7</v>
      </c>
      <c r="B33" s="21" t="s">
        <v>35</v>
      </c>
      <c r="C33" s="22">
        <v>1135267</v>
      </c>
      <c r="D33" s="22">
        <v>1077802</v>
      </c>
      <c r="E33" s="22">
        <f>D33-C33</f>
        <v>-57465</v>
      </c>
      <c r="F33" s="23">
        <f>IF(C33=0,0,E33/C33)</f>
        <v>-5.0618048441467951E-2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148532515</v>
      </c>
      <c r="D36" s="22">
        <v>154679979</v>
      </c>
      <c r="E36" s="22">
        <f>D36-C36</f>
        <v>6147464</v>
      </c>
      <c r="F36" s="23">
        <f>IF(C36=0,0,E36/C36)</f>
        <v>4.1388001812263125E-2</v>
      </c>
    </row>
    <row r="37" spans="1:8" ht="24" customHeight="1" x14ac:dyDescent="0.2">
      <c r="A37" s="20">
        <v>2</v>
      </c>
      <c r="B37" s="21" t="s">
        <v>39</v>
      </c>
      <c r="C37" s="22">
        <v>112631179</v>
      </c>
      <c r="D37" s="22">
        <v>116381671</v>
      </c>
      <c r="E37" s="22">
        <f>D37-C37</f>
        <v>3750492</v>
      </c>
      <c r="F37" s="23">
        <f>IF(C37=0,0,E37/C37)</f>
        <v>3.3298878989804416E-2</v>
      </c>
    </row>
    <row r="38" spans="1:8" ht="24" customHeight="1" x14ac:dyDescent="0.25">
      <c r="A38" s="24"/>
      <c r="B38" s="25" t="s">
        <v>40</v>
      </c>
      <c r="C38" s="26">
        <f>C36-C37</f>
        <v>35901336</v>
      </c>
      <c r="D38" s="26">
        <f>D36-D37</f>
        <v>38298308</v>
      </c>
      <c r="E38" s="26">
        <f>D38-C38</f>
        <v>2396972</v>
      </c>
      <c r="F38" s="27">
        <f>IF(C38=0,0,E38/C38)</f>
        <v>6.676553763904497E-2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968443</v>
      </c>
      <c r="D40" s="22">
        <v>941793</v>
      </c>
      <c r="E40" s="22">
        <f>D40-C40</f>
        <v>-26650</v>
      </c>
      <c r="F40" s="23">
        <f>IF(C40=0,0,E40/C40)</f>
        <v>-2.7518398088478103E-2</v>
      </c>
    </row>
    <row r="41" spans="1:8" ht="24" customHeight="1" x14ac:dyDescent="0.25">
      <c r="A41" s="24"/>
      <c r="B41" s="25" t="s">
        <v>42</v>
      </c>
      <c r="C41" s="26">
        <f>+C38+C40</f>
        <v>36869779</v>
      </c>
      <c r="D41" s="26">
        <f>+D38+D40</f>
        <v>39240101</v>
      </c>
      <c r="E41" s="26">
        <f>D41-C41</f>
        <v>2370322</v>
      </c>
      <c r="F41" s="27">
        <f>IF(C41=0,0,E41/C41)</f>
        <v>6.4289021097739693E-2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132449817</v>
      </c>
      <c r="D43" s="26">
        <f>D22+D29+D31+D32+D33+D41</f>
        <v>136871651</v>
      </c>
      <c r="E43" s="26">
        <f>D43-C43</f>
        <v>4421834</v>
      </c>
      <c r="F43" s="27">
        <f>IF(C43=0,0,E43/C43)</f>
        <v>3.3384976288793208E-2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7289342</v>
      </c>
      <c r="D49" s="22">
        <v>7275470</v>
      </c>
      <c r="E49" s="22">
        <f t="shared" ref="E49:E56" si="2">D49-C49</f>
        <v>-13872</v>
      </c>
      <c r="F49" s="23">
        <f t="shared" ref="F49:F56" si="3">IF(C49=0,0,E49/C49)</f>
        <v>-1.9030524291492976E-3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4177672</v>
      </c>
      <c r="D50" s="22">
        <v>4456310</v>
      </c>
      <c r="E50" s="22">
        <f t="shared" si="2"/>
        <v>278638</v>
      </c>
      <c r="F50" s="23">
        <f t="shared" si="3"/>
        <v>6.6696954667575623E-2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2468522</v>
      </c>
      <c r="D51" s="22">
        <v>4348984</v>
      </c>
      <c r="E51" s="22">
        <f t="shared" si="2"/>
        <v>1880462</v>
      </c>
      <c r="F51" s="23">
        <f t="shared" si="3"/>
        <v>0.76177648001516696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0</v>
      </c>
      <c r="D53" s="22">
        <v>0</v>
      </c>
      <c r="E53" s="22">
        <f t="shared" si="2"/>
        <v>0</v>
      </c>
      <c r="F53" s="23">
        <f t="shared" si="3"/>
        <v>0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3219468</v>
      </c>
      <c r="D54" s="22">
        <v>0</v>
      </c>
      <c r="E54" s="22">
        <f t="shared" si="2"/>
        <v>-3219468</v>
      </c>
      <c r="F54" s="23">
        <f t="shared" si="3"/>
        <v>-1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4078798</v>
      </c>
      <c r="D55" s="22">
        <v>4435526</v>
      </c>
      <c r="E55" s="22">
        <f t="shared" si="2"/>
        <v>356728</v>
      </c>
      <c r="F55" s="23">
        <f t="shared" si="3"/>
        <v>8.745909946999092E-2</v>
      </c>
    </row>
    <row r="56" spans="1:6" ht="24" customHeight="1" x14ac:dyDescent="0.25">
      <c r="A56" s="24"/>
      <c r="B56" s="25" t="s">
        <v>54</v>
      </c>
      <c r="C56" s="26">
        <f>SUM(C49:C55)</f>
        <v>21233802</v>
      </c>
      <c r="D56" s="26">
        <f>SUM(D49:D55)</f>
        <v>20516290</v>
      </c>
      <c r="E56" s="26">
        <f t="shared" si="2"/>
        <v>-717512</v>
      </c>
      <c r="F56" s="27">
        <f t="shared" si="3"/>
        <v>-3.3791028097558788E-2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0</v>
      </c>
      <c r="D61" s="26">
        <f>SUM(D59:D60)</f>
        <v>0</v>
      </c>
      <c r="E61" s="26">
        <f>D61-C61</f>
        <v>0</v>
      </c>
      <c r="F61" s="27">
        <f>IF(C61=0,0,E61/C61)</f>
        <v>0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23133018</v>
      </c>
      <c r="D63" s="22">
        <v>27865188</v>
      </c>
      <c r="E63" s="22">
        <f>D63-C63</f>
        <v>4732170</v>
      </c>
      <c r="F63" s="23">
        <f>IF(C63=0,0,E63/C63)</f>
        <v>0.20456345125396089</v>
      </c>
    </row>
    <row r="64" spans="1:6" ht="24" customHeight="1" x14ac:dyDescent="0.2">
      <c r="A64" s="20">
        <v>4</v>
      </c>
      <c r="B64" s="21" t="s">
        <v>60</v>
      </c>
      <c r="C64" s="22">
        <v>3527218</v>
      </c>
      <c r="D64" s="22">
        <v>3971340</v>
      </c>
      <c r="E64" s="22">
        <f>D64-C64</f>
        <v>444122</v>
      </c>
      <c r="F64" s="23">
        <f>IF(C64=0,0,E64/C64)</f>
        <v>0.12591282988462862</v>
      </c>
    </row>
    <row r="65" spans="1:6" ht="24" customHeight="1" x14ac:dyDescent="0.25">
      <c r="A65" s="24"/>
      <c r="B65" s="25" t="s">
        <v>61</v>
      </c>
      <c r="C65" s="26">
        <f>SUM(C61:C64)</f>
        <v>26660236</v>
      </c>
      <c r="D65" s="26">
        <f>SUM(D61:D64)</f>
        <v>31836528</v>
      </c>
      <c r="E65" s="26">
        <f>D65-C65</f>
        <v>5176292</v>
      </c>
      <c r="F65" s="27">
        <f>IF(C65=0,0,E65/C65)</f>
        <v>0.19415777114651198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61139349</v>
      </c>
      <c r="D70" s="22">
        <v>59368912</v>
      </c>
      <c r="E70" s="22">
        <f>D70-C70</f>
        <v>-1770437</v>
      </c>
      <c r="F70" s="23">
        <f>IF(C70=0,0,E70/C70)</f>
        <v>-2.8957406792146249E-2</v>
      </c>
    </row>
    <row r="71" spans="1:6" ht="24" customHeight="1" x14ac:dyDescent="0.2">
      <c r="A71" s="20">
        <v>2</v>
      </c>
      <c r="B71" s="21" t="s">
        <v>65</v>
      </c>
      <c r="C71" s="22">
        <v>3314742</v>
      </c>
      <c r="D71" s="22">
        <v>3508118</v>
      </c>
      <c r="E71" s="22">
        <f>D71-C71</f>
        <v>193376</v>
      </c>
      <c r="F71" s="23">
        <f>IF(C71=0,0,E71/C71)</f>
        <v>5.8338175339136503E-2</v>
      </c>
    </row>
    <row r="72" spans="1:6" ht="24" customHeight="1" x14ac:dyDescent="0.2">
      <c r="A72" s="20">
        <v>3</v>
      </c>
      <c r="B72" s="21" t="s">
        <v>66</v>
      </c>
      <c r="C72" s="22">
        <v>20101688</v>
      </c>
      <c r="D72" s="22">
        <v>21641803</v>
      </c>
      <c r="E72" s="22">
        <f>D72-C72</f>
        <v>1540115</v>
      </c>
      <c r="F72" s="23">
        <f>IF(C72=0,0,E72/C72)</f>
        <v>7.6616202579604262E-2</v>
      </c>
    </row>
    <row r="73" spans="1:6" ht="24" customHeight="1" x14ac:dyDescent="0.25">
      <c r="A73" s="20"/>
      <c r="B73" s="25" t="s">
        <v>67</v>
      </c>
      <c r="C73" s="26">
        <f>SUM(C70:C72)</f>
        <v>84555779</v>
      </c>
      <c r="D73" s="26">
        <f>SUM(D70:D72)</f>
        <v>84518833</v>
      </c>
      <c r="E73" s="26">
        <f>D73-C73</f>
        <v>-36946</v>
      </c>
      <c r="F73" s="27">
        <f>IF(C73=0,0,E73/C73)</f>
        <v>-4.3694234074763834E-4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132449817</v>
      </c>
      <c r="D75" s="26">
        <f>D56+D65+D67+D73</f>
        <v>136871651</v>
      </c>
      <c r="E75" s="26">
        <f>D75-C75</f>
        <v>4421834</v>
      </c>
      <c r="F75" s="27">
        <f>IF(C75=0,0,E75/C75)</f>
        <v>3.3384976288793208E-2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116313832</v>
      </c>
      <c r="D11" s="76">
        <v>116677548</v>
      </c>
      <c r="E11" s="76">
        <v>114622054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5735128</v>
      </c>
      <c r="D12" s="185">
        <v>8250545</v>
      </c>
      <c r="E12" s="185">
        <v>7533927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122048960</v>
      </c>
      <c r="D13" s="76">
        <f>+D11+D12</f>
        <v>124928093</v>
      </c>
      <c r="E13" s="76">
        <f>+E11+E12</f>
        <v>122155981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121882681</v>
      </c>
      <c r="D14" s="185">
        <v>124899985</v>
      </c>
      <c r="E14" s="185">
        <v>121998831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166279</v>
      </c>
      <c r="D15" s="76">
        <f>+D13-D14</f>
        <v>28108</v>
      </c>
      <c r="E15" s="76">
        <f>+E13-E14</f>
        <v>157150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2249345</v>
      </c>
      <c r="D16" s="185">
        <v>2664812</v>
      </c>
      <c r="E16" s="185">
        <v>2865900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2415624</v>
      </c>
      <c r="D17" s="76">
        <f>D15+D16</f>
        <v>2692920</v>
      </c>
      <c r="E17" s="76">
        <f>E15+E16</f>
        <v>3023050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1.3377414921305645E-3</v>
      </c>
      <c r="D20" s="189">
        <f>IF(+D27=0,0,+D24/+D27)</f>
        <v>2.2029438078864964E-4</v>
      </c>
      <c r="E20" s="189">
        <f>IF(+E27=0,0,+E24/+E27)</f>
        <v>1.2569799681705317E-3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1.8096344917977764E-2</v>
      </c>
      <c r="D21" s="189">
        <f>IF(+D27=0,0,+D26/+D27)</f>
        <v>2.088526787598417E-2</v>
      </c>
      <c r="E21" s="189">
        <f>IF(+E27=0,0,+E26/+E27)</f>
        <v>2.2923187341902174E-2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1.9434086410108329E-2</v>
      </c>
      <c r="D22" s="189">
        <f>IF(+D27=0,0,+D28/+D27)</f>
        <v>2.110556225677282E-2</v>
      </c>
      <c r="E22" s="189">
        <f>IF(+E27=0,0,+E28/+E27)</f>
        <v>2.4180167310072706E-2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166279</v>
      </c>
      <c r="D24" s="76">
        <f>+D15</f>
        <v>28108</v>
      </c>
      <c r="E24" s="76">
        <f>+E15</f>
        <v>157150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122048960</v>
      </c>
      <c r="D25" s="76">
        <f>+D13</f>
        <v>124928093</v>
      </c>
      <c r="E25" s="76">
        <f>+E13</f>
        <v>122155981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2249345</v>
      </c>
      <c r="D26" s="76">
        <f>+D16</f>
        <v>2664812</v>
      </c>
      <c r="E26" s="76">
        <f>+E16</f>
        <v>2865900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124298305</v>
      </c>
      <c r="D27" s="76">
        <f>SUM(D25:D26)</f>
        <v>127592905</v>
      </c>
      <c r="E27" s="76">
        <f>SUM(E25:E26)</f>
        <v>125021881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2415624</v>
      </c>
      <c r="D28" s="76">
        <f>+D17</f>
        <v>2692920</v>
      </c>
      <c r="E28" s="76">
        <f>+E17</f>
        <v>3023050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40934207</v>
      </c>
      <c r="D31" s="76">
        <v>61139349</v>
      </c>
      <c r="E31" s="76">
        <v>59368912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61791679</v>
      </c>
      <c r="D32" s="76">
        <v>84555779</v>
      </c>
      <c r="E32" s="76">
        <v>84518833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-4194171</v>
      </c>
      <c r="D33" s="76">
        <f>+D32-C32</f>
        <v>22764100</v>
      </c>
      <c r="E33" s="76">
        <f>+E32-D32</f>
        <v>-36946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0.93640000000000001</v>
      </c>
      <c r="D34" s="193">
        <f>IF(C32=0,0,+D33/C32)</f>
        <v>0.36840073563950254</v>
      </c>
      <c r="E34" s="193">
        <f>IF(D32=0,0,+E33/D32)</f>
        <v>-4.3694234074763834E-4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1.3944350943107457</v>
      </c>
      <c r="D38" s="338">
        <f>IF(+D40=0,0,+D39/+D40)</f>
        <v>1.3238456306600204</v>
      </c>
      <c r="E38" s="338">
        <f>IF(+E40=0,0,+E39/+E40)</f>
        <v>1.3146416335507054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28025839</v>
      </c>
      <c r="D39" s="341">
        <v>28110276</v>
      </c>
      <c r="E39" s="341">
        <v>26971569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20098346</v>
      </c>
      <c r="D40" s="341">
        <v>21233802</v>
      </c>
      <c r="E40" s="341">
        <v>20516290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31.10732917531735</v>
      </c>
      <c r="D42" s="343">
        <f>IF((D48/365)=0,0,+D45/(D48/365))</f>
        <v>27.482374113703575</v>
      </c>
      <c r="E42" s="343">
        <f>IF((E48/365)=0,0,+E45/(E48/365))</f>
        <v>22.709182822641541</v>
      </c>
    </row>
    <row r="43" spans="1:14" ht="24" customHeight="1" x14ac:dyDescent="0.2">
      <c r="A43" s="339">
        <v>5</v>
      </c>
      <c r="B43" s="344" t="s">
        <v>16</v>
      </c>
      <c r="C43" s="345">
        <v>9871014</v>
      </c>
      <c r="D43" s="345">
        <v>8948706</v>
      </c>
      <c r="E43" s="345">
        <v>7223350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9871014</v>
      </c>
      <c r="D45" s="341">
        <f>+D43+D44</f>
        <v>8948706</v>
      </c>
      <c r="E45" s="341">
        <f>+E43+E44</f>
        <v>7223350</v>
      </c>
    </row>
    <row r="46" spans="1:14" ht="24" customHeight="1" x14ac:dyDescent="0.2">
      <c r="A46" s="339">
        <v>8</v>
      </c>
      <c r="B46" s="340" t="s">
        <v>334</v>
      </c>
      <c r="C46" s="341">
        <f>+C14</f>
        <v>121882681</v>
      </c>
      <c r="D46" s="341">
        <f>+D14</f>
        <v>124899985</v>
      </c>
      <c r="E46" s="341">
        <f>+E14</f>
        <v>121998831</v>
      </c>
    </row>
    <row r="47" spans="1:14" ht="24" customHeight="1" x14ac:dyDescent="0.2">
      <c r="A47" s="339">
        <v>9</v>
      </c>
      <c r="B47" s="340" t="s">
        <v>356</v>
      </c>
      <c r="C47" s="341">
        <v>6060455</v>
      </c>
      <c r="D47" s="341">
        <v>6050075</v>
      </c>
      <c r="E47" s="341">
        <v>5899420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115822226</v>
      </c>
      <c r="D48" s="341">
        <f>+D46-D47</f>
        <v>118849910</v>
      </c>
      <c r="E48" s="341">
        <f>+E46-E47</f>
        <v>116099411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39.211633144371</v>
      </c>
      <c r="D50" s="350">
        <f>IF((D55/365)=0,0,+D54/(D55/365))</f>
        <v>37.151311578813775</v>
      </c>
      <c r="E50" s="350">
        <f>IF((E55/365)=0,0,+E54/(E55/365))</f>
        <v>35.904516769521507</v>
      </c>
    </row>
    <row r="51" spans="1:5" ht="24" customHeight="1" x14ac:dyDescent="0.2">
      <c r="A51" s="339">
        <v>12</v>
      </c>
      <c r="B51" s="344" t="s">
        <v>359</v>
      </c>
      <c r="C51" s="351">
        <v>13441101</v>
      </c>
      <c r="D51" s="351">
        <v>13504471</v>
      </c>
      <c r="E51" s="351">
        <v>13152579</v>
      </c>
    </row>
    <row r="52" spans="1:5" ht="24" customHeight="1" x14ac:dyDescent="0.2">
      <c r="A52" s="339">
        <v>13</v>
      </c>
      <c r="B52" s="344" t="s">
        <v>21</v>
      </c>
      <c r="C52" s="341">
        <v>971585</v>
      </c>
      <c r="D52" s="341">
        <v>840007</v>
      </c>
      <c r="E52" s="341">
        <v>2471609</v>
      </c>
    </row>
    <row r="53" spans="1:5" ht="24" customHeight="1" x14ac:dyDescent="0.2">
      <c r="A53" s="339">
        <v>14</v>
      </c>
      <c r="B53" s="344" t="s">
        <v>49</v>
      </c>
      <c r="C53" s="341">
        <v>1917192</v>
      </c>
      <c r="D53" s="341">
        <v>2468522</v>
      </c>
      <c r="E53" s="341">
        <v>4348984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12495494</v>
      </c>
      <c r="D54" s="352">
        <f>+D51+D52-D53</f>
        <v>11875956</v>
      </c>
      <c r="E54" s="352">
        <f>+E51+E52-E53</f>
        <v>11275204</v>
      </c>
    </row>
    <row r="55" spans="1:5" ht="24" customHeight="1" x14ac:dyDescent="0.2">
      <c r="A55" s="339">
        <v>16</v>
      </c>
      <c r="B55" s="340" t="s">
        <v>75</v>
      </c>
      <c r="C55" s="341">
        <f>+C11</f>
        <v>116313832</v>
      </c>
      <c r="D55" s="341">
        <f>+D11</f>
        <v>116677548</v>
      </c>
      <c r="E55" s="341">
        <f>+E11</f>
        <v>114622054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63.337552241484289</v>
      </c>
      <c r="D57" s="355">
        <f>IF((D61/365)=0,0,+D58/(D61/365))</f>
        <v>65.211136718572178</v>
      </c>
      <c r="E57" s="355">
        <f>IF((E61/365)=0,0,+E58/(E61/365))</f>
        <v>64.500291478653594</v>
      </c>
    </row>
    <row r="58" spans="1:5" ht="24" customHeight="1" x14ac:dyDescent="0.2">
      <c r="A58" s="339">
        <v>18</v>
      </c>
      <c r="B58" s="340" t="s">
        <v>54</v>
      </c>
      <c r="C58" s="353">
        <f>+C40</f>
        <v>20098346</v>
      </c>
      <c r="D58" s="353">
        <f>+D40</f>
        <v>21233802</v>
      </c>
      <c r="E58" s="353">
        <f>+E40</f>
        <v>20516290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121882681</v>
      </c>
      <c r="D59" s="353">
        <f t="shared" si="0"/>
        <v>124899985</v>
      </c>
      <c r="E59" s="353">
        <f t="shared" si="0"/>
        <v>121998831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6060455</v>
      </c>
      <c r="D60" s="356">
        <f t="shared" si="0"/>
        <v>6050075</v>
      </c>
      <c r="E60" s="356">
        <f t="shared" si="0"/>
        <v>5899420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115822226</v>
      </c>
      <c r="D61" s="353">
        <f>+D59-D60</f>
        <v>118849910</v>
      </c>
      <c r="E61" s="353">
        <f>+E59-E60</f>
        <v>116099411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48.836733349323595</v>
      </c>
      <c r="D65" s="357">
        <f>IF(D67=0,0,(D66/D67)*100)</f>
        <v>63.839860948996254</v>
      </c>
      <c r="E65" s="357">
        <f>IF(E67=0,0,(E66/E67)*100)</f>
        <v>61.750429970337684</v>
      </c>
    </row>
    <row r="66" spans="1:5" ht="24" customHeight="1" x14ac:dyDescent="0.2">
      <c r="A66" s="339">
        <v>2</v>
      </c>
      <c r="B66" s="340" t="s">
        <v>67</v>
      </c>
      <c r="C66" s="353">
        <f>+C32</f>
        <v>61791679</v>
      </c>
      <c r="D66" s="353">
        <f>+D32</f>
        <v>84555779</v>
      </c>
      <c r="E66" s="353">
        <f>+E32</f>
        <v>84518833</v>
      </c>
    </row>
    <row r="67" spans="1:5" ht="24" customHeight="1" x14ac:dyDescent="0.2">
      <c r="A67" s="339">
        <v>3</v>
      </c>
      <c r="B67" s="340" t="s">
        <v>43</v>
      </c>
      <c r="C67" s="353">
        <v>126527052</v>
      </c>
      <c r="D67" s="353">
        <v>132449817</v>
      </c>
      <c r="E67" s="353">
        <v>136871651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36.344154322804435</v>
      </c>
      <c r="D69" s="357">
        <f>IF(D75=0,0,(D72/D75)*100)</f>
        <v>41.17489180694065</v>
      </c>
      <c r="E69" s="357">
        <f>IF(E75=0,0,(E72/E75)*100)</f>
        <v>43.489685513316488</v>
      </c>
    </row>
    <row r="70" spans="1:5" ht="24" customHeight="1" x14ac:dyDescent="0.2">
      <c r="A70" s="339">
        <v>5</v>
      </c>
      <c r="B70" s="340" t="s">
        <v>366</v>
      </c>
      <c r="C70" s="353">
        <f>+C28</f>
        <v>2415624</v>
      </c>
      <c r="D70" s="353">
        <f>+D28</f>
        <v>2692920</v>
      </c>
      <c r="E70" s="353">
        <f>+E28</f>
        <v>3023050</v>
      </c>
    </row>
    <row r="71" spans="1:5" ht="24" customHeight="1" x14ac:dyDescent="0.2">
      <c r="A71" s="339">
        <v>6</v>
      </c>
      <c r="B71" s="340" t="s">
        <v>356</v>
      </c>
      <c r="C71" s="356">
        <f>+C47</f>
        <v>6060455</v>
      </c>
      <c r="D71" s="356">
        <f>+D47</f>
        <v>6050075</v>
      </c>
      <c r="E71" s="356">
        <f>+E47</f>
        <v>5899420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8476079</v>
      </c>
      <c r="D72" s="353">
        <f>+D70+D71</f>
        <v>8742995</v>
      </c>
      <c r="E72" s="353">
        <f>+E70+E71</f>
        <v>8922470</v>
      </c>
    </row>
    <row r="73" spans="1:5" ht="24" customHeight="1" x14ac:dyDescent="0.2">
      <c r="A73" s="339">
        <v>8</v>
      </c>
      <c r="B73" s="340" t="s">
        <v>54</v>
      </c>
      <c r="C73" s="341">
        <f>+C40</f>
        <v>20098346</v>
      </c>
      <c r="D73" s="341">
        <f>+D40</f>
        <v>21233802</v>
      </c>
      <c r="E73" s="341">
        <f>+E40</f>
        <v>20516290</v>
      </c>
    </row>
    <row r="74" spans="1:5" ht="24" customHeight="1" x14ac:dyDescent="0.2">
      <c r="A74" s="339">
        <v>9</v>
      </c>
      <c r="B74" s="340" t="s">
        <v>58</v>
      </c>
      <c r="C74" s="353">
        <v>3223366</v>
      </c>
      <c r="D74" s="353">
        <v>0</v>
      </c>
      <c r="E74" s="353">
        <v>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23321712</v>
      </c>
      <c r="D75" s="341">
        <f>+D73+D74</f>
        <v>21233802</v>
      </c>
      <c r="E75" s="341">
        <f>+E73+E74</f>
        <v>20516290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4.9578770575333753</v>
      </c>
      <c r="D77" s="359">
        <f>IF(D80=0,0,(D78/D80)*100)</f>
        <v>0</v>
      </c>
      <c r="E77" s="359">
        <f>IF(E80=0,0,(E78/E80)*100)</f>
        <v>0</v>
      </c>
    </row>
    <row r="78" spans="1:5" ht="24" customHeight="1" x14ac:dyDescent="0.2">
      <c r="A78" s="339">
        <v>12</v>
      </c>
      <c r="B78" s="340" t="s">
        <v>58</v>
      </c>
      <c r="C78" s="341">
        <f>+C74</f>
        <v>3223366</v>
      </c>
      <c r="D78" s="341">
        <f>+D74</f>
        <v>0</v>
      </c>
      <c r="E78" s="341">
        <f>+E74</f>
        <v>0</v>
      </c>
    </row>
    <row r="79" spans="1:5" ht="24" customHeight="1" x14ac:dyDescent="0.2">
      <c r="A79" s="339">
        <v>13</v>
      </c>
      <c r="B79" s="340" t="s">
        <v>67</v>
      </c>
      <c r="C79" s="341">
        <f>+C32</f>
        <v>61791679</v>
      </c>
      <c r="D79" s="341">
        <f>+D32</f>
        <v>84555779</v>
      </c>
      <c r="E79" s="341">
        <f>+E32</f>
        <v>84518833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65015045</v>
      </c>
      <c r="D80" s="341">
        <f>+D78+D79</f>
        <v>84555779</v>
      </c>
      <c r="E80" s="341">
        <f>+E78+E79</f>
        <v>84518833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FILING&amp;R&amp;8THE CHARLOTTE HUNGERFORD HOSPITAL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17631</v>
      </c>
      <c r="D11" s="376">
        <v>4596</v>
      </c>
      <c r="E11" s="376">
        <v>4596</v>
      </c>
      <c r="F11" s="377">
        <v>51</v>
      </c>
      <c r="G11" s="377">
        <v>73</v>
      </c>
      <c r="H11" s="378">
        <f>IF(F11=0,0,$C11/(F11*365))</f>
        <v>0.94713940370668814</v>
      </c>
      <c r="I11" s="378">
        <f>IF(G11=0,0,$C11/(G11*365))</f>
        <v>0.66170013135672734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2364</v>
      </c>
      <c r="D13" s="376">
        <v>124</v>
      </c>
      <c r="E13" s="376">
        <v>0</v>
      </c>
      <c r="F13" s="377">
        <v>7</v>
      </c>
      <c r="G13" s="377">
        <v>10</v>
      </c>
      <c r="H13" s="378">
        <f>IF(F13=0,0,$C13/(F13*365))</f>
        <v>0.92524461839530336</v>
      </c>
      <c r="I13" s="378">
        <f>IF(G13=0,0,$C13/(G13*365))</f>
        <v>0.64767123287671235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5</v>
      </c>
      <c r="D15" s="376">
        <v>1</v>
      </c>
      <c r="E15" s="376">
        <v>1</v>
      </c>
      <c r="F15" s="377">
        <v>1</v>
      </c>
      <c r="G15" s="377">
        <v>1</v>
      </c>
      <c r="H15" s="378">
        <f t="shared" ref="H15:I17" si="0">IF(F15=0,0,$C15/(F15*365))</f>
        <v>1.3698630136986301E-2</v>
      </c>
      <c r="I15" s="378">
        <f t="shared" si="0"/>
        <v>1.3698630136986301E-2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3391</v>
      </c>
      <c r="D16" s="376">
        <v>601</v>
      </c>
      <c r="E16" s="376">
        <v>601</v>
      </c>
      <c r="F16" s="377">
        <v>10</v>
      </c>
      <c r="G16" s="377">
        <v>16</v>
      </c>
      <c r="H16" s="378">
        <f t="shared" si="0"/>
        <v>0.92904109589041095</v>
      </c>
      <c r="I16" s="378">
        <f t="shared" si="0"/>
        <v>0.58065068493150684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3396</v>
      </c>
      <c r="D17" s="381">
        <f>SUM(D15:D16)</f>
        <v>602</v>
      </c>
      <c r="E17" s="381">
        <f>SUM(E15:E16)</f>
        <v>602</v>
      </c>
      <c r="F17" s="381">
        <f>SUM(F15:F16)</f>
        <v>11</v>
      </c>
      <c r="G17" s="381">
        <f>SUM(G15:G16)</f>
        <v>17</v>
      </c>
      <c r="H17" s="382">
        <f t="shared" si="0"/>
        <v>0.84582814445828147</v>
      </c>
      <c r="I17" s="382">
        <f t="shared" si="0"/>
        <v>0.54730056406124095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1079</v>
      </c>
      <c r="D21" s="376">
        <v>428</v>
      </c>
      <c r="E21" s="376">
        <v>428</v>
      </c>
      <c r="F21" s="377">
        <v>3</v>
      </c>
      <c r="G21" s="377">
        <v>7</v>
      </c>
      <c r="H21" s="378">
        <f>IF(F21=0,0,$C21/(F21*365))</f>
        <v>0.9853881278538813</v>
      </c>
      <c r="I21" s="378">
        <f>IF(G21=0,0,$C21/(G21*365))</f>
        <v>0.42230919765166341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1065</v>
      </c>
      <c r="D23" s="376">
        <v>446</v>
      </c>
      <c r="E23" s="376">
        <v>446</v>
      </c>
      <c r="F23" s="377">
        <v>3</v>
      </c>
      <c r="G23" s="377">
        <v>13</v>
      </c>
      <c r="H23" s="378">
        <f>IF(F23=0,0,$C23/(F23*365))</f>
        <v>0.9726027397260274</v>
      </c>
      <c r="I23" s="378">
        <f>IF(G23=0,0,$C23/(G23*365))</f>
        <v>0.22444678609062171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69</v>
      </c>
      <c r="D27" s="376">
        <v>34</v>
      </c>
      <c r="E27" s="376">
        <v>34</v>
      </c>
      <c r="F27" s="377">
        <v>1</v>
      </c>
      <c r="G27" s="377">
        <v>2</v>
      </c>
      <c r="H27" s="378">
        <f>IF(F27=0,0,$C27/(F27*365))</f>
        <v>0.18904109589041096</v>
      </c>
      <c r="I27" s="378">
        <f>IF(G27=0,0,$C27/(G27*365))</f>
        <v>9.452054794520548E-2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24539</v>
      </c>
      <c r="D31" s="384">
        <f>SUM(D10:D29)-D13-D17-D23</f>
        <v>5660</v>
      </c>
      <c r="E31" s="384">
        <f>SUM(E10:E29)-E17-E23</f>
        <v>5660</v>
      </c>
      <c r="F31" s="384">
        <f>SUM(F10:F29)-F17-F23</f>
        <v>73</v>
      </c>
      <c r="G31" s="384">
        <f>SUM(G10:G29)-G17-G23</f>
        <v>109</v>
      </c>
      <c r="H31" s="385">
        <f>IF(F31=0,0,$C31/(F31*365))</f>
        <v>0.92096078063426534</v>
      </c>
      <c r="I31" s="385">
        <f>IF(G31=0,0,$C31/(G31*365))</f>
        <v>0.61679024758074652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25604</v>
      </c>
      <c r="D33" s="384">
        <f>SUM(D10:D29)-D13-D17</f>
        <v>6106</v>
      </c>
      <c r="E33" s="384">
        <f>SUM(E10:E29)-E17</f>
        <v>6106</v>
      </c>
      <c r="F33" s="384">
        <f>SUM(F10:F29)-F17</f>
        <v>76</v>
      </c>
      <c r="G33" s="384">
        <f>SUM(G10:G29)-G17</f>
        <v>122</v>
      </c>
      <c r="H33" s="385">
        <f>IF(F33=0,0,$C33/(F33*365))</f>
        <v>0.92299927901946643</v>
      </c>
      <c r="I33" s="385">
        <f>IF(G33=0,0,$C33/(G33*365))</f>
        <v>0.57498315742196271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25604</v>
      </c>
      <c r="D36" s="384">
        <f t="shared" si="1"/>
        <v>6106</v>
      </c>
      <c r="E36" s="384">
        <f t="shared" si="1"/>
        <v>6106</v>
      </c>
      <c r="F36" s="384">
        <f t="shared" si="1"/>
        <v>76</v>
      </c>
      <c r="G36" s="384">
        <f t="shared" si="1"/>
        <v>122</v>
      </c>
      <c r="H36" s="387">
        <f t="shared" si="1"/>
        <v>0.92299927901946643</v>
      </c>
      <c r="I36" s="387">
        <f t="shared" si="1"/>
        <v>0.57498315742196271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26574</v>
      </c>
      <c r="D37" s="384">
        <v>6533</v>
      </c>
      <c r="E37" s="384">
        <v>6533</v>
      </c>
      <c r="F37" s="386">
        <v>77</v>
      </c>
      <c r="G37" s="386">
        <v>122</v>
      </c>
      <c r="H37" s="385">
        <f>IF(F37=0,0,$C37/(F37*365))</f>
        <v>0.94552570716954276</v>
      </c>
      <c r="I37" s="385">
        <f>IF(G37=0,0,$C37/(G37*365))</f>
        <v>0.59676622501684262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-970</v>
      </c>
      <c r="D38" s="384">
        <f t="shared" si="2"/>
        <v>-427</v>
      </c>
      <c r="E38" s="384">
        <f t="shared" si="2"/>
        <v>-427</v>
      </c>
      <c r="F38" s="384">
        <f t="shared" si="2"/>
        <v>-1</v>
      </c>
      <c r="G38" s="384">
        <f t="shared" si="2"/>
        <v>0</v>
      </c>
      <c r="H38" s="387">
        <f t="shared" si="2"/>
        <v>-2.2526428150076327E-2</v>
      </c>
      <c r="I38" s="387">
        <f t="shared" si="2"/>
        <v>-2.1783067594879912E-2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-3.6501843907578838E-2</v>
      </c>
      <c r="D40" s="389">
        <f t="shared" si="3"/>
        <v>-6.5360477575386502E-2</v>
      </c>
      <c r="E40" s="389">
        <f t="shared" si="3"/>
        <v>-6.5360477575386502E-2</v>
      </c>
      <c r="F40" s="389">
        <f t="shared" si="3"/>
        <v>-1.2987012987012988E-2</v>
      </c>
      <c r="G40" s="389">
        <f t="shared" si="3"/>
        <v>0</v>
      </c>
      <c r="H40" s="389">
        <f t="shared" si="3"/>
        <v>-2.3824236590573311E-2</v>
      </c>
      <c r="I40" s="389">
        <f t="shared" si="3"/>
        <v>-3.6501843907578928E-2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122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FILING&amp;RCHARLOTTE HUNGERFORD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2477</v>
      </c>
      <c r="D12" s="409">
        <v>2324</v>
      </c>
      <c r="E12" s="409">
        <f>+D12-C12</f>
        <v>-153</v>
      </c>
      <c r="F12" s="410">
        <f>IF(C12=0,0,+E12/C12)</f>
        <v>-6.1768268066209123E-2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4583</v>
      </c>
      <c r="D13" s="409">
        <v>4140</v>
      </c>
      <c r="E13" s="409">
        <f>+D13-C13</f>
        <v>-443</v>
      </c>
      <c r="F13" s="410">
        <f>IF(C13=0,0,+E13/C13)</f>
        <v>-9.6661575387300899E-2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2266</v>
      </c>
      <c r="D14" s="409">
        <v>3035</v>
      </c>
      <c r="E14" s="409">
        <f>+D14-C14</f>
        <v>769</v>
      </c>
      <c r="F14" s="410">
        <f>IF(C14=0,0,+E14/C14)</f>
        <v>0.33936451897616948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1538</v>
      </c>
      <c r="D15" s="409">
        <v>1648</v>
      </c>
      <c r="E15" s="409">
        <f>+D15-C15</f>
        <v>110</v>
      </c>
      <c r="F15" s="410">
        <f>IF(C15=0,0,+E15/C15)</f>
        <v>7.1521456436931086E-2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10864</v>
      </c>
      <c r="D16" s="401">
        <f>SUM(D12:D15)</f>
        <v>11147</v>
      </c>
      <c r="E16" s="401">
        <f>+D16-C16</f>
        <v>283</v>
      </c>
      <c r="F16" s="402">
        <f>IF(C16=0,0,+E16/C16)</f>
        <v>2.6049337260677468E-2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396</v>
      </c>
      <c r="D19" s="409">
        <v>511</v>
      </c>
      <c r="E19" s="409">
        <f>+D19-C19</f>
        <v>115</v>
      </c>
      <c r="F19" s="410">
        <f>IF(C19=0,0,+E19/C19)</f>
        <v>0.29040404040404039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699</v>
      </c>
      <c r="D20" s="409">
        <v>766</v>
      </c>
      <c r="E20" s="409">
        <f>+D20-C20</f>
        <v>67</v>
      </c>
      <c r="F20" s="410">
        <f>IF(C20=0,0,+E20/C20)</f>
        <v>9.5851216022889846E-2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15</v>
      </c>
      <c r="D21" s="409">
        <v>82</v>
      </c>
      <c r="E21" s="409">
        <f>+D21-C21</f>
        <v>67</v>
      </c>
      <c r="F21" s="410">
        <f>IF(C21=0,0,+E21/C21)</f>
        <v>4.4666666666666668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4931</v>
      </c>
      <c r="D22" s="409">
        <v>4395</v>
      </c>
      <c r="E22" s="409">
        <f>+D22-C22</f>
        <v>-536</v>
      </c>
      <c r="F22" s="410">
        <f>IF(C22=0,0,+E22/C22)</f>
        <v>-0.10870006083958629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6041</v>
      </c>
      <c r="D23" s="401">
        <f>SUM(D19:D22)</f>
        <v>5754</v>
      </c>
      <c r="E23" s="401">
        <f>+D23-C23</f>
        <v>-287</v>
      </c>
      <c r="F23" s="402">
        <f>IF(C23=0,0,+E23/C23)</f>
        <v>-4.7508690614136734E-2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2</v>
      </c>
      <c r="D26" s="409">
        <v>3</v>
      </c>
      <c r="E26" s="409">
        <f>+D26-C26</f>
        <v>1</v>
      </c>
      <c r="F26" s="410">
        <f>IF(C26=0,0,+E26/C26)</f>
        <v>0.5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291</v>
      </c>
      <c r="D27" s="409">
        <v>273</v>
      </c>
      <c r="E27" s="409">
        <f>+D27-C27</f>
        <v>-18</v>
      </c>
      <c r="F27" s="410">
        <f>IF(C27=0,0,+E27/C27)</f>
        <v>-6.1855670103092786E-2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293</v>
      </c>
      <c r="D30" s="401">
        <f>SUM(D26:D29)</f>
        <v>276</v>
      </c>
      <c r="E30" s="401">
        <f>+D30-C30</f>
        <v>-17</v>
      </c>
      <c r="F30" s="402">
        <f>IF(C30=0,0,+E30/C30)</f>
        <v>-5.8020477815699661E-2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75</v>
      </c>
      <c r="D43" s="409">
        <v>22</v>
      </c>
      <c r="E43" s="409">
        <f>+D43-C43</f>
        <v>-53</v>
      </c>
      <c r="F43" s="410">
        <f>IF(C43=0,0,+E43/C43)</f>
        <v>-0.70666666666666667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4245</v>
      </c>
      <c r="D44" s="409">
        <v>4197</v>
      </c>
      <c r="E44" s="409">
        <f>+D44-C44</f>
        <v>-48</v>
      </c>
      <c r="F44" s="410">
        <f>IF(C44=0,0,+E44/C44)</f>
        <v>-1.1307420494699646E-2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4320</v>
      </c>
      <c r="D45" s="401">
        <f>SUM(D43:D44)</f>
        <v>4219</v>
      </c>
      <c r="E45" s="401">
        <f>+D45-C45</f>
        <v>-101</v>
      </c>
      <c r="F45" s="402">
        <f>IF(C45=0,0,+E45/C45)</f>
        <v>-2.3379629629629629E-2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51</v>
      </c>
      <c r="D58" s="409">
        <v>36</v>
      </c>
      <c r="E58" s="409">
        <f>+D58-C58</f>
        <v>-15</v>
      </c>
      <c r="F58" s="410">
        <f>IF(C58=0,0,+E58/C58)</f>
        <v>-0.29411764705882354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39</v>
      </c>
      <c r="D59" s="409">
        <v>46</v>
      </c>
      <c r="E59" s="409">
        <f>+D59-C59</f>
        <v>7</v>
      </c>
      <c r="F59" s="410">
        <f>IF(C59=0,0,+E59/C59)</f>
        <v>0.17948717948717949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90</v>
      </c>
      <c r="D60" s="401">
        <f>SUM(D58:D59)</f>
        <v>82</v>
      </c>
      <c r="E60" s="401">
        <f>SUM(E58:E59)</f>
        <v>-8</v>
      </c>
      <c r="F60" s="402">
        <f>IF(C60=0,0,+E60/C60)</f>
        <v>-8.8888888888888892E-2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1321</v>
      </c>
      <c r="D63" s="409">
        <v>1146</v>
      </c>
      <c r="E63" s="409">
        <f>+D63-C63</f>
        <v>-175</v>
      </c>
      <c r="F63" s="410">
        <f>IF(C63=0,0,+E63/C63)</f>
        <v>-0.13247539742619227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2824</v>
      </c>
      <c r="D64" s="409">
        <v>2865</v>
      </c>
      <c r="E64" s="409">
        <f>+D64-C64</f>
        <v>41</v>
      </c>
      <c r="F64" s="410">
        <f>IF(C64=0,0,+E64/C64)</f>
        <v>1.4518413597733711E-2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4145</v>
      </c>
      <c r="D65" s="401">
        <f>SUM(D63:D64)</f>
        <v>4011</v>
      </c>
      <c r="E65" s="401">
        <f>+D65-C65</f>
        <v>-134</v>
      </c>
      <c r="F65" s="402">
        <f>IF(C65=0,0,+E65/C65)</f>
        <v>-3.2328106151990353E-2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312</v>
      </c>
      <c r="D68" s="409">
        <v>313</v>
      </c>
      <c r="E68" s="409">
        <f>+D68-C68</f>
        <v>1</v>
      </c>
      <c r="F68" s="410">
        <f>IF(C68=0,0,+E68/C68)</f>
        <v>3.205128205128205E-3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482</v>
      </c>
      <c r="D69" s="409">
        <v>668</v>
      </c>
      <c r="E69" s="409">
        <f>+D69-C69</f>
        <v>186</v>
      </c>
      <c r="F69" s="412">
        <f>IF(C69=0,0,+E69/C69)</f>
        <v>0.38589211618257263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794</v>
      </c>
      <c r="D70" s="401">
        <f>SUM(D68:D69)</f>
        <v>981</v>
      </c>
      <c r="E70" s="401">
        <f>+D70-C70</f>
        <v>187</v>
      </c>
      <c r="F70" s="402">
        <f>IF(C70=0,0,+E70/C70)</f>
        <v>0.23551637279596976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5182</v>
      </c>
      <c r="D73" s="376">
        <v>4871</v>
      </c>
      <c r="E73" s="409">
        <f>+D73-C73</f>
        <v>-311</v>
      </c>
      <c r="F73" s="410">
        <f>IF(C73=0,0,+E73/C73)</f>
        <v>-6.0015438054805095E-2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35790</v>
      </c>
      <c r="D74" s="376">
        <v>35853</v>
      </c>
      <c r="E74" s="409">
        <f>+D74-C74</f>
        <v>63</v>
      </c>
      <c r="F74" s="410">
        <f>IF(C74=0,0,+E74/C74)</f>
        <v>1.7602682313495391E-3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40972</v>
      </c>
      <c r="D75" s="401">
        <f>SUM(D73:D74)</f>
        <v>40724</v>
      </c>
      <c r="E75" s="401">
        <f>SUM(E73:E74)</f>
        <v>-248</v>
      </c>
      <c r="F75" s="402">
        <f>IF(C75=0,0,+E75/C75)</f>
        <v>-6.0529141852972762E-3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4685</v>
      </c>
      <c r="D79" s="376">
        <v>4677</v>
      </c>
      <c r="E79" s="409">
        <f t="shared" ref="E79:E92" si="0">+D79-C79</f>
        <v>-8</v>
      </c>
      <c r="F79" s="410">
        <f t="shared" ref="F79:F92" si="1">IF(C79=0,0,+E79/C79)</f>
        <v>-1.7075773745997866E-3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33320</v>
      </c>
      <c r="D81" s="376">
        <v>33502</v>
      </c>
      <c r="E81" s="409">
        <f t="shared" si="0"/>
        <v>182</v>
      </c>
      <c r="F81" s="410">
        <f t="shared" si="1"/>
        <v>5.4621848739495795E-3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10951</v>
      </c>
      <c r="D84" s="376">
        <v>11860</v>
      </c>
      <c r="E84" s="409">
        <f t="shared" si="0"/>
        <v>909</v>
      </c>
      <c r="F84" s="410">
        <f t="shared" si="1"/>
        <v>8.3006118162724865E-2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9037</v>
      </c>
      <c r="D85" s="376">
        <v>8824</v>
      </c>
      <c r="E85" s="409">
        <f t="shared" si="0"/>
        <v>-213</v>
      </c>
      <c r="F85" s="410">
        <f t="shared" si="1"/>
        <v>-2.3569768728560363E-2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11863</v>
      </c>
      <c r="D88" s="376">
        <v>10355</v>
      </c>
      <c r="E88" s="409">
        <f t="shared" si="0"/>
        <v>-1508</v>
      </c>
      <c r="F88" s="410">
        <f t="shared" si="1"/>
        <v>-0.1271179296973784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1806</v>
      </c>
      <c r="D89" s="376">
        <v>1859</v>
      </c>
      <c r="E89" s="409">
        <f t="shared" si="0"/>
        <v>53</v>
      </c>
      <c r="F89" s="410">
        <f t="shared" si="1"/>
        <v>2.9346622369878183E-2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24048</v>
      </c>
      <c r="D91" s="376">
        <v>23166</v>
      </c>
      <c r="E91" s="409">
        <f t="shared" si="0"/>
        <v>-882</v>
      </c>
      <c r="F91" s="410">
        <f t="shared" si="1"/>
        <v>-3.6676646706586824E-2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95710</v>
      </c>
      <c r="D92" s="381">
        <f>SUM(D79:D91)</f>
        <v>94243</v>
      </c>
      <c r="E92" s="401">
        <f t="shared" si="0"/>
        <v>-1467</v>
      </c>
      <c r="F92" s="402">
        <f t="shared" si="1"/>
        <v>-1.53275519799394E-2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7478</v>
      </c>
      <c r="D95" s="414">
        <v>9650</v>
      </c>
      <c r="E95" s="415">
        <f t="shared" ref="E95:E100" si="2">+D95-C95</f>
        <v>2172</v>
      </c>
      <c r="F95" s="412">
        <f t="shared" ref="F95:F100" si="3">IF(C95=0,0,+E95/C95)</f>
        <v>0.29045199251136666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4885</v>
      </c>
      <c r="D96" s="414">
        <v>4849</v>
      </c>
      <c r="E96" s="409">
        <f t="shared" si="2"/>
        <v>-36</v>
      </c>
      <c r="F96" s="410">
        <f t="shared" si="3"/>
        <v>-7.3694984646878198E-3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411</v>
      </c>
      <c r="D97" s="414">
        <v>420</v>
      </c>
      <c r="E97" s="409">
        <f t="shared" si="2"/>
        <v>9</v>
      </c>
      <c r="F97" s="410">
        <f t="shared" si="3"/>
        <v>2.1897810218978103E-2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537</v>
      </c>
      <c r="D98" s="414">
        <v>668</v>
      </c>
      <c r="E98" s="409">
        <f t="shared" si="2"/>
        <v>131</v>
      </c>
      <c r="F98" s="410">
        <f t="shared" si="3"/>
        <v>0.24394785847299813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100483</v>
      </c>
      <c r="D99" s="414">
        <v>104644</v>
      </c>
      <c r="E99" s="409">
        <f t="shared" si="2"/>
        <v>4161</v>
      </c>
      <c r="F99" s="410">
        <f t="shared" si="3"/>
        <v>4.1409989749509865E-2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113794</v>
      </c>
      <c r="D100" s="381">
        <f>SUM(D95:D99)</f>
        <v>120231</v>
      </c>
      <c r="E100" s="401">
        <f t="shared" si="2"/>
        <v>6437</v>
      </c>
      <c r="F100" s="402">
        <f t="shared" si="3"/>
        <v>5.6567130077156969E-2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305.89999999999998</v>
      </c>
      <c r="D104" s="416">
        <v>296.39999999999998</v>
      </c>
      <c r="E104" s="417">
        <f>+D104-C104</f>
        <v>-9.5</v>
      </c>
      <c r="F104" s="410">
        <f>IF(C104=0,0,+E104/C104)</f>
        <v>-3.1055900621118016E-2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33.9</v>
      </c>
      <c r="D105" s="416">
        <v>30.9</v>
      </c>
      <c r="E105" s="417">
        <f>+D105-C105</f>
        <v>-3</v>
      </c>
      <c r="F105" s="410">
        <f>IF(C105=0,0,+E105/C105)</f>
        <v>-8.8495575221238937E-2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449.2</v>
      </c>
      <c r="D106" s="416">
        <v>439.7</v>
      </c>
      <c r="E106" s="417">
        <f>+D106-C106</f>
        <v>-9.5</v>
      </c>
      <c r="F106" s="410">
        <f>IF(C106=0,0,+E106/C106)</f>
        <v>-2.1148708815672306E-2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789</v>
      </c>
      <c r="D107" s="418">
        <f>SUM(D104:D106)</f>
        <v>767</v>
      </c>
      <c r="E107" s="418">
        <f>+D107-C107</f>
        <v>-22</v>
      </c>
      <c r="F107" s="402">
        <f>IF(C107=0,0,+E107/C107)</f>
        <v>-2.7883396704689482E-2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FILING&amp;RCHARLOTTE HUNGERFORD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2824</v>
      </c>
      <c r="D12" s="409">
        <v>2865</v>
      </c>
      <c r="E12" s="409">
        <f>+D12-C12</f>
        <v>41</v>
      </c>
      <c r="F12" s="410">
        <f>IF(C12=0,0,+E12/C12)</f>
        <v>1.4518413597733711E-2</v>
      </c>
    </row>
    <row r="13" spans="1:6" ht="15.75" customHeight="1" x14ac:dyDescent="0.25">
      <c r="A13" s="374"/>
      <c r="B13" s="399" t="s">
        <v>622</v>
      </c>
      <c r="C13" s="401">
        <f>SUM(C11:C12)</f>
        <v>2824</v>
      </c>
      <c r="D13" s="401">
        <f>SUM(D11:D12)</f>
        <v>2865</v>
      </c>
      <c r="E13" s="401">
        <f>+D13-C13</f>
        <v>41</v>
      </c>
      <c r="F13" s="402">
        <f>IF(C13=0,0,+E13/C13)</f>
        <v>1.4518413597733711E-2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482</v>
      </c>
      <c r="D16" s="409">
        <v>668</v>
      </c>
      <c r="E16" s="409">
        <f>+D16-C16</f>
        <v>186</v>
      </c>
      <c r="F16" s="410">
        <f>IF(C16=0,0,+E16/C16)</f>
        <v>0.38589211618257263</v>
      </c>
    </row>
    <row r="17" spans="1:6" ht="15.75" customHeight="1" x14ac:dyDescent="0.25">
      <c r="A17" s="374"/>
      <c r="B17" s="399" t="s">
        <v>623</v>
      </c>
      <c r="C17" s="401">
        <f>SUM(C15:C16)</f>
        <v>482</v>
      </c>
      <c r="D17" s="401">
        <f>SUM(D15:D16)</f>
        <v>668</v>
      </c>
      <c r="E17" s="401">
        <f>+D17-C17</f>
        <v>186</v>
      </c>
      <c r="F17" s="402">
        <f>IF(C17=0,0,+E17/C17)</f>
        <v>0.38589211618257263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29714</v>
      </c>
      <c r="D20" s="409">
        <v>29577</v>
      </c>
      <c r="E20" s="409">
        <f>+D20-C20</f>
        <v>-137</v>
      </c>
      <c r="F20" s="410">
        <f>IF(C20=0,0,+E20/C20)</f>
        <v>-4.6106212559736152E-3</v>
      </c>
    </row>
    <row r="21" spans="1:6" ht="15.75" customHeight="1" x14ac:dyDescent="0.2">
      <c r="A21" s="374">
        <v>2</v>
      </c>
      <c r="B21" s="408" t="s">
        <v>625</v>
      </c>
      <c r="C21" s="409">
        <v>6076</v>
      </c>
      <c r="D21" s="409">
        <v>6276</v>
      </c>
      <c r="E21" s="409">
        <f>+D21-C21</f>
        <v>200</v>
      </c>
      <c r="F21" s="410">
        <f>IF(C21=0,0,+E21/C21)</f>
        <v>3.2916392363396975E-2</v>
      </c>
    </row>
    <row r="22" spans="1:6" ht="15.75" customHeight="1" x14ac:dyDescent="0.25">
      <c r="A22" s="374"/>
      <c r="B22" s="399" t="s">
        <v>626</v>
      </c>
      <c r="C22" s="401">
        <f>SUM(C19:C21)</f>
        <v>35790</v>
      </c>
      <c r="D22" s="401">
        <f>SUM(D19:D21)</f>
        <v>35853</v>
      </c>
      <c r="E22" s="401">
        <f>+D22-C22</f>
        <v>63</v>
      </c>
      <c r="F22" s="402">
        <f>IF(C22=0,0,+E22/C22)</f>
        <v>1.7602682313495391E-3</v>
      </c>
    </row>
    <row r="23" spans="1:6" ht="15.75" customHeight="1" x14ac:dyDescent="0.25">
      <c r="A23" s="136"/>
      <c r="B23" s="399"/>
      <c r="C23" s="401"/>
      <c r="D23" s="401"/>
      <c r="E23" s="401"/>
      <c r="F23" s="402"/>
    </row>
    <row r="24" spans="1:6" ht="15.75" customHeight="1" x14ac:dyDescent="0.25">
      <c r="B24" s="813" t="s">
        <v>627</v>
      </c>
      <c r="C24" s="814"/>
      <c r="D24" s="814"/>
      <c r="E24" s="814"/>
      <c r="F24" s="815"/>
    </row>
    <row r="25" spans="1:6" ht="15.75" customHeight="1" x14ac:dyDescent="0.25">
      <c r="A25" s="392"/>
    </row>
    <row r="26" spans="1:6" ht="15.75" customHeight="1" x14ac:dyDescent="0.25">
      <c r="B26" s="813" t="s">
        <v>628</v>
      </c>
      <c r="C26" s="814"/>
      <c r="D26" s="814"/>
      <c r="E26" s="814"/>
      <c r="F26" s="815"/>
    </row>
    <row r="27" spans="1:6" ht="15.75" customHeight="1" x14ac:dyDescent="0.25">
      <c r="A27" s="392"/>
    </row>
    <row r="28" spans="1:6" ht="15.75" customHeight="1" x14ac:dyDescent="0.25">
      <c r="B28" s="813" t="s">
        <v>629</v>
      </c>
      <c r="C28" s="814"/>
      <c r="D28" s="814"/>
      <c r="E28" s="814"/>
      <c r="F28" s="815"/>
    </row>
    <row r="29" spans="1:6" ht="15.75" customHeight="1" x14ac:dyDescent="0.25">
      <c r="A29" s="392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FILING&amp;RCHARLOTTE HUNGERFORD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62018968</v>
      </c>
      <c r="D15" s="448">
        <v>61563189</v>
      </c>
      <c r="E15" s="448">
        <f t="shared" ref="E15:E24" si="0">D15-C15</f>
        <v>-455779</v>
      </c>
      <c r="F15" s="449">
        <f t="shared" ref="F15:F24" si="1">IF(C15=0,0,E15/C15)</f>
        <v>-7.3490258657641647E-3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34553159</v>
      </c>
      <c r="D16" s="448">
        <v>33728483</v>
      </c>
      <c r="E16" s="448">
        <f t="shared" si="0"/>
        <v>-824676</v>
      </c>
      <c r="F16" s="449">
        <f t="shared" si="1"/>
        <v>-2.3866877121133844E-2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0.55713856767174841</v>
      </c>
      <c r="D17" s="453">
        <f>IF(LN_IA1=0,0,LN_IA2/LN_IA1)</f>
        <v>0.54786770386439854</v>
      </c>
      <c r="E17" s="454">
        <f t="shared" si="0"/>
        <v>-9.2708638073498717E-3</v>
      </c>
      <c r="F17" s="449">
        <f t="shared" si="1"/>
        <v>-1.6640140075192253E-2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3510</v>
      </c>
      <c r="D18" s="456">
        <v>3299</v>
      </c>
      <c r="E18" s="456">
        <f t="shared" si="0"/>
        <v>-211</v>
      </c>
      <c r="F18" s="449">
        <f t="shared" si="1"/>
        <v>-6.0113960113960113E-2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1.4476</v>
      </c>
      <c r="D19" s="459">
        <v>1.391</v>
      </c>
      <c r="E19" s="460">
        <f t="shared" si="0"/>
        <v>-5.6599999999999984E-2</v>
      </c>
      <c r="F19" s="449">
        <f t="shared" si="1"/>
        <v>-3.9099198673666749E-2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5081.076</v>
      </c>
      <c r="D20" s="463">
        <f>LN_IA4*LN_IA5</f>
        <v>4588.9089999999997</v>
      </c>
      <c r="E20" s="463">
        <f t="shared" si="0"/>
        <v>-492.16700000000037</v>
      </c>
      <c r="F20" s="449">
        <f t="shared" si="1"/>
        <v>-9.6862751118070342E-2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6800.3625610008585</v>
      </c>
      <c r="D21" s="465">
        <f>IF(LN_IA6=0,0,LN_IA2/LN_IA6)</f>
        <v>7350.0004031459339</v>
      </c>
      <c r="E21" s="465">
        <f t="shared" si="0"/>
        <v>549.63784214507541</v>
      </c>
      <c r="F21" s="449">
        <f t="shared" si="1"/>
        <v>8.0824785033841079E-2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15882</v>
      </c>
      <c r="D22" s="456">
        <v>15270</v>
      </c>
      <c r="E22" s="456">
        <f t="shared" si="0"/>
        <v>-612</v>
      </c>
      <c r="F22" s="449">
        <f t="shared" si="1"/>
        <v>-3.8534189648658859E-2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2175.6176174285356</v>
      </c>
      <c r="D23" s="465">
        <f>IF(LN_IA8=0,0,LN_IA2/LN_IA8)</f>
        <v>2208.8070072036671</v>
      </c>
      <c r="E23" s="465">
        <f t="shared" si="0"/>
        <v>33.189389775131531</v>
      </c>
      <c r="F23" s="449">
        <f t="shared" si="1"/>
        <v>1.5255157666152578E-2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4.5247863247863247</v>
      </c>
      <c r="D24" s="466">
        <f>IF(LN_IA4=0,0,LN_IA8/LN_IA4)</f>
        <v>4.6286753561685359</v>
      </c>
      <c r="E24" s="466">
        <f t="shared" si="0"/>
        <v>0.10388903138221117</v>
      </c>
      <c r="F24" s="449">
        <f t="shared" si="1"/>
        <v>2.2959986157383278E-2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60797693</v>
      </c>
      <c r="D27" s="448">
        <v>64444398</v>
      </c>
      <c r="E27" s="448">
        <f t="shared" ref="E27:E32" si="2">D27-C27</f>
        <v>3646705</v>
      </c>
      <c r="F27" s="449">
        <f t="shared" ref="F27:F32" si="3">IF(C27=0,0,E27/C27)</f>
        <v>5.9980976580805458E-2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21867353</v>
      </c>
      <c r="D28" s="448">
        <v>23390922</v>
      </c>
      <c r="E28" s="448">
        <f t="shared" si="2"/>
        <v>1523569</v>
      </c>
      <c r="F28" s="449">
        <f t="shared" si="3"/>
        <v>6.9673224738266218E-2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0.35967405868508862</v>
      </c>
      <c r="D29" s="453">
        <f>IF(LN_IA11=0,0,LN_IA12/LN_IA11)</f>
        <v>0.36296284434218784</v>
      </c>
      <c r="E29" s="454">
        <f t="shared" si="2"/>
        <v>3.2887856570992247E-3</v>
      </c>
      <c r="F29" s="449">
        <f t="shared" si="3"/>
        <v>9.1437944374484614E-3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0.98030804059816024</v>
      </c>
      <c r="D30" s="453">
        <f>IF(LN_IA1=0,0,LN_IA11/LN_IA1)</f>
        <v>1.0468008406776979</v>
      </c>
      <c r="E30" s="454">
        <f t="shared" si="2"/>
        <v>6.6492800079537617E-2</v>
      </c>
      <c r="F30" s="449">
        <f t="shared" si="3"/>
        <v>6.7828475668694224E-2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3440.8812224995422</v>
      </c>
      <c r="D31" s="463">
        <f>LN_IA14*LN_IA4</f>
        <v>3453.3959733957254</v>
      </c>
      <c r="E31" s="463">
        <f t="shared" si="2"/>
        <v>12.514750896183159</v>
      </c>
      <c r="F31" s="449">
        <f t="shared" si="3"/>
        <v>3.6370772737956154E-3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6355.1606655329442</v>
      </c>
      <c r="D32" s="465">
        <f>IF(LN_IA15=0,0,LN_IA12/LN_IA15)</f>
        <v>6773.3101504139704</v>
      </c>
      <c r="E32" s="465">
        <f t="shared" si="2"/>
        <v>418.14948488102618</v>
      </c>
      <c r="F32" s="449">
        <f t="shared" si="3"/>
        <v>6.5796839275653482E-2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122816661</v>
      </c>
      <c r="D35" s="448">
        <f>LN_IA1+LN_IA11</f>
        <v>126007587</v>
      </c>
      <c r="E35" s="448">
        <f>D35-C35</f>
        <v>3190926</v>
      </c>
      <c r="F35" s="449">
        <f>IF(C35=0,0,E35/C35)</f>
        <v>2.5981214389145461E-2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56420512</v>
      </c>
      <c r="D36" s="448">
        <f>LN_IA2+LN_IA12</f>
        <v>57119405</v>
      </c>
      <c r="E36" s="448">
        <f>D36-C36</f>
        <v>698893</v>
      </c>
      <c r="F36" s="449">
        <f>IF(C36=0,0,E36/C36)</f>
        <v>1.2387214777490854E-2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66396149</v>
      </c>
      <c r="D37" s="448">
        <f>LN_IA17-LN_IA18</f>
        <v>68888182</v>
      </c>
      <c r="E37" s="448">
        <f>D37-C37</f>
        <v>2492033</v>
      </c>
      <c r="F37" s="449">
        <f>IF(C37=0,0,E37/C37)</f>
        <v>3.7532794258895948E-2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24499963</v>
      </c>
      <c r="D42" s="448">
        <v>22557240</v>
      </c>
      <c r="E42" s="448">
        <f t="shared" ref="E42:E53" si="4">D42-C42</f>
        <v>-1942723</v>
      </c>
      <c r="F42" s="449">
        <f t="shared" ref="F42:F53" si="5">IF(C42=0,0,E42/C42)</f>
        <v>-7.929493607806673E-2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15060737</v>
      </c>
      <c r="D43" s="448">
        <v>13571626</v>
      </c>
      <c r="E43" s="448">
        <f t="shared" si="4"/>
        <v>-1489111</v>
      </c>
      <c r="F43" s="449">
        <f t="shared" si="5"/>
        <v>-9.8873713816262782E-2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0.61472488754370769</v>
      </c>
      <c r="D44" s="453">
        <f>IF(LN_IB1=0,0,LN_IB2/LN_IB1)</f>
        <v>0.60165277312295296</v>
      </c>
      <c r="E44" s="454">
        <f t="shared" si="4"/>
        <v>-1.3072114420754732E-2</v>
      </c>
      <c r="F44" s="449">
        <f t="shared" si="5"/>
        <v>-2.126498322361365E-2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1821</v>
      </c>
      <c r="D45" s="456">
        <v>1585</v>
      </c>
      <c r="E45" s="456">
        <f t="shared" si="4"/>
        <v>-236</v>
      </c>
      <c r="F45" s="449">
        <f t="shared" si="5"/>
        <v>-0.12959912136188906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1.0895999999999999</v>
      </c>
      <c r="D46" s="459">
        <v>1.1468</v>
      </c>
      <c r="E46" s="460">
        <f t="shared" si="4"/>
        <v>5.720000000000014E-2</v>
      </c>
      <c r="F46" s="449">
        <f t="shared" si="5"/>
        <v>5.249632892804712E-2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1984.1615999999999</v>
      </c>
      <c r="D47" s="463">
        <f>LN_IB4*LN_IB5</f>
        <v>1817.6780000000001</v>
      </c>
      <c r="E47" s="463">
        <f t="shared" si="4"/>
        <v>-166.4835999999998</v>
      </c>
      <c r="F47" s="449">
        <f t="shared" si="5"/>
        <v>-8.3906270537641589E-2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7590.4790214668001</v>
      </c>
      <c r="D48" s="465">
        <f>IF(LN_IB6=0,0,LN_IB2/LN_IB6)</f>
        <v>7466.4632569685054</v>
      </c>
      <c r="E48" s="465">
        <f t="shared" si="4"/>
        <v>-124.01576449829463</v>
      </c>
      <c r="F48" s="449">
        <f t="shared" si="5"/>
        <v>-1.6338331763721754E-2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-790.1164604659416</v>
      </c>
      <c r="D49" s="465">
        <f>LN_IA7-LN_IB7</f>
        <v>-116.46285382257156</v>
      </c>
      <c r="E49" s="465">
        <f t="shared" si="4"/>
        <v>673.65360664337004</v>
      </c>
      <c r="F49" s="449">
        <f t="shared" si="5"/>
        <v>-0.85260039544816979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-1567718.7403844395</v>
      </c>
      <c r="D50" s="479">
        <f>LN_IB8*LN_IB6</f>
        <v>-211691.96721050426</v>
      </c>
      <c r="E50" s="479">
        <f t="shared" si="4"/>
        <v>1356026.7731739352</v>
      </c>
      <c r="F50" s="449">
        <f t="shared" si="5"/>
        <v>-0.86496814654483711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5952</v>
      </c>
      <c r="D51" s="456">
        <v>5499</v>
      </c>
      <c r="E51" s="456">
        <f t="shared" si="4"/>
        <v>-453</v>
      </c>
      <c r="F51" s="449">
        <f t="shared" si="5"/>
        <v>-7.6108870967741937E-2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2530.3657594086021</v>
      </c>
      <c r="D52" s="465">
        <f>IF(LN_IB10=0,0,LN_IB2/LN_IB10)</f>
        <v>2468.0170940170942</v>
      </c>
      <c r="E52" s="465">
        <f t="shared" si="4"/>
        <v>-62.348665391507893</v>
      </c>
      <c r="F52" s="449">
        <f t="shared" si="5"/>
        <v>-2.4640179056991368E-2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3.2685337726523889</v>
      </c>
      <c r="D53" s="466">
        <f>IF(LN_IB4=0,0,LN_IB10/LN_IB4)</f>
        <v>3.4694006309148264</v>
      </c>
      <c r="E53" s="466">
        <f t="shared" si="4"/>
        <v>0.20086685826243755</v>
      </c>
      <c r="F53" s="449">
        <f t="shared" si="5"/>
        <v>6.1454729317187297E-2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63280634</v>
      </c>
      <c r="D56" s="448">
        <v>64224431</v>
      </c>
      <c r="E56" s="448">
        <f t="shared" ref="E56:E63" si="6">D56-C56</f>
        <v>943797</v>
      </c>
      <c r="F56" s="449">
        <f t="shared" ref="F56:F63" si="7">IF(C56=0,0,E56/C56)</f>
        <v>1.4914468145183248E-2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29610878</v>
      </c>
      <c r="D57" s="448">
        <v>30546862</v>
      </c>
      <c r="E57" s="448">
        <f t="shared" si="6"/>
        <v>935984</v>
      </c>
      <c r="F57" s="449">
        <f t="shared" si="7"/>
        <v>3.1609464602839539E-2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0.46792954065536069</v>
      </c>
      <c r="D58" s="453">
        <f>IF(LN_IB13=0,0,LN_IB14/LN_IB13)</f>
        <v>0.47562682182423693</v>
      </c>
      <c r="E58" s="454">
        <f t="shared" si="6"/>
        <v>7.6972811688762466E-3</v>
      </c>
      <c r="F58" s="449">
        <f t="shared" si="7"/>
        <v>1.6449658549224713E-2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2.5828869210945338</v>
      </c>
      <c r="D59" s="453">
        <f>IF(LN_IB1=0,0,LN_IB13/LN_IB1)</f>
        <v>2.8471759399642864</v>
      </c>
      <c r="E59" s="454">
        <f t="shared" si="6"/>
        <v>0.26428901886975265</v>
      </c>
      <c r="F59" s="449">
        <f t="shared" si="7"/>
        <v>0.10232310857718717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4703.4370833131461</v>
      </c>
      <c r="D60" s="463">
        <f>LN_IB16*LN_IB4</f>
        <v>4512.7738648433942</v>
      </c>
      <c r="E60" s="463">
        <f t="shared" si="6"/>
        <v>-190.66321846975188</v>
      </c>
      <c r="F60" s="449">
        <f t="shared" si="7"/>
        <v>-4.0536997751322502E-2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6295.5828844938678</v>
      </c>
      <c r="D61" s="465">
        <f>IF(LN_IB17=0,0,LN_IB14/LN_IB17)</f>
        <v>6768.9768897959302</v>
      </c>
      <c r="E61" s="465">
        <f t="shared" si="6"/>
        <v>473.3940053020624</v>
      </c>
      <c r="F61" s="449">
        <f t="shared" si="7"/>
        <v>7.519462677046794E-2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59.577781039076399</v>
      </c>
      <c r="D62" s="465">
        <f>LN_IA16-LN_IB18</f>
        <v>4.3332606180401854</v>
      </c>
      <c r="E62" s="465">
        <f t="shared" si="6"/>
        <v>-55.244520421036214</v>
      </c>
      <c r="F62" s="449">
        <f t="shared" si="7"/>
        <v>-0.92726717003444536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280220.34468070278</v>
      </c>
      <c r="D63" s="448">
        <f>LN_IB19*LN_IB17</f>
        <v>19555.025266646884</v>
      </c>
      <c r="E63" s="448">
        <f t="shared" si="6"/>
        <v>-260665.31941405591</v>
      </c>
      <c r="F63" s="449">
        <f t="shared" si="7"/>
        <v>-0.93021554059920641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87780597</v>
      </c>
      <c r="D66" s="448">
        <f>LN_IB1+LN_IB13</f>
        <v>86781671</v>
      </c>
      <c r="E66" s="448">
        <f>D66-C66</f>
        <v>-998926</v>
      </c>
      <c r="F66" s="449">
        <f>IF(C66=0,0,E66/C66)</f>
        <v>-1.1379804126873278E-2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44671615</v>
      </c>
      <c r="D67" s="448">
        <f>LN_IB2+LN_IB14</f>
        <v>44118488</v>
      </c>
      <c r="E67" s="448">
        <f>D67-C67</f>
        <v>-553127</v>
      </c>
      <c r="F67" s="449">
        <f>IF(C67=0,0,E67/C67)</f>
        <v>-1.2382068568597755E-2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43108982</v>
      </c>
      <c r="D68" s="448">
        <f>LN_IB21-LN_IB22</f>
        <v>42663183</v>
      </c>
      <c r="E68" s="448">
        <f>D68-C68</f>
        <v>-445799</v>
      </c>
      <c r="F68" s="449">
        <f>IF(C68=0,0,E68/C68)</f>
        <v>-1.0341209170747757E-2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-1287498.3957037367</v>
      </c>
      <c r="D70" s="441">
        <f>LN_IB9+LN_IB20</f>
        <v>-192136.94194385738</v>
      </c>
      <c r="E70" s="448">
        <f>D70-C70</f>
        <v>1095361.4537598793</v>
      </c>
      <c r="F70" s="449">
        <f>IF(C70=0,0,E70/C70)</f>
        <v>-0.85076723778064456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87780597</v>
      </c>
      <c r="D73" s="488">
        <v>86781671</v>
      </c>
      <c r="E73" s="488">
        <f>D73-C73</f>
        <v>-998926</v>
      </c>
      <c r="F73" s="489">
        <f>IF(C73=0,0,E73/C73)</f>
        <v>-1.1379804126873278E-2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51264194</v>
      </c>
      <c r="D74" s="488">
        <v>49753368</v>
      </c>
      <c r="E74" s="488">
        <f>D74-C74</f>
        <v>-1510826</v>
      </c>
      <c r="F74" s="489">
        <f>IF(C74=0,0,E74/C74)</f>
        <v>-2.9471369431849449E-2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36516403</v>
      </c>
      <c r="D76" s="441">
        <f>LN_IB32-LN_IB33</f>
        <v>37028303</v>
      </c>
      <c r="E76" s="488">
        <f>D76-C76</f>
        <v>511900</v>
      </c>
      <c r="F76" s="489">
        <f>IF(E76=0,0,E76/C76)</f>
        <v>1.4018357722692457E-2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0.41599629357726969</v>
      </c>
      <c r="D77" s="453">
        <f>IF(LN_IB32=0,0,LN_IB34/LN_IB32)</f>
        <v>0.42668345254610274</v>
      </c>
      <c r="E77" s="493">
        <f>D77-C77</f>
        <v>1.0687158968833044E-2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1590204</v>
      </c>
      <c r="D83" s="448">
        <v>1554063</v>
      </c>
      <c r="E83" s="448">
        <f t="shared" ref="E83:E95" si="8">D83-C83</f>
        <v>-36141</v>
      </c>
      <c r="F83" s="449">
        <f t="shared" ref="F83:F95" si="9">IF(C83=0,0,E83/C83)</f>
        <v>-2.2727272727272728E-2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272165</v>
      </c>
      <c r="D84" s="448">
        <v>318975</v>
      </c>
      <c r="E84" s="448">
        <f t="shared" si="8"/>
        <v>46810</v>
      </c>
      <c r="F84" s="449">
        <f t="shared" si="9"/>
        <v>0.17199125530468651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0.17115099697900396</v>
      </c>
      <c r="D85" s="453">
        <f>IF(LN_IC1=0,0,LN_IC2/LN_IC1)</f>
        <v>0.20525229672156148</v>
      </c>
      <c r="E85" s="454">
        <f t="shared" si="8"/>
        <v>3.4101299742557517E-2</v>
      </c>
      <c r="F85" s="449">
        <f t="shared" si="9"/>
        <v>0.19924686589316751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200</v>
      </c>
      <c r="D86" s="456">
        <v>137</v>
      </c>
      <c r="E86" s="456">
        <f t="shared" si="8"/>
        <v>-63</v>
      </c>
      <c r="F86" s="449">
        <f t="shared" si="9"/>
        <v>-0.315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1.0268999999999999</v>
      </c>
      <c r="D87" s="459">
        <v>1.0423</v>
      </c>
      <c r="E87" s="460">
        <f t="shared" si="8"/>
        <v>1.540000000000008E-2</v>
      </c>
      <c r="F87" s="449">
        <f t="shared" si="9"/>
        <v>1.4996591683708328E-2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205.38</v>
      </c>
      <c r="D88" s="463">
        <f>LN_IC4*LN_IC5</f>
        <v>142.79509999999999</v>
      </c>
      <c r="E88" s="463">
        <f t="shared" si="8"/>
        <v>-62.584900000000005</v>
      </c>
      <c r="F88" s="449">
        <f t="shared" si="9"/>
        <v>-0.30472733469665986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1325.1777193494986</v>
      </c>
      <c r="D89" s="465">
        <f>IF(LN_IC6=0,0,LN_IC2/LN_IC6)</f>
        <v>2233.7951372280982</v>
      </c>
      <c r="E89" s="465">
        <f t="shared" si="8"/>
        <v>908.61741787859955</v>
      </c>
      <c r="F89" s="449">
        <f t="shared" si="9"/>
        <v>0.68565702894900804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6265.301302117301</v>
      </c>
      <c r="D90" s="465">
        <f>LN_IB7-LN_IC7</f>
        <v>5232.6681197404068</v>
      </c>
      <c r="E90" s="465">
        <f t="shared" si="8"/>
        <v>-1032.6331823768942</v>
      </c>
      <c r="F90" s="449">
        <f t="shared" si="9"/>
        <v>-0.16481780086584588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5475.1848416513603</v>
      </c>
      <c r="D91" s="465">
        <f>LN_IA7-LN_IC7</f>
        <v>5116.2052659178353</v>
      </c>
      <c r="E91" s="465">
        <f t="shared" si="8"/>
        <v>-358.97957573352505</v>
      </c>
      <c r="F91" s="449">
        <f t="shared" si="9"/>
        <v>-6.5564832259663752E-2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1124493.4627783564</v>
      </c>
      <c r="D92" s="441">
        <f>LN_IC9*LN_IC6</f>
        <v>730569.04256726382</v>
      </c>
      <c r="E92" s="441">
        <f t="shared" si="8"/>
        <v>-393924.42021109257</v>
      </c>
      <c r="F92" s="449">
        <f t="shared" si="9"/>
        <v>-0.35031277037200276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696</v>
      </c>
      <c r="D93" s="456">
        <v>613</v>
      </c>
      <c r="E93" s="456">
        <f t="shared" si="8"/>
        <v>-83</v>
      </c>
      <c r="F93" s="449">
        <f t="shared" si="9"/>
        <v>-0.11925287356321838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391.04166666666669</v>
      </c>
      <c r="D94" s="499">
        <f>IF(LN_IC11=0,0,LN_IC2/LN_IC11)</f>
        <v>520.35073409461666</v>
      </c>
      <c r="E94" s="499">
        <f t="shared" si="8"/>
        <v>129.30906742794997</v>
      </c>
      <c r="F94" s="449">
        <f t="shared" si="9"/>
        <v>0.33067848889406493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3.48</v>
      </c>
      <c r="D95" s="466">
        <f>IF(LN_IC4=0,0,LN_IC11/LN_IC4)</f>
        <v>4.4744525547445253</v>
      </c>
      <c r="E95" s="466">
        <f t="shared" si="8"/>
        <v>0.99445255474452532</v>
      </c>
      <c r="F95" s="449">
        <f t="shared" si="9"/>
        <v>0.28576222837486359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5513269</v>
      </c>
      <c r="D98" s="448">
        <v>4301269</v>
      </c>
      <c r="E98" s="448">
        <f t="shared" ref="E98:E106" si="10">D98-C98</f>
        <v>-1212000</v>
      </c>
      <c r="F98" s="449">
        <f t="shared" ref="F98:F106" si="11">IF(C98=0,0,E98/C98)</f>
        <v>-0.21983327858662438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943602</v>
      </c>
      <c r="D99" s="448">
        <v>882845</v>
      </c>
      <c r="E99" s="448">
        <f t="shared" si="10"/>
        <v>-60757</v>
      </c>
      <c r="F99" s="449">
        <f t="shared" si="11"/>
        <v>-6.4388375607512482E-2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0.17115109021526068</v>
      </c>
      <c r="D100" s="453">
        <f>IF(LN_IC14=0,0,LN_IC15/LN_IC14)</f>
        <v>0.20525221742699654</v>
      </c>
      <c r="E100" s="454">
        <f t="shared" si="10"/>
        <v>3.410112721173586E-2</v>
      </c>
      <c r="F100" s="449">
        <f t="shared" si="11"/>
        <v>0.19924574928997579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3.4670199546724825</v>
      </c>
      <c r="D101" s="453">
        <f>IF(LN_IC1=0,0,LN_IC14/LN_IC1)</f>
        <v>2.7677571629978965</v>
      </c>
      <c r="E101" s="454">
        <f t="shared" si="10"/>
        <v>-0.69926279167458594</v>
      </c>
      <c r="F101" s="449">
        <f t="shared" si="11"/>
        <v>-0.20168986646073195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693.40399093449651</v>
      </c>
      <c r="D102" s="463">
        <f>LN_IC17*LN_IC4</f>
        <v>379.18273133071182</v>
      </c>
      <c r="E102" s="463">
        <f t="shared" si="10"/>
        <v>-314.22125960378469</v>
      </c>
      <c r="F102" s="449">
        <f t="shared" si="11"/>
        <v>-0.45315755852560141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1360.8257413233418</v>
      </c>
      <c r="D103" s="465">
        <f>IF(LN_IC18=0,0,LN_IC15/LN_IC18)</f>
        <v>2328.2837720529237</v>
      </c>
      <c r="E103" s="465">
        <f t="shared" si="10"/>
        <v>967.45803072958188</v>
      </c>
      <c r="F103" s="449">
        <f t="shared" si="11"/>
        <v>0.71093454610049667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4934.7571431705255</v>
      </c>
      <c r="D104" s="465">
        <f>LN_IB18-LN_IC19</f>
        <v>4440.693117743007</v>
      </c>
      <c r="E104" s="465">
        <f t="shared" si="10"/>
        <v>-494.06402542751857</v>
      </c>
      <c r="F104" s="449">
        <f t="shared" si="11"/>
        <v>-0.10011921784464717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4994.3349242096028</v>
      </c>
      <c r="D105" s="465">
        <f>LN_IA16-LN_IC19</f>
        <v>4445.0263783610462</v>
      </c>
      <c r="E105" s="465">
        <f t="shared" si="10"/>
        <v>-549.30854584855661</v>
      </c>
      <c r="F105" s="449">
        <f t="shared" si="11"/>
        <v>-0.10998632534350697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3463091.7685104748</v>
      </c>
      <c r="D106" s="448">
        <f>LN_IC21*LN_IC18</f>
        <v>1685477.2429840036</v>
      </c>
      <c r="E106" s="448">
        <f t="shared" si="10"/>
        <v>-1777614.5255264712</v>
      </c>
      <c r="F106" s="449">
        <f t="shared" si="11"/>
        <v>-0.51330274920524233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7103473</v>
      </c>
      <c r="D109" s="448">
        <f>LN_IC1+LN_IC14</f>
        <v>5855332</v>
      </c>
      <c r="E109" s="448">
        <f>D109-C109</f>
        <v>-1248141</v>
      </c>
      <c r="F109" s="449">
        <f>IF(C109=0,0,E109/C109)</f>
        <v>-0.17570855833477511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1215767</v>
      </c>
      <c r="D110" s="448">
        <f>LN_IC2+LN_IC15</f>
        <v>1201820</v>
      </c>
      <c r="E110" s="448">
        <f>D110-C110</f>
        <v>-13947</v>
      </c>
      <c r="F110" s="449">
        <f>IF(C110=0,0,E110/C110)</f>
        <v>-1.1471770495497904E-2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5887706</v>
      </c>
      <c r="D111" s="448">
        <f>LN_IC23-LN_IC24</f>
        <v>4653512</v>
      </c>
      <c r="E111" s="448">
        <f>D111-C111</f>
        <v>-1234194</v>
      </c>
      <c r="F111" s="449">
        <f>IF(C111=0,0,E111/C111)</f>
        <v>-0.20962221958773078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4587585.2312888317</v>
      </c>
      <c r="D113" s="448">
        <f>LN_IC10+LN_IC22</f>
        <v>2416046.2855512677</v>
      </c>
      <c r="E113" s="448">
        <f>D113-C113</f>
        <v>-2171538.945737564</v>
      </c>
      <c r="F113" s="449">
        <f>IF(C113=0,0,E113/C113)</f>
        <v>-0.47335119376681184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14536044</v>
      </c>
      <c r="D118" s="448">
        <v>15720382</v>
      </c>
      <c r="E118" s="448">
        <f t="shared" ref="E118:E130" si="12">D118-C118</f>
        <v>1184338</v>
      </c>
      <c r="F118" s="449">
        <f t="shared" ref="F118:F130" si="13">IF(C118=0,0,E118/C118)</f>
        <v>8.147595040301199E-2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5045202</v>
      </c>
      <c r="D119" s="448">
        <v>4645830</v>
      </c>
      <c r="E119" s="448">
        <f t="shared" si="12"/>
        <v>-399372</v>
      </c>
      <c r="F119" s="449">
        <f t="shared" si="13"/>
        <v>-7.9158773028314824E-2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0.34708219100052257</v>
      </c>
      <c r="D120" s="453">
        <f>IF(LN_ID1=0,0,LN_1D2/LN_ID1)</f>
        <v>0.29552907811018841</v>
      </c>
      <c r="E120" s="454">
        <f t="shared" si="12"/>
        <v>-5.1553112890334152E-2</v>
      </c>
      <c r="F120" s="449">
        <f t="shared" si="13"/>
        <v>-0.14853286693196119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1167</v>
      </c>
      <c r="D121" s="456">
        <v>1172</v>
      </c>
      <c r="E121" s="456">
        <f t="shared" si="12"/>
        <v>5</v>
      </c>
      <c r="F121" s="449">
        <f t="shared" si="13"/>
        <v>4.2844901456726651E-3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1.048</v>
      </c>
      <c r="D122" s="459">
        <v>1.0141</v>
      </c>
      <c r="E122" s="460">
        <f t="shared" si="12"/>
        <v>-3.3900000000000041E-2</v>
      </c>
      <c r="F122" s="449">
        <f t="shared" si="13"/>
        <v>-3.2347328244274845E-2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1223.0160000000001</v>
      </c>
      <c r="D123" s="463">
        <f>LN_ID4*LN_ID5</f>
        <v>1188.5252</v>
      </c>
      <c r="E123" s="463">
        <f t="shared" si="12"/>
        <v>-34.490800000000036</v>
      </c>
      <c r="F123" s="449">
        <f t="shared" si="13"/>
        <v>-2.8201429907703607E-2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4125.2134068564919</v>
      </c>
      <c r="D124" s="465">
        <f>IF(LN_ID6=0,0,LN_1D2/LN_ID6)</f>
        <v>3908.9032357075812</v>
      </c>
      <c r="E124" s="465">
        <f t="shared" si="12"/>
        <v>-216.31017114891074</v>
      </c>
      <c r="F124" s="449">
        <f t="shared" si="13"/>
        <v>-5.2436116587176541E-2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3465.2656146103081</v>
      </c>
      <c r="D125" s="465">
        <f>LN_IB7-LN_ID7</f>
        <v>3557.5600212609243</v>
      </c>
      <c r="E125" s="465">
        <f t="shared" si="12"/>
        <v>92.294406650616111</v>
      </c>
      <c r="F125" s="449">
        <f t="shared" si="13"/>
        <v>2.6634150716032548E-2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2675.1491541443665</v>
      </c>
      <c r="D126" s="465">
        <f>LN_IA7-LN_ID7</f>
        <v>3441.0971674383527</v>
      </c>
      <c r="E126" s="465">
        <f t="shared" si="12"/>
        <v>765.94801329398615</v>
      </c>
      <c r="F126" s="449">
        <f t="shared" si="13"/>
        <v>0.2863197411282179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3271750.2179050269</v>
      </c>
      <c r="D127" s="479">
        <f>LN_ID9*LN_ID6</f>
        <v>4089830.699149102</v>
      </c>
      <c r="E127" s="479">
        <f t="shared" si="12"/>
        <v>818080.48124407511</v>
      </c>
      <c r="F127" s="449">
        <f t="shared" si="13"/>
        <v>0.25004368510989505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4603</v>
      </c>
      <c r="D128" s="456">
        <v>4662</v>
      </c>
      <c r="E128" s="456">
        <f t="shared" si="12"/>
        <v>59</v>
      </c>
      <c r="F128" s="449">
        <f t="shared" si="13"/>
        <v>1.2817727568976754E-2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1096.0682163806214</v>
      </c>
      <c r="D129" s="465">
        <f>IF(LN_ID11=0,0,LN_1D2/LN_ID11)</f>
        <v>996.53153153153153</v>
      </c>
      <c r="E129" s="465">
        <f t="shared" si="12"/>
        <v>-99.536684849089852</v>
      </c>
      <c r="F129" s="449">
        <f t="shared" si="13"/>
        <v>-9.0812490829972822E-2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3.9443016281062553</v>
      </c>
      <c r="D130" s="466">
        <f>IF(LN_ID4=0,0,LN_ID11/LN_ID4)</f>
        <v>3.9778156996587031</v>
      </c>
      <c r="E130" s="466">
        <f t="shared" si="12"/>
        <v>3.3514071552447788E-2</v>
      </c>
      <c r="F130" s="449">
        <f t="shared" si="13"/>
        <v>8.4968328267883055E-3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33657530</v>
      </c>
      <c r="D133" s="448">
        <v>38108911</v>
      </c>
      <c r="E133" s="448">
        <f t="shared" ref="E133:E141" si="14">D133-C133</f>
        <v>4451381</v>
      </c>
      <c r="F133" s="449">
        <f t="shared" ref="F133:F141" si="15">IF(C133=0,0,E133/C133)</f>
        <v>0.13225512983275955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10846419</v>
      </c>
      <c r="D134" s="448">
        <v>9397695</v>
      </c>
      <c r="E134" s="448">
        <f t="shared" si="14"/>
        <v>-1448724</v>
      </c>
      <c r="F134" s="449">
        <f t="shared" si="15"/>
        <v>-0.13356703258467148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0.32225831782664976</v>
      </c>
      <c r="D135" s="453">
        <f>IF(LN_ID14=0,0,LN_ID15/LN_ID14)</f>
        <v>0.24660098526562463</v>
      </c>
      <c r="E135" s="454">
        <f t="shared" si="14"/>
        <v>-7.5657332561025137E-2</v>
      </c>
      <c r="F135" s="449">
        <f t="shared" si="15"/>
        <v>-0.23477231890015318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2.3154532278520894</v>
      </c>
      <c r="D136" s="453">
        <f>IF(LN_ID1=0,0,LN_ID14/LN_ID1)</f>
        <v>2.4241720716455872</v>
      </c>
      <c r="E136" s="454">
        <f t="shared" si="14"/>
        <v>0.10871884379349783</v>
      </c>
      <c r="F136" s="449">
        <f t="shared" si="15"/>
        <v>4.6953590979831601E-2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2702.1339169033881</v>
      </c>
      <c r="D137" s="463">
        <f>LN_ID17*LN_ID4</f>
        <v>2841.1296679686284</v>
      </c>
      <c r="E137" s="463">
        <f t="shared" si="14"/>
        <v>138.99575106524026</v>
      </c>
      <c r="F137" s="449">
        <f t="shared" si="15"/>
        <v>5.1439253323361432E-2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4014.0197834568694</v>
      </c>
      <c r="D138" s="465">
        <f>IF(LN_ID18=0,0,LN_ID15/LN_ID18)</f>
        <v>3307.7318173651793</v>
      </c>
      <c r="E138" s="465">
        <f t="shared" si="14"/>
        <v>-706.28796609169012</v>
      </c>
      <c r="F138" s="449">
        <f t="shared" si="15"/>
        <v>-0.17595527779971121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2281.5631010369984</v>
      </c>
      <c r="D139" s="465">
        <f>LN_IB18-LN_ID19</f>
        <v>3461.245072430751</v>
      </c>
      <c r="E139" s="465">
        <f t="shared" si="14"/>
        <v>1179.6819713937525</v>
      </c>
      <c r="F139" s="449">
        <f t="shared" si="15"/>
        <v>0.51704989919304556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2341.1408820760748</v>
      </c>
      <c r="D140" s="465">
        <f>LN_IA16-LN_ID19</f>
        <v>3465.5783330487911</v>
      </c>
      <c r="E140" s="465">
        <f t="shared" si="14"/>
        <v>1124.4374509727163</v>
      </c>
      <c r="F140" s="449">
        <f t="shared" si="15"/>
        <v>0.48029465444881242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6326076.1817068774</v>
      </c>
      <c r="D141" s="441">
        <f>LN_ID21*LN_ID18</f>
        <v>9846157.4186941851</v>
      </c>
      <c r="E141" s="441">
        <f t="shared" si="14"/>
        <v>3520081.2369873077</v>
      </c>
      <c r="F141" s="449">
        <f t="shared" si="15"/>
        <v>0.55643990617222272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48193574</v>
      </c>
      <c r="D144" s="448">
        <f>LN_ID1+LN_ID14</f>
        <v>53829293</v>
      </c>
      <c r="E144" s="448">
        <f>D144-C144</f>
        <v>5635719</v>
      </c>
      <c r="F144" s="449">
        <f>IF(C144=0,0,E144/C144)</f>
        <v>0.11693922098410879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15891621</v>
      </c>
      <c r="D145" s="448">
        <f>LN_1D2+LN_ID15</f>
        <v>14043525</v>
      </c>
      <c r="E145" s="448">
        <f>D145-C145</f>
        <v>-1848096</v>
      </c>
      <c r="F145" s="449">
        <f>IF(C145=0,0,E145/C145)</f>
        <v>-0.11629373743559578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32301953</v>
      </c>
      <c r="D146" s="448">
        <f>LN_ID23-LN_ID24</f>
        <v>39785768</v>
      </c>
      <c r="E146" s="448">
        <f>D146-C146</f>
        <v>7483815</v>
      </c>
      <c r="F146" s="449">
        <f>IF(C146=0,0,E146/C146)</f>
        <v>0.23168305024776675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9597826.3996119052</v>
      </c>
      <c r="D148" s="448">
        <f>LN_ID10+LN_ID22</f>
        <v>13935988.117843287</v>
      </c>
      <c r="E148" s="448">
        <f>D148-C148</f>
        <v>4338161.7182313818</v>
      </c>
      <c r="F148" s="503">
        <f>IF(C148=0,0,E148/C148)</f>
        <v>0.45199418468402369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20290</v>
      </c>
      <c r="D153" s="448">
        <v>154236</v>
      </c>
      <c r="E153" s="448">
        <f t="shared" ref="E153:E165" si="16">D153-C153</f>
        <v>133946</v>
      </c>
      <c r="F153" s="449">
        <f t="shared" ref="F153:F165" si="17">IF(C153=0,0,E153/C153)</f>
        <v>6.6015771315919176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18644</v>
      </c>
      <c r="D154" s="448">
        <v>49026</v>
      </c>
      <c r="E154" s="448">
        <f t="shared" si="16"/>
        <v>30382</v>
      </c>
      <c r="F154" s="449">
        <f t="shared" si="17"/>
        <v>1.6295859257670029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0.91887629374075896</v>
      </c>
      <c r="D155" s="453">
        <f>IF(LN_IE1=0,0,LN_IE2/LN_IE1)</f>
        <v>0.31786353380533727</v>
      </c>
      <c r="E155" s="454">
        <f t="shared" si="16"/>
        <v>-0.60101275993542169</v>
      </c>
      <c r="F155" s="449">
        <f t="shared" si="17"/>
        <v>-0.65407363758258452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3</v>
      </c>
      <c r="D156" s="506">
        <v>11</v>
      </c>
      <c r="E156" s="506">
        <f t="shared" si="16"/>
        <v>8</v>
      </c>
      <c r="F156" s="449">
        <f t="shared" si="17"/>
        <v>2.6666666666666665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1.1234999999999999</v>
      </c>
      <c r="D157" s="459">
        <v>0.88270000000000004</v>
      </c>
      <c r="E157" s="460">
        <f t="shared" si="16"/>
        <v>-0.2407999999999999</v>
      </c>
      <c r="F157" s="449">
        <f t="shared" si="17"/>
        <v>-0.21433021806853575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3.3704999999999998</v>
      </c>
      <c r="D158" s="463">
        <f>LN_IE4*LN_IE5</f>
        <v>9.7096999999999998</v>
      </c>
      <c r="E158" s="463">
        <f t="shared" si="16"/>
        <v>6.3391999999999999</v>
      </c>
      <c r="F158" s="449">
        <f t="shared" si="17"/>
        <v>1.8807892004153688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5531.5235128319246</v>
      </c>
      <c r="D159" s="465">
        <f>IF(LN_IE6=0,0,LN_IE2/LN_IE6)</f>
        <v>5049.1776264972141</v>
      </c>
      <c r="E159" s="465">
        <f t="shared" si="16"/>
        <v>-482.34588633471049</v>
      </c>
      <c r="F159" s="449">
        <f t="shared" si="17"/>
        <v>-8.719946416494001E-2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2058.9555086348755</v>
      </c>
      <c r="D160" s="465">
        <f>LN_IB7-LN_IE7</f>
        <v>2417.2856304712914</v>
      </c>
      <c r="E160" s="465">
        <f t="shared" si="16"/>
        <v>358.33012183641586</v>
      </c>
      <c r="F160" s="449">
        <f t="shared" si="17"/>
        <v>0.17403490281050082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1268.8390481689339</v>
      </c>
      <c r="D161" s="465">
        <f>LN_IA7-LN_IE7</f>
        <v>2300.8227766487198</v>
      </c>
      <c r="E161" s="465">
        <f t="shared" si="16"/>
        <v>1031.9837284797859</v>
      </c>
      <c r="F161" s="449">
        <f t="shared" si="17"/>
        <v>0.81332910582240137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4276.6220118533911</v>
      </c>
      <c r="D162" s="479">
        <f>LN_IE9*LN_IE6</f>
        <v>22340.298914426075</v>
      </c>
      <c r="E162" s="479">
        <f t="shared" si="16"/>
        <v>18063.676902572683</v>
      </c>
      <c r="F162" s="449">
        <f t="shared" si="17"/>
        <v>4.223818904852032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5</v>
      </c>
      <c r="D163" s="456">
        <v>40</v>
      </c>
      <c r="E163" s="506">
        <f t="shared" si="16"/>
        <v>35</v>
      </c>
      <c r="F163" s="449">
        <f t="shared" si="17"/>
        <v>7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3728.8</v>
      </c>
      <c r="D164" s="465">
        <f>IF(LN_IE11=0,0,LN_IE2/LN_IE11)</f>
        <v>1225.6500000000001</v>
      </c>
      <c r="E164" s="465">
        <f t="shared" si="16"/>
        <v>-2503.15</v>
      </c>
      <c r="F164" s="449">
        <f t="shared" si="17"/>
        <v>-0.67130175927912461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1.6666666666666667</v>
      </c>
      <c r="D165" s="466">
        <f>IF(LN_IE4=0,0,LN_IE11/LN_IE4)</f>
        <v>3.6363636363636362</v>
      </c>
      <c r="E165" s="466">
        <f t="shared" si="16"/>
        <v>1.9696969696969695</v>
      </c>
      <c r="F165" s="449">
        <f t="shared" si="17"/>
        <v>1.1818181818181817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153409</v>
      </c>
      <c r="D168" s="511">
        <v>121983</v>
      </c>
      <c r="E168" s="511">
        <f t="shared" ref="E168:E176" si="18">D168-C168</f>
        <v>-31426</v>
      </c>
      <c r="F168" s="449">
        <f t="shared" ref="F168:F176" si="19">IF(C168=0,0,E168/C168)</f>
        <v>-0.20485108435619814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31406</v>
      </c>
      <c r="D169" s="511">
        <v>47662</v>
      </c>
      <c r="E169" s="511">
        <f t="shared" si="18"/>
        <v>16256</v>
      </c>
      <c r="F169" s="449">
        <f t="shared" si="19"/>
        <v>0.51760810036298799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0.20472071390857122</v>
      </c>
      <c r="D170" s="453">
        <f>IF(LN_IE14=0,0,LN_IE15/LN_IE14)</f>
        <v>0.39072657665412391</v>
      </c>
      <c r="E170" s="454">
        <f t="shared" si="18"/>
        <v>0.1860058627455527</v>
      </c>
      <c r="F170" s="449">
        <f t="shared" si="19"/>
        <v>0.90858349990232734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7.5608181370133067</v>
      </c>
      <c r="D171" s="453">
        <f>IF(LN_IE1=0,0,LN_IE14/LN_IE1)</f>
        <v>0.79088539640550848</v>
      </c>
      <c r="E171" s="454">
        <f t="shared" si="18"/>
        <v>-6.769932740607798</v>
      </c>
      <c r="F171" s="449">
        <f t="shared" si="19"/>
        <v>-0.895396849643321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22.68245441103992</v>
      </c>
      <c r="D172" s="463">
        <f>LN_IE17*LN_IE4</f>
        <v>8.6997393604605939</v>
      </c>
      <c r="E172" s="463">
        <f t="shared" si="18"/>
        <v>-13.982715050579326</v>
      </c>
      <c r="F172" s="449">
        <f t="shared" si="19"/>
        <v>-0.61645511535884367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1384.5944284016366</v>
      </c>
      <c r="D173" s="465">
        <f>IF(LN_IE18=0,0,LN_IE15/LN_IE18)</f>
        <v>5478.5549342568593</v>
      </c>
      <c r="E173" s="465">
        <f t="shared" si="18"/>
        <v>4093.9605058552224</v>
      </c>
      <c r="F173" s="449">
        <f t="shared" si="19"/>
        <v>2.9567940054339621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4910.988456092231</v>
      </c>
      <c r="D174" s="465">
        <f>LN_IB18-LN_IE19</f>
        <v>1290.421955539071</v>
      </c>
      <c r="E174" s="465">
        <f t="shared" si="18"/>
        <v>-3620.56650055316</v>
      </c>
      <c r="F174" s="449">
        <f t="shared" si="19"/>
        <v>-0.73723783570733847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4970.5662371313074</v>
      </c>
      <c r="D175" s="465">
        <f>LN_IA16-LN_IE19</f>
        <v>1294.7552161571111</v>
      </c>
      <c r="E175" s="465">
        <f t="shared" si="18"/>
        <v>-3675.8110209741963</v>
      </c>
      <c r="F175" s="449">
        <f t="shared" si="19"/>
        <v>-0.73951554925775198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112744.64207078512</v>
      </c>
      <c r="D176" s="441">
        <f>LN_IE21*LN_IE18</f>
        <v>11264.032916163684</v>
      </c>
      <c r="E176" s="441">
        <f t="shared" si="18"/>
        <v>-101480.60915462143</v>
      </c>
      <c r="F176" s="449">
        <f t="shared" si="19"/>
        <v>-0.90009252138924944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173699</v>
      </c>
      <c r="D179" s="448">
        <f>LN_IE1+LN_IE14</f>
        <v>276219</v>
      </c>
      <c r="E179" s="448">
        <f>D179-C179</f>
        <v>102520</v>
      </c>
      <c r="F179" s="449">
        <f>IF(C179=0,0,E179/C179)</f>
        <v>0.59021640884518622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50050</v>
      </c>
      <c r="D180" s="448">
        <f>LN_IE15+LN_IE2</f>
        <v>96688</v>
      </c>
      <c r="E180" s="448">
        <f>D180-C180</f>
        <v>46638</v>
      </c>
      <c r="F180" s="449">
        <f>IF(C180=0,0,E180/C180)</f>
        <v>0.93182817182817179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123649</v>
      </c>
      <c r="D181" s="448">
        <f>LN_IE23-LN_IE24</f>
        <v>179531</v>
      </c>
      <c r="E181" s="448">
        <f>D181-C181</f>
        <v>55882</v>
      </c>
      <c r="F181" s="449">
        <f>IF(C181=0,0,E181/C181)</f>
        <v>0.45194057372077412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117021.26408263852</v>
      </c>
      <c r="D183" s="448">
        <f>LN_IE10+LN_IE22</f>
        <v>33604.331830589756</v>
      </c>
      <c r="E183" s="441">
        <f>D183-C183</f>
        <v>-83416.932252048762</v>
      </c>
      <c r="F183" s="449">
        <f>IF(C183=0,0,E183/C183)</f>
        <v>-0.7128356791047914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14556334</v>
      </c>
      <c r="D188" s="448">
        <f>LN_ID1+LN_IE1</f>
        <v>15874618</v>
      </c>
      <c r="E188" s="448">
        <f t="shared" ref="E188:E200" si="20">D188-C188</f>
        <v>1318284</v>
      </c>
      <c r="F188" s="449">
        <f t="shared" ref="F188:F200" si="21">IF(C188=0,0,E188/C188)</f>
        <v>9.0564286310000852E-2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5063846</v>
      </c>
      <c r="D189" s="448">
        <f>LN_1D2+LN_IE2</f>
        <v>4694856</v>
      </c>
      <c r="E189" s="448">
        <f t="shared" si="20"/>
        <v>-368990</v>
      </c>
      <c r="F189" s="449">
        <f t="shared" si="21"/>
        <v>-7.2867539810649848E-2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0.34787921189497301</v>
      </c>
      <c r="D190" s="453">
        <f>IF(LN_IF1=0,0,LN_IF2/LN_IF1)</f>
        <v>0.29574607716544737</v>
      </c>
      <c r="E190" s="454">
        <f t="shared" si="20"/>
        <v>-5.2133134729525632E-2</v>
      </c>
      <c r="F190" s="449">
        <f t="shared" si="21"/>
        <v>-0.14985987361976938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1170</v>
      </c>
      <c r="D191" s="456">
        <f>LN_ID4+LN_IE4</f>
        <v>1183</v>
      </c>
      <c r="E191" s="456">
        <f t="shared" si="20"/>
        <v>13</v>
      </c>
      <c r="F191" s="449">
        <f t="shared" si="21"/>
        <v>1.1111111111111112E-2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1.0481935897435899</v>
      </c>
      <c r="D192" s="459">
        <f>IF((LN_ID4+LN_IE4)=0,0,(LN_ID6+LN_IE6)/(LN_ID4+LN_IE4))</f>
        <v>1.0128781910397295</v>
      </c>
      <c r="E192" s="460">
        <f t="shared" si="20"/>
        <v>-3.5315398703860357E-2</v>
      </c>
      <c r="F192" s="449">
        <f t="shared" si="21"/>
        <v>-3.3691675897864669E-2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1226.3865000000001</v>
      </c>
      <c r="D193" s="463">
        <f>LN_IF4*LN_IF5</f>
        <v>1198.2349000000002</v>
      </c>
      <c r="E193" s="463">
        <f t="shared" si="20"/>
        <v>-28.151599999999917</v>
      </c>
      <c r="F193" s="449">
        <f t="shared" si="21"/>
        <v>-2.2954916741174104E-2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4129.0783941277887</v>
      </c>
      <c r="D194" s="465">
        <f>IF(LN_IF6=0,0,LN_IF2/LN_IF6)</f>
        <v>3918.1432622267967</v>
      </c>
      <c r="E194" s="465">
        <f t="shared" si="20"/>
        <v>-210.93513190099202</v>
      </c>
      <c r="F194" s="449">
        <f t="shared" si="21"/>
        <v>-5.1085281451903553E-2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3461.4006273390114</v>
      </c>
      <c r="D195" s="465">
        <f>LN_IB7-LN_IF7</f>
        <v>3548.3199947417088</v>
      </c>
      <c r="E195" s="465">
        <f t="shared" si="20"/>
        <v>86.919367402697389</v>
      </c>
      <c r="F195" s="449">
        <f t="shared" si="21"/>
        <v>2.5111039362559307E-2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2671.2841668730698</v>
      </c>
      <c r="D196" s="465">
        <f>LN_IA7-LN_IF7</f>
        <v>3431.8571409191372</v>
      </c>
      <c r="E196" s="465">
        <f t="shared" si="20"/>
        <v>760.57297404606743</v>
      </c>
      <c r="F196" s="449">
        <f t="shared" si="21"/>
        <v>0.28472185156413843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3276026.8399168802</v>
      </c>
      <c r="D197" s="479">
        <f>LN_IF9*LN_IF6</f>
        <v>4112170.9980635289</v>
      </c>
      <c r="E197" s="479">
        <f t="shared" si="20"/>
        <v>836144.15814664867</v>
      </c>
      <c r="F197" s="449">
        <f t="shared" si="21"/>
        <v>0.25523116842591664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4608</v>
      </c>
      <c r="D198" s="456">
        <f>LN_ID11+LN_IE11</f>
        <v>4702</v>
      </c>
      <c r="E198" s="456">
        <f t="shared" si="20"/>
        <v>94</v>
      </c>
      <c r="F198" s="449">
        <f t="shared" si="21"/>
        <v>2.0399305555555556E-2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1098.9249131944443</v>
      </c>
      <c r="D199" s="519">
        <f>IF(LN_IF11=0,0,LN_IF2/LN_IF11)</f>
        <v>998.48064653339009</v>
      </c>
      <c r="E199" s="519">
        <f t="shared" si="20"/>
        <v>-100.44426666105426</v>
      </c>
      <c r="F199" s="449">
        <f t="shared" si="21"/>
        <v>-9.1402301881640571E-2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3.9384615384615387</v>
      </c>
      <c r="D200" s="466">
        <f>IF(LN_IF4=0,0,LN_IF11/LN_IF4)</f>
        <v>3.9746407438715132</v>
      </c>
      <c r="E200" s="466">
        <f t="shared" si="20"/>
        <v>3.6179205409974546E-2</v>
      </c>
      <c r="F200" s="449">
        <f t="shared" si="21"/>
        <v>9.1861263736263497E-3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33810939</v>
      </c>
      <c r="D203" s="448">
        <f>LN_ID14+LN_IE14</f>
        <v>38230894</v>
      </c>
      <c r="E203" s="448">
        <f t="shared" ref="E203:E211" si="22">D203-C203</f>
        <v>4419955</v>
      </c>
      <c r="F203" s="449">
        <f t="shared" ref="F203:F211" si="23">IF(C203=0,0,E203/C203)</f>
        <v>0.13072559150161431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10877825</v>
      </c>
      <c r="D204" s="448">
        <f>LN_ID15+LN_IE15</f>
        <v>9445357</v>
      </c>
      <c r="E204" s="448">
        <f t="shared" si="22"/>
        <v>-1432468</v>
      </c>
      <c r="F204" s="449">
        <f t="shared" si="23"/>
        <v>-0.13168698705853421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0.32172501923120206</v>
      </c>
      <c r="D205" s="453">
        <f>IF(LN_IF14=0,0,LN_IF15/LN_IF14)</f>
        <v>0.24706084560826644</v>
      </c>
      <c r="E205" s="454">
        <f t="shared" si="22"/>
        <v>-7.466417362293562E-2</v>
      </c>
      <c r="F205" s="449">
        <f t="shared" si="23"/>
        <v>-0.23207450201216562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2.3227647153465978</v>
      </c>
      <c r="D206" s="453">
        <f>IF(LN_IF1=0,0,LN_IF14/LN_IF1)</f>
        <v>2.4083032423205397</v>
      </c>
      <c r="E206" s="454">
        <f t="shared" si="22"/>
        <v>8.5538526973941931E-2</v>
      </c>
      <c r="F206" s="449">
        <f t="shared" si="23"/>
        <v>3.682616943885255E-2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2724.8163713144281</v>
      </c>
      <c r="D207" s="463">
        <f>LN_ID18+LN_IE18</f>
        <v>2849.829407329089</v>
      </c>
      <c r="E207" s="463">
        <f t="shared" si="22"/>
        <v>125.01303601466088</v>
      </c>
      <c r="F207" s="449">
        <f t="shared" si="23"/>
        <v>4.5879435154140558E-2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3992.1314017768582</v>
      </c>
      <c r="D208" s="465">
        <f>IF(LN_IF18=0,0,LN_IF15/LN_IF18)</f>
        <v>3314.3587387051202</v>
      </c>
      <c r="E208" s="465">
        <f t="shared" si="22"/>
        <v>-677.77266307173795</v>
      </c>
      <c r="F208" s="449">
        <f t="shared" si="23"/>
        <v>-0.16977714279897402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2303.4514827170096</v>
      </c>
      <c r="D209" s="465">
        <f>LN_IB18-LN_IF19</f>
        <v>3454.61815109081</v>
      </c>
      <c r="E209" s="465">
        <f t="shared" si="22"/>
        <v>1151.1666683738003</v>
      </c>
      <c r="F209" s="449">
        <f t="shared" si="23"/>
        <v>0.49975728901220656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2363.029263756086</v>
      </c>
      <c r="D210" s="465">
        <f>LN_IA16-LN_IF19</f>
        <v>3458.9514117088502</v>
      </c>
      <c r="E210" s="465">
        <f t="shared" si="22"/>
        <v>1095.9221479527641</v>
      </c>
      <c r="F210" s="449">
        <f t="shared" si="23"/>
        <v>0.46377849176982777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6438820.8237776626</v>
      </c>
      <c r="D211" s="441">
        <f>LN_IF21*LN_IF18</f>
        <v>9857421.4516103491</v>
      </c>
      <c r="E211" s="441">
        <f t="shared" si="22"/>
        <v>3418600.6278326865</v>
      </c>
      <c r="F211" s="449">
        <f t="shared" si="23"/>
        <v>0.5309358221630075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48367273</v>
      </c>
      <c r="D214" s="448">
        <f>LN_IF1+LN_IF14</f>
        <v>54105512</v>
      </c>
      <c r="E214" s="448">
        <f>D214-C214</f>
        <v>5738239</v>
      </c>
      <c r="F214" s="449">
        <f>IF(C214=0,0,E214/C214)</f>
        <v>0.11863887798677424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15941671</v>
      </c>
      <c r="D215" s="448">
        <f>LN_IF2+LN_IF15</f>
        <v>14140213</v>
      </c>
      <c r="E215" s="448">
        <f>D215-C215</f>
        <v>-1801458</v>
      </c>
      <c r="F215" s="449">
        <f>IF(C215=0,0,E215/C215)</f>
        <v>-0.11300308480836169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32425602</v>
      </c>
      <c r="D216" s="448">
        <f>LN_IF23-LN_IF24</f>
        <v>39965299</v>
      </c>
      <c r="E216" s="448">
        <f>D216-C216</f>
        <v>7539697</v>
      </c>
      <c r="F216" s="449">
        <f>IF(C216=0,0,E216/C216)</f>
        <v>0.23252296133160458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353945</v>
      </c>
      <c r="D221" s="448">
        <v>434960</v>
      </c>
      <c r="E221" s="448">
        <f t="shared" ref="E221:E230" si="24">D221-C221</f>
        <v>81015</v>
      </c>
      <c r="F221" s="449">
        <f t="shared" ref="F221:F230" si="25">IF(C221=0,0,E221/C221)</f>
        <v>0.22889149444122675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220612</v>
      </c>
      <c r="D222" s="448">
        <v>247000</v>
      </c>
      <c r="E222" s="448">
        <f t="shared" si="24"/>
        <v>26388</v>
      </c>
      <c r="F222" s="449">
        <f t="shared" si="25"/>
        <v>0.1196127137236415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0.62329457966633239</v>
      </c>
      <c r="D223" s="453">
        <f>IF(LN_IG1=0,0,LN_IG2/LN_IG1)</f>
        <v>0.56786830972963032</v>
      </c>
      <c r="E223" s="454">
        <f t="shared" si="24"/>
        <v>-5.5426269936702077E-2</v>
      </c>
      <c r="F223" s="449">
        <f t="shared" si="25"/>
        <v>-8.8924678225781081E-2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32</v>
      </c>
      <c r="D224" s="456">
        <v>39</v>
      </c>
      <c r="E224" s="456">
        <f t="shared" si="24"/>
        <v>7</v>
      </c>
      <c r="F224" s="449">
        <f t="shared" si="25"/>
        <v>0.21875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1.0033000000000001</v>
      </c>
      <c r="D225" s="459">
        <v>0.95299999999999996</v>
      </c>
      <c r="E225" s="460">
        <f t="shared" si="24"/>
        <v>-5.0300000000000122E-2</v>
      </c>
      <c r="F225" s="449">
        <f t="shared" si="25"/>
        <v>-5.0134555965314583E-2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32.105600000000003</v>
      </c>
      <c r="D226" s="463">
        <f>LN_IG3*LN_IG4</f>
        <v>37.167000000000002</v>
      </c>
      <c r="E226" s="463">
        <f t="shared" si="24"/>
        <v>5.061399999999999</v>
      </c>
      <c r="F226" s="449">
        <f t="shared" si="25"/>
        <v>0.15764850991727294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6871.4492175819787</v>
      </c>
      <c r="D227" s="465">
        <f>IF(LN_IG5=0,0,LN_IG2/LN_IG5)</f>
        <v>6645.6803077999293</v>
      </c>
      <c r="E227" s="465">
        <f t="shared" si="24"/>
        <v>-225.76890978204938</v>
      </c>
      <c r="F227" s="449">
        <f t="shared" si="25"/>
        <v>-3.285608357613623E-2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132</v>
      </c>
      <c r="D228" s="456">
        <v>133</v>
      </c>
      <c r="E228" s="456">
        <f t="shared" si="24"/>
        <v>1</v>
      </c>
      <c r="F228" s="449">
        <f t="shared" si="25"/>
        <v>7.575757575757576E-3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1671.3030303030303</v>
      </c>
      <c r="D229" s="465">
        <f>IF(LN_IG6=0,0,LN_IG2/LN_IG6)</f>
        <v>1857.1428571428571</v>
      </c>
      <c r="E229" s="465">
        <f t="shared" si="24"/>
        <v>185.83982683982686</v>
      </c>
      <c r="F229" s="449">
        <f t="shared" si="25"/>
        <v>0.11119457301895248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4.125</v>
      </c>
      <c r="D230" s="466">
        <f>IF(LN_IG3=0,0,LN_IG6/LN_IG3)</f>
        <v>3.4102564102564101</v>
      </c>
      <c r="E230" s="466">
        <f t="shared" si="24"/>
        <v>-0.71474358974358987</v>
      </c>
      <c r="F230" s="449">
        <f t="shared" si="25"/>
        <v>-0.17327117327117331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620095</v>
      </c>
      <c r="D233" s="448">
        <v>708431</v>
      </c>
      <c r="E233" s="448">
        <f>D233-C233</f>
        <v>88336</v>
      </c>
      <c r="F233" s="449">
        <f>IF(C233=0,0,E233/C233)</f>
        <v>0.14245559148195033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228839</v>
      </c>
      <c r="D234" s="448">
        <v>242948</v>
      </c>
      <c r="E234" s="448">
        <f>D234-C234</f>
        <v>14109</v>
      </c>
      <c r="F234" s="449">
        <f>IF(C234=0,0,E234/C234)</f>
        <v>6.1654700466266678E-2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974040</v>
      </c>
      <c r="D237" s="448">
        <f>LN_IG1+LN_IG9</f>
        <v>1143391</v>
      </c>
      <c r="E237" s="448">
        <f>D237-C237</f>
        <v>169351</v>
      </c>
      <c r="F237" s="449">
        <f>IF(C237=0,0,E237/C237)</f>
        <v>0.17386452301753522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449451</v>
      </c>
      <c r="D238" s="448">
        <f>LN_IG2+LN_IG10</f>
        <v>489948</v>
      </c>
      <c r="E238" s="448">
        <f>D238-C238</f>
        <v>40497</v>
      </c>
      <c r="F238" s="449">
        <f>IF(C238=0,0,E238/C238)</f>
        <v>9.0103259309691153E-2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524589</v>
      </c>
      <c r="D239" s="448">
        <f>LN_IG13-LN_IG14</f>
        <v>653443</v>
      </c>
      <c r="E239" s="448">
        <f>D239-C239</f>
        <v>128854</v>
      </c>
      <c r="F239" s="449">
        <f>IF(C239=0,0,E239/C239)</f>
        <v>0.24562848248819552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8250545</v>
      </c>
      <c r="D243" s="448">
        <v>7533927</v>
      </c>
      <c r="E243" s="441">
        <f>D243-C243</f>
        <v>-716618</v>
      </c>
      <c r="F243" s="503">
        <f>IF(C243=0,0,E243/C243)</f>
        <v>-8.6857050049420972E-2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124899985</v>
      </c>
      <c r="D244" s="448">
        <v>121998831</v>
      </c>
      <c r="E244" s="441">
        <f>D244-C244</f>
        <v>-2901154</v>
      </c>
      <c r="F244" s="503">
        <f>IF(C244=0,0,E244/C244)</f>
        <v>-2.3227817040970822E-2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3214518</v>
      </c>
      <c r="D248" s="441">
        <v>2935378</v>
      </c>
      <c r="E248" s="441">
        <f>D248-C248</f>
        <v>-279140</v>
      </c>
      <c r="F248" s="449">
        <f>IF(C248=0,0,E248/C248)</f>
        <v>-8.6837280114779258E-2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3378061</v>
      </c>
      <c r="D249" s="441">
        <v>2699503</v>
      </c>
      <c r="E249" s="441">
        <f>D249-C249</f>
        <v>-678558</v>
      </c>
      <c r="F249" s="449">
        <f>IF(C249=0,0,E249/C249)</f>
        <v>-0.20087203872280576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6592579</v>
      </c>
      <c r="D250" s="441">
        <f>LN_IH4+LN_IH5</f>
        <v>5634881</v>
      </c>
      <c r="E250" s="441">
        <f>D250-C250</f>
        <v>-957698</v>
      </c>
      <c r="F250" s="449">
        <f>IF(C250=0,0,E250/C250)</f>
        <v>-0.14526909726830728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2979617.8275103737</v>
      </c>
      <c r="D251" s="441">
        <f>LN_IH6*LN_III10</f>
        <v>2435857.2224224932</v>
      </c>
      <c r="E251" s="441">
        <f>D251-C251</f>
        <v>-543760.60508788051</v>
      </c>
      <c r="F251" s="449">
        <f>IF(C251=0,0,E251/C251)</f>
        <v>-0.18249340572049835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48367273</v>
      </c>
      <c r="D254" s="441">
        <f>LN_IF23</f>
        <v>54105512</v>
      </c>
      <c r="E254" s="441">
        <f>D254-C254</f>
        <v>5738239</v>
      </c>
      <c r="F254" s="449">
        <f>IF(C254=0,0,E254/C254)</f>
        <v>0.11863887798677424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15941671</v>
      </c>
      <c r="D255" s="441">
        <f>LN_IF24</f>
        <v>14140213</v>
      </c>
      <c r="E255" s="441">
        <f>D255-C255</f>
        <v>-1801458</v>
      </c>
      <c r="F255" s="449">
        <f>IF(C255=0,0,E255/C255)</f>
        <v>-0.11300308480836169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21860335.522541504</v>
      </c>
      <c r="D256" s="441">
        <f>LN_IH8*LN_III10</f>
        <v>23388835.039829034</v>
      </c>
      <c r="E256" s="441">
        <f>D256-C256</f>
        <v>1528499.51728753</v>
      </c>
      <c r="F256" s="449">
        <f>IF(C256=0,0,E256/C256)</f>
        <v>6.9921137107497838E-2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5918664.5225415044</v>
      </c>
      <c r="D257" s="441">
        <f>LN_IH10-LN_IH9</f>
        <v>9248622.0398290344</v>
      </c>
      <c r="E257" s="441">
        <f>D257-C257</f>
        <v>3329957.51728753</v>
      </c>
      <c r="F257" s="449">
        <f>IF(C257=0,0,E257/C257)</f>
        <v>0.56261974379612745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101429210</v>
      </c>
      <c r="D261" s="448">
        <f>LN_IA1+LN_IB1+LN_IF1+LN_IG1</f>
        <v>100430007</v>
      </c>
      <c r="E261" s="448">
        <f t="shared" ref="E261:E274" si="26">D261-C261</f>
        <v>-999203</v>
      </c>
      <c r="F261" s="503">
        <f t="shared" ref="F261:F274" si="27">IF(C261=0,0,E261/C261)</f>
        <v>-9.8512351619420083E-3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54898354</v>
      </c>
      <c r="D262" s="448">
        <f>+LN_IA2+LN_IB2+LN_IF2+LN_IG2</f>
        <v>52241965</v>
      </c>
      <c r="E262" s="448">
        <f t="shared" si="26"/>
        <v>-2656389</v>
      </c>
      <c r="F262" s="503">
        <f t="shared" si="27"/>
        <v>-4.8387407024990219E-2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0.54124796988954171</v>
      </c>
      <c r="D263" s="453">
        <f>IF(LN_IIA1=0,0,LN_IIA2/LN_IIA1)</f>
        <v>0.52018282742925626</v>
      </c>
      <c r="E263" s="454">
        <f t="shared" si="26"/>
        <v>-2.1065142460285458E-2</v>
      </c>
      <c r="F263" s="458">
        <f t="shared" si="27"/>
        <v>-3.8919577776124405E-2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6533</v>
      </c>
      <c r="D264" s="456">
        <f>LN_IA4+LN_IB4+LN_IF4+LN_IG3</f>
        <v>6106</v>
      </c>
      <c r="E264" s="456">
        <f t="shared" si="26"/>
        <v>-427</v>
      </c>
      <c r="F264" s="503">
        <f t="shared" si="27"/>
        <v>-6.5360477575386502E-2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1.2741052655747744</v>
      </c>
      <c r="D265" s="525">
        <f>IF(LN_IIA4=0,0,LN_IIA6/LN_IIA4)</f>
        <v>1.2515540288241074</v>
      </c>
      <c r="E265" s="525">
        <f t="shared" si="26"/>
        <v>-2.2551236750667059E-2</v>
      </c>
      <c r="F265" s="503">
        <f t="shared" si="27"/>
        <v>-1.7699665294526306E-2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8323.7297000000017</v>
      </c>
      <c r="D266" s="463">
        <f>LN_IA6+LN_IB6+LN_IF6+LN_IG5</f>
        <v>7641.9889000000003</v>
      </c>
      <c r="E266" s="463">
        <f t="shared" si="26"/>
        <v>-681.7408000000014</v>
      </c>
      <c r="F266" s="503">
        <f t="shared" si="27"/>
        <v>-8.1903284293338027E-2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158509361</v>
      </c>
      <c r="D267" s="448">
        <f>LN_IA11+LN_IB13+LN_IF14+LN_IG9</f>
        <v>167608154</v>
      </c>
      <c r="E267" s="448">
        <f t="shared" si="26"/>
        <v>9098793</v>
      </c>
      <c r="F267" s="503">
        <f t="shared" si="27"/>
        <v>5.7402243896497694E-2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1.5627585091119216</v>
      </c>
      <c r="D268" s="453">
        <f>IF(LN_IIA1=0,0,LN_IIA7/LN_IIA1)</f>
        <v>1.6689051311128555</v>
      </c>
      <c r="E268" s="454">
        <f t="shared" si="26"/>
        <v>0.10614662200093394</v>
      </c>
      <c r="F268" s="458">
        <f t="shared" si="27"/>
        <v>6.7922600569460048E-2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62584895</v>
      </c>
      <c r="D269" s="448">
        <f>LN_IA12+LN_IB14+LN_IF15+LN_IG10</f>
        <v>63626089</v>
      </c>
      <c r="E269" s="448">
        <f t="shared" si="26"/>
        <v>1041194</v>
      </c>
      <c r="F269" s="503">
        <f t="shared" si="27"/>
        <v>1.663650630076155E-2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0.39483406282863004</v>
      </c>
      <c r="D270" s="453">
        <f>IF(LN_IIA7=0,0,LN_IIA9/LN_IIA7)</f>
        <v>0.37961213390608667</v>
      </c>
      <c r="E270" s="454">
        <f t="shared" si="26"/>
        <v>-1.5221928922543371E-2</v>
      </c>
      <c r="F270" s="458">
        <f t="shared" si="27"/>
        <v>-3.8552724690195106E-2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259938571</v>
      </c>
      <c r="D271" s="441">
        <f>LN_IIA1+LN_IIA7</f>
        <v>268038161</v>
      </c>
      <c r="E271" s="441">
        <f t="shared" si="26"/>
        <v>8099590</v>
      </c>
      <c r="F271" s="503">
        <f t="shared" si="27"/>
        <v>3.1159631173012795E-2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117483249</v>
      </c>
      <c r="D272" s="441">
        <f>LN_IIA2+LN_IIA9</f>
        <v>115868054</v>
      </c>
      <c r="E272" s="441">
        <f t="shared" si="26"/>
        <v>-1615195</v>
      </c>
      <c r="F272" s="503">
        <f t="shared" si="27"/>
        <v>-1.3748300406639248E-2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0.45196543378704657</v>
      </c>
      <c r="D273" s="453">
        <f>IF(LN_IIA11=0,0,LN_IIA12/LN_IIA11)</f>
        <v>0.43228193167613921</v>
      </c>
      <c r="E273" s="454">
        <f t="shared" si="26"/>
        <v>-1.9683502110907358E-2</v>
      </c>
      <c r="F273" s="458">
        <f t="shared" si="27"/>
        <v>-4.3550901550098789E-2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26574</v>
      </c>
      <c r="D274" s="508">
        <f>LN_IA8+LN_IB10+LN_IF11+LN_IG6</f>
        <v>25604</v>
      </c>
      <c r="E274" s="528">
        <f t="shared" si="26"/>
        <v>-970</v>
      </c>
      <c r="F274" s="458">
        <f t="shared" si="27"/>
        <v>-3.6501843907578838E-2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76929247</v>
      </c>
      <c r="D277" s="448">
        <f>LN_IA1+LN_IF1+LN_IG1</f>
        <v>77872767</v>
      </c>
      <c r="E277" s="448">
        <f t="shared" ref="E277:E291" si="28">D277-C277</f>
        <v>943520</v>
      </c>
      <c r="F277" s="503">
        <f t="shared" ref="F277:F291" si="29">IF(C277=0,0,E277/C277)</f>
        <v>1.2264776230033813E-2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39837617</v>
      </c>
      <c r="D278" s="448">
        <f>LN_IA2+LN_IF2+LN_IG2</f>
        <v>38670339</v>
      </c>
      <c r="E278" s="448">
        <f t="shared" si="28"/>
        <v>-1167278</v>
      </c>
      <c r="F278" s="503">
        <f t="shared" si="29"/>
        <v>-2.9300899197861156E-2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0.51784748393546609</v>
      </c>
      <c r="D279" s="453">
        <f>IF(D277=0,0,LN_IIB2/D277)</f>
        <v>0.49658360027196669</v>
      </c>
      <c r="E279" s="454">
        <f t="shared" si="28"/>
        <v>-2.1263883663499406E-2</v>
      </c>
      <c r="F279" s="458">
        <f t="shared" si="29"/>
        <v>-4.1062058469225469E-2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4712</v>
      </c>
      <c r="D280" s="456">
        <f>LN_IA4+LN_IF4+LN_IG3</f>
        <v>4521</v>
      </c>
      <c r="E280" s="456">
        <f t="shared" si="28"/>
        <v>-191</v>
      </c>
      <c r="F280" s="503">
        <f t="shared" si="29"/>
        <v>-4.0534804753820035E-2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1.3454091893039049</v>
      </c>
      <c r="D281" s="525">
        <f>IF(LN_IIB4=0,0,LN_IIB6/LN_IIB4)</f>
        <v>1.2882793408537936</v>
      </c>
      <c r="E281" s="525">
        <f t="shared" si="28"/>
        <v>-5.7129848450111265E-2</v>
      </c>
      <c r="F281" s="503">
        <f t="shared" si="29"/>
        <v>-4.2462805296929342E-2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6339.5680999999995</v>
      </c>
      <c r="D282" s="463">
        <f>LN_IA6+LN_IF6+LN_IG5</f>
        <v>5824.3109000000004</v>
      </c>
      <c r="E282" s="463">
        <f t="shared" si="28"/>
        <v>-515.2571999999991</v>
      </c>
      <c r="F282" s="503">
        <f t="shared" si="29"/>
        <v>-8.1276388528738919E-2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95228727</v>
      </c>
      <c r="D283" s="448">
        <f>LN_IA11+LN_IF14+LN_IG9</f>
        <v>103383723</v>
      </c>
      <c r="E283" s="448">
        <f t="shared" si="28"/>
        <v>8154996</v>
      </c>
      <c r="F283" s="503">
        <f t="shared" si="29"/>
        <v>8.5635881701957434E-2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1.2378741598757621</v>
      </c>
      <c r="D284" s="453">
        <f>IF(D277=0,0,LN_IIB7/D277)</f>
        <v>1.327597913658314</v>
      </c>
      <c r="E284" s="454">
        <f t="shared" si="28"/>
        <v>8.9723753782551929E-2</v>
      </c>
      <c r="F284" s="458">
        <f t="shared" si="29"/>
        <v>7.2482128386585729E-2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32974017</v>
      </c>
      <c r="D285" s="448">
        <f>LN_IA12+LN_IF15+LN_IG10</f>
        <v>33079227</v>
      </c>
      <c r="E285" s="448">
        <f t="shared" si="28"/>
        <v>105210</v>
      </c>
      <c r="F285" s="503">
        <f t="shared" si="29"/>
        <v>3.1906940546552152E-3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0.34626123900616668</v>
      </c>
      <c r="D286" s="453">
        <f>IF(LN_IIB7=0,0,LN_IIB9/LN_IIB7)</f>
        <v>0.31996552300597647</v>
      </c>
      <c r="E286" s="454">
        <f t="shared" si="28"/>
        <v>-2.6295716000190206E-2</v>
      </c>
      <c r="F286" s="458">
        <f t="shared" si="29"/>
        <v>-7.5941841124532852E-2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172157974</v>
      </c>
      <c r="D287" s="441">
        <f>D277+LN_IIB7</f>
        <v>181256490</v>
      </c>
      <c r="E287" s="441">
        <f t="shared" si="28"/>
        <v>9098516</v>
      </c>
      <c r="F287" s="503">
        <f t="shared" si="29"/>
        <v>5.2849808746006734E-2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72811634</v>
      </c>
      <c r="D288" s="441">
        <f>LN_IIB2+LN_IIB9</f>
        <v>71749566</v>
      </c>
      <c r="E288" s="441">
        <f t="shared" si="28"/>
        <v>-1062068</v>
      </c>
      <c r="F288" s="503">
        <f t="shared" si="29"/>
        <v>-1.4586515116526571E-2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0.42293500735551176</v>
      </c>
      <c r="D289" s="453">
        <f>IF(LN_IIB11=0,0,LN_IIB12/LN_IIB11)</f>
        <v>0.39584550048387235</v>
      </c>
      <c r="E289" s="454">
        <f t="shared" si="28"/>
        <v>-2.7089506871639413E-2</v>
      </c>
      <c r="F289" s="458">
        <f t="shared" si="29"/>
        <v>-6.4051228677006744E-2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20622</v>
      </c>
      <c r="D290" s="508">
        <f>LN_IA8+LN_IF11+LN_IG6</f>
        <v>20105</v>
      </c>
      <c r="E290" s="528">
        <f t="shared" si="28"/>
        <v>-517</v>
      </c>
      <c r="F290" s="458">
        <f t="shared" si="29"/>
        <v>-2.5070313257685967E-2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99346340</v>
      </c>
      <c r="D291" s="516">
        <f>LN_IIB11-LN_IIB12</f>
        <v>109506924</v>
      </c>
      <c r="E291" s="441">
        <f t="shared" si="28"/>
        <v>10160584</v>
      </c>
      <c r="F291" s="503">
        <f t="shared" si="29"/>
        <v>0.10227436662488019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4.5247863247863247</v>
      </c>
      <c r="D294" s="466">
        <f>IF(LN_IA4=0,0,LN_IA8/LN_IA4)</f>
        <v>4.6286753561685359</v>
      </c>
      <c r="E294" s="466">
        <f t="shared" ref="E294:E300" si="30">D294-C294</f>
        <v>0.10388903138221117</v>
      </c>
      <c r="F294" s="503">
        <f t="shared" ref="F294:F300" si="31">IF(C294=0,0,E294/C294)</f>
        <v>2.2959986157383278E-2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3.2685337726523889</v>
      </c>
      <c r="D295" s="466">
        <f>IF(LN_IB4=0,0,(LN_IB10)/(LN_IB4))</f>
        <v>3.4694006309148264</v>
      </c>
      <c r="E295" s="466">
        <f t="shared" si="30"/>
        <v>0.20086685826243755</v>
      </c>
      <c r="F295" s="503">
        <f t="shared" si="31"/>
        <v>6.1454729317187297E-2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3.48</v>
      </c>
      <c r="D296" s="466">
        <f>IF(LN_IC4=0,0,LN_IC11/LN_IC4)</f>
        <v>4.4744525547445253</v>
      </c>
      <c r="E296" s="466">
        <f t="shared" si="30"/>
        <v>0.99445255474452532</v>
      </c>
      <c r="F296" s="503">
        <f t="shared" si="31"/>
        <v>0.28576222837486359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3.9443016281062553</v>
      </c>
      <c r="D297" s="466">
        <f>IF(LN_ID4=0,0,LN_ID11/LN_ID4)</f>
        <v>3.9778156996587031</v>
      </c>
      <c r="E297" s="466">
        <f t="shared" si="30"/>
        <v>3.3514071552447788E-2</v>
      </c>
      <c r="F297" s="503">
        <f t="shared" si="31"/>
        <v>8.4968328267883055E-3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1.6666666666666667</v>
      </c>
      <c r="D298" s="466">
        <f>IF(LN_IE4=0,0,LN_IE11/LN_IE4)</f>
        <v>3.6363636363636362</v>
      </c>
      <c r="E298" s="466">
        <f t="shared" si="30"/>
        <v>1.9696969696969695</v>
      </c>
      <c r="F298" s="503">
        <f t="shared" si="31"/>
        <v>1.1818181818181817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4.125</v>
      </c>
      <c r="D299" s="466">
        <f>IF(LN_IG3=0,0,LN_IG6/LN_IG3)</f>
        <v>3.4102564102564101</v>
      </c>
      <c r="E299" s="466">
        <f t="shared" si="30"/>
        <v>-0.71474358974358987</v>
      </c>
      <c r="F299" s="503">
        <f t="shared" si="31"/>
        <v>-0.17327117327117331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4.0676565130874023</v>
      </c>
      <c r="D300" s="466">
        <f>IF(LN_IIA4=0,0,LN_IIA14/LN_IIA4)</f>
        <v>4.1932525384867345</v>
      </c>
      <c r="E300" s="466">
        <f t="shared" si="30"/>
        <v>0.12559602539933223</v>
      </c>
      <c r="F300" s="503">
        <f t="shared" si="31"/>
        <v>3.0876752989156226E-2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259938571</v>
      </c>
      <c r="D304" s="441">
        <f>LN_IIA11</f>
        <v>268038161</v>
      </c>
      <c r="E304" s="441">
        <f t="shared" ref="E304:E316" si="32">D304-C304</f>
        <v>8099590</v>
      </c>
      <c r="F304" s="449">
        <f>IF(C304=0,0,E304/C304)</f>
        <v>3.1159631173012795E-2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99346340</v>
      </c>
      <c r="D305" s="441">
        <f>LN_IIB14</f>
        <v>109506924</v>
      </c>
      <c r="E305" s="441">
        <f t="shared" si="32"/>
        <v>10160584</v>
      </c>
      <c r="F305" s="449">
        <f>IF(C305=0,0,E305/C305)</f>
        <v>0.10227436662488019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6592579</v>
      </c>
      <c r="D306" s="441">
        <f>LN_IH6</f>
        <v>5634881</v>
      </c>
      <c r="E306" s="441">
        <f t="shared" si="32"/>
        <v>-957698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36516403</v>
      </c>
      <c r="D307" s="441">
        <f>LN_IB32-LN_IB33</f>
        <v>37028303</v>
      </c>
      <c r="E307" s="441">
        <f t="shared" si="32"/>
        <v>511900</v>
      </c>
      <c r="F307" s="449">
        <f t="shared" ref="F307:F316" si="33">IF(C307=0,0,E307/C307)</f>
        <v>1.4018357722692457E-2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142455322</v>
      </c>
      <c r="D309" s="441">
        <f>LN_III2+LN_III3+LN_III4+LN_III5</f>
        <v>152170108</v>
      </c>
      <c r="E309" s="441">
        <f t="shared" si="32"/>
        <v>9714786</v>
      </c>
      <c r="F309" s="449">
        <f t="shared" si="33"/>
        <v>6.819531810822764E-2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117483249</v>
      </c>
      <c r="D310" s="441">
        <f>LN_III1-LN_III6</f>
        <v>115868053</v>
      </c>
      <c r="E310" s="441">
        <f t="shared" si="32"/>
        <v>-1615196</v>
      </c>
      <c r="F310" s="449">
        <f t="shared" si="33"/>
        <v>-1.374830891849101E-2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117483249</v>
      </c>
      <c r="D312" s="441">
        <f>LN_III7+LN_III8</f>
        <v>115868053</v>
      </c>
      <c r="E312" s="441">
        <f t="shared" si="32"/>
        <v>-1615196</v>
      </c>
      <c r="F312" s="449">
        <f t="shared" si="33"/>
        <v>-1.374830891849101E-2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0.45196543378704657</v>
      </c>
      <c r="D313" s="532">
        <f>IF(LN_III1=0,0,LN_III9/LN_III1)</f>
        <v>0.43228192794532716</v>
      </c>
      <c r="E313" s="532">
        <f t="shared" si="32"/>
        <v>-1.9683505841719406E-2</v>
      </c>
      <c r="F313" s="449">
        <f t="shared" si="33"/>
        <v>-4.355090980473901E-2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2979617.8275103737</v>
      </c>
      <c r="D314" s="441">
        <f>D313*LN_III5</f>
        <v>2435857.2224224932</v>
      </c>
      <c r="E314" s="441">
        <f t="shared" si="32"/>
        <v>-543760.60508788051</v>
      </c>
      <c r="F314" s="449">
        <f t="shared" si="33"/>
        <v>-0.18249340572049835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5918664.5225415044</v>
      </c>
      <c r="D315" s="441">
        <f>D313*LN_IH8-LN_IH9</f>
        <v>9248622.0398290344</v>
      </c>
      <c r="E315" s="441">
        <f t="shared" si="32"/>
        <v>3329957.51728753</v>
      </c>
      <c r="F315" s="449">
        <f t="shared" si="33"/>
        <v>0.56261974379612745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8898282.350051878</v>
      </c>
      <c r="D318" s="441">
        <f>D314+D315+D316</f>
        <v>11684479.262251528</v>
      </c>
      <c r="E318" s="441">
        <f>D318-C318</f>
        <v>2786196.91219965</v>
      </c>
      <c r="F318" s="449">
        <f>IF(C318=0,0,E318/C318)</f>
        <v>0.31311626250918034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6326076.1817068774</v>
      </c>
      <c r="D322" s="441">
        <f>LN_ID22</f>
        <v>9846157.4186941851</v>
      </c>
      <c r="E322" s="441">
        <f>LN_IV2-C322</f>
        <v>3520081.2369873077</v>
      </c>
      <c r="F322" s="449">
        <f>IF(C322=0,0,E322/C322)</f>
        <v>0.55643990617222272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117021.26408263852</v>
      </c>
      <c r="D323" s="441">
        <f>LN_IE10+LN_IE22</f>
        <v>33604.331830589756</v>
      </c>
      <c r="E323" s="441">
        <f>LN_IV3-C323</f>
        <v>-83416.932252048762</v>
      </c>
      <c r="F323" s="449">
        <f>IF(C323=0,0,E323/C323)</f>
        <v>-0.7128356791047914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4587585.2312888317</v>
      </c>
      <c r="D324" s="441">
        <f>LN_IC10+LN_IC22</f>
        <v>2416046.2855512677</v>
      </c>
      <c r="E324" s="441">
        <f>LN_IV1-C324</f>
        <v>-2171538.945737564</v>
      </c>
      <c r="F324" s="449">
        <f>IF(C324=0,0,E324/C324)</f>
        <v>-0.47335119376681184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11030682.677078348</v>
      </c>
      <c r="D325" s="516">
        <f>LN_IV1+LN_IV2+LN_IV3</f>
        <v>12295808.036076041</v>
      </c>
      <c r="E325" s="441">
        <f>LN_IV4-C325</f>
        <v>1265125.3589976933</v>
      </c>
      <c r="F325" s="449">
        <f>IF(C325=0,0,E325/C325)</f>
        <v>0.11469148338630133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-805705</v>
      </c>
      <c r="D330" s="516">
        <v>-1245995</v>
      </c>
      <c r="E330" s="518">
        <f t="shared" si="34"/>
        <v>-440290</v>
      </c>
      <c r="F330" s="543">
        <f t="shared" si="35"/>
        <v>0.54646551777635732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116677547</v>
      </c>
      <c r="D331" s="516">
        <v>114622050</v>
      </c>
      <c r="E331" s="518">
        <f t="shared" si="34"/>
        <v>-2055497</v>
      </c>
      <c r="F331" s="542">
        <f t="shared" si="35"/>
        <v>-1.7616902761934138E-2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-3214517</v>
      </c>
      <c r="D332" s="516">
        <v>-2935378</v>
      </c>
      <c r="E332" s="518">
        <f t="shared" si="34"/>
        <v>279139</v>
      </c>
      <c r="F332" s="543">
        <f t="shared" si="35"/>
        <v>-8.6836996040151604E-2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256724054</v>
      </c>
      <c r="D333" s="516">
        <v>265102773</v>
      </c>
      <c r="E333" s="518">
        <f t="shared" si="34"/>
        <v>8378719</v>
      </c>
      <c r="F333" s="542">
        <f t="shared" si="35"/>
        <v>3.263706251693891E-2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6592579</v>
      </c>
      <c r="D335" s="516">
        <v>5634881</v>
      </c>
      <c r="E335" s="516">
        <f t="shared" si="34"/>
        <v>-957698</v>
      </c>
      <c r="F335" s="542">
        <f t="shared" si="35"/>
        <v>-0.14526909726830728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FILING&amp;RCHARLOTTE HUNGERFORD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24499963</v>
      </c>
      <c r="D14" s="589">
        <v>22557240</v>
      </c>
      <c r="E14" s="590">
        <f t="shared" ref="E14:E22" si="0">D14-C14</f>
        <v>-1942723</v>
      </c>
    </row>
    <row r="15" spans="1:5" s="421" customFormat="1" x14ac:dyDescent="0.2">
      <c r="A15" s="588">
        <v>2</v>
      </c>
      <c r="B15" s="587" t="s">
        <v>636</v>
      </c>
      <c r="C15" s="589">
        <v>62018968</v>
      </c>
      <c r="D15" s="591">
        <v>61563189</v>
      </c>
      <c r="E15" s="590">
        <f t="shared" si="0"/>
        <v>-455779</v>
      </c>
    </row>
    <row r="16" spans="1:5" s="421" customFormat="1" x14ac:dyDescent="0.2">
      <c r="A16" s="588">
        <v>3</v>
      </c>
      <c r="B16" s="587" t="s">
        <v>778</v>
      </c>
      <c r="C16" s="589">
        <v>14556334</v>
      </c>
      <c r="D16" s="591">
        <v>15874618</v>
      </c>
      <c r="E16" s="590">
        <f t="shared" si="0"/>
        <v>1318284</v>
      </c>
    </row>
    <row r="17" spans="1:5" s="421" customFormat="1" x14ac:dyDescent="0.2">
      <c r="A17" s="588">
        <v>4</v>
      </c>
      <c r="B17" s="587" t="s">
        <v>115</v>
      </c>
      <c r="C17" s="589">
        <v>14536044</v>
      </c>
      <c r="D17" s="591">
        <v>15720382</v>
      </c>
      <c r="E17" s="590">
        <f t="shared" si="0"/>
        <v>1184338</v>
      </c>
    </row>
    <row r="18" spans="1:5" s="421" customFormat="1" x14ac:dyDescent="0.2">
      <c r="A18" s="588">
        <v>5</v>
      </c>
      <c r="B18" s="587" t="s">
        <v>744</v>
      </c>
      <c r="C18" s="589">
        <v>20290</v>
      </c>
      <c r="D18" s="591">
        <v>154236</v>
      </c>
      <c r="E18" s="590">
        <f t="shared" si="0"/>
        <v>133946</v>
      </c>
    </row>
    <row r="19" spans="1:5" s="421" customFormat="1" x14ac:dyDescent="0.2">
      <c r="A19" s="588">
        <v>6</v>
      </c>
      <c r="B19" s="587" t="s">
        <v>424</v>
      </c>
      <c r="C19" s="589">
        <v>353945</v>
      </c>
      <c r="D19" s="591">
        <v>434960</v>
      </c>
      <c r="E19" s="590">
        <f t="shared" si="0"/>
        <v>81015</v>
      </c>
    </row>
    <row r="20" spans="1:5" s="421" customFormat="1" x14ac:dyDescent="0.2">
      <c r="A20" s="588">
        <v>7</v>
      </c>
      <c r="B20" s="587" t="s">
        <v>759</v>
      </c>
      <c r="C20" s="589">
        <v>1590204</v>
      </c>
      <c r="D20" s="591">
        <v>1554063</v>
      </c>
      <c r="E20" s="590">
        <f t="shared" si="0"/>
        <v>-36141</v>
      </c>
    </row>
    <row r="21" spans="1:5" s="421" customFormat="1" x14ac:dyDescent="0.2">
      <c r="A21" s="588"/>
      <c r="B21" s="592" t="s">
        <v>779</v>
      </c>
      <c r="C21" s="593">
        <f>SUM(C15+C16+C19)</f>
        <v>76929247</v>
      </c>
      <c r="D21" s="593">
        <f>SUM(D15+D16+D19)</f>
        <v>77872767</v>
      </c>
      <c r="E21" s="593">
        <f t="shared" si="0"/>
        <v>943520</v>
      </c>
    </row>
    <row r="22" spans="1:5" s="421" customFormat="1" x14ac:dyDescent="0.2">
      <c r="A22" s="588"/>
      <c r="B22" s="592" t="s">
        <v>465</v>
      </c>
      <c r="C22" s="593">
        <f>SUM(C14+C21)</f>
        <v>101429210</v>
      </c>
      <c r="D22" s="593">
        <f>SUM(D14+D21)</f>
        <v>100430007</v>
      </c>
      <c r="E22" s="593">
        <f t="shared" si="0"/>
        <v>-999203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63280634</v>
      </c>
      <c r="D25" s="589">
        <v>64224431</v>
      </c>
      <c r="E25" s="590">
        <f t="shared" ref="E25:E33" si="1">D25-C25</f>
        <v>943797</v>
      </c>
    </row>
    <row r="26" spans="1:5" s="421" customFormat="1" x14ac:dyDescent="0.2">
      <c r="A26" s="588">
        <v>2</v>
      </c>
      <c r="B26" s="587" t="s">
        <v>636</v>
      </c>
      <c r="C26" s="589">
        <v>60797693</v>
      </c>
      <c r="D26" s="591">
        <v>64444398</v>
      </c>
      <c r="E26" s="590">
        <f t="shared" si="1"/>
        <v>3646705</v>
      </c>
    </row>
    <row r="27" spans="1:5" s="421" customFormat="1" x14ac:dyDescent="0.2">
      <c r="A27" s="588">
        <v>3</v>
      </c>
      <c r="B27" s="587" t="s">
        <v>778</v>
      </c>
      <c r="C27" s="589">
        <v>33810939</v>
      </c>
      <c r="D27" s="591">
        <v>38230894</v>
      </c>
      <c r="E27" s="590">
        <f t="shared" si="1"/>
        <v>4419955</v>
      </c>
    </row>
    <row r="28" spans="1:5" s="421" customFormat="1" x14ac:dyDescent="0.2">
      <c r="A28" s="588">
        <v>4</v>
      </c>
      <c r="B28" s="587" t="s">
        <v>115</v>
      </c>
      <c r="C28" s="589">
        <v>33657530</v>
      </c>
      <c r="D28" s="591">
        <v>38108911</v>
      </c>
      <c r="E28" s="590">
        <f t="shared" si="1"/>
        <v>4451381</v>
      </c>
    </row>
    <row r="29" spans="1:5" s="421" customFormat="1" x14ac:dyDescent="0.2">
      <c r="A29" s="588">
        <v>5</v>
      </c>
      <c r="B29" s="587" t="s">
        <v>744</v>
      </c>
      <c r="C29" s="589">
        <v>153409</v>
      </c>
      <c r="D29" s="591">
        <v>121983</v>
      </c>
      <c r="E29" s="590">
        <f t="shared" si="1"/>
        <v>-31426</v>
      </c>
    </row>
    <row r="30" spans="1:5" s="421" customFormat="1" x14ac:dyDescent="0.2">
      <c r="A30" s="588">
        <v>6</v>
      </c>
      <c r="B30" s="587" t="s">
        <v>424</v>
      </c>
      <c r="C30" s="589">
        <v>620095</v>
      </c>
      <c r="D30" s="591">
        <v>708431</v>
      </c>
      <c r="E30" s="590">
        <f t="shared" si="1"/>
        <v>88336</v>
      </c>
    </row>
    <row r="31" spans="1:5" s="421" customFormat="1" x14ac:dyDescent="0.2">
      <c r="A31" s="588">
        <v>7</v>
      </c>
      <c r="B31" s="587" t="s">
        <v>759</v>
      </c>
      <c r="C31" s="590">
        <v>5513269</v>
      </c>
      <c r="D31" s="594">
        <v>4301269</v>
      </c>
      <c r="E31" s="590">
        <f t="shared" si="1"/>
        <v>-1212000</v>
      </c>
    </row>
    <row r="32" spans="1:5" s="421" customFormat="1" x14ac:dyDescent="0.2">
      <c r="A32" s="588"/>
      <c r="B32" s="592" t="s">
        <v>781</v>
      </c>
      <c r="C32" s="593">
        <f>SUM(C26+C27+C30)</f>
        <v>95228727</v>
      </c>
      <c r="D32" s="593">
        <f>SUM(D26+D27+D30)</f>
        <v>103383723</v>
      </c>
      <c r="E32" s="593">
        <f t="shared" si="1"/>
        <v>8154996</v>
      </c>
    </row>
    <row r="33" spans="1:5" s="421" customFormat="1" x14ac:dyDescent="0.2">
      <c r="A33" s="588"/>
      <c r="B33" s="592" t="s">
        <v>467</v>
      </c>
      <c r="C33" s="593">
        <f>SUM(C25+C32)</f>
        <v>158509361</v>
      </c>
      <c r="D33" s="593">
        <f>SUM(D25+D32)</f>
        <v>167608154</v>
      </c>
      <c r="E33" s="593">
        <f t="shared" si="1"/>
        <v>9098793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87780597</v>
      </c>
      <c r="D36" s="590">
        <f t="shared" si="2"/>
        <v>86781671</v>
      </c>
      <c r="E36" s="590">
        <f t="shared" ref="E36:E44" si="3">D36-C36</f>
        <v>-998926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122816661</v>
      </c>
      <c r="D37" s="590">
        <f t="shared" si="2"/>
        <v>126007587</v>
      </c>
      <c r="E37" s="590">
        <f t="shared" si="3"/>
        <v>3190926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48367273</v>
      </c>
      <c r="D38" s="590">
        <f t="shared" si="2"/>
        <v>54105512</v>
      </c>
      <c r="E38" s="590">
        <f t="shared" si="3"/>
        <v>5738239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48193574</v>
      </c>
      <c r="D39" s="590">
        <f t="shared" si="2"/>
        <v>53829293</v>
      </c>
      <c r="E39" s="590">
        <f t="shared" si="3"/>
        <v>5635719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173699</v>
      </c>
      <c r="D40" s="590">
        <f t="shared" si="2"/>
        <v>276219</v>
      </c>
      <c r="E40" s="590">
        <f t="shared" si="3"/>
        <v>102520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974040</v>
      </c>
      <c r="D41" s="590">
        <f t="shared" si="2"/>
        <v>1143391</v>
      </c>
      <c r="E41" s="590">
        <f t="shared" si="3"/>
        <v>169351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7103473</v>
      </c>
      <c r="D42" s="590">
        <f t="shared" si="2"/>
        <v>5855332</v>
      </c>
      <c r="E42" s="590">
        <f t="shared" si="3"/>
        <v>-1248141</v>
      </c>
    </row>
    <row r="43" spans="1:5" s="421" customFormat="1" x14ac:dyDescent="0.2">
      <c r="A43" s="588"/>
      <c r="B43" s="592" t="s">
        <v>789</v>
      </c>
      <c r="C43" s="593">
        <f>SUM(C37+C38+C41)</f>
        <v>172157974</v>
      </c>
      <c r="D43" s="593">
        <f>SUM(D37+D38+D41)</f>
        <v>181256490</v>
      </c>
      <c r="E43" s="593">
        <f t="shared" si="3"/>
        <v>9098516</v>
      </c>
    </row>
    <row r="44" spans="1:5" s="421" customFormat="1" x14ac:dyDescent="0.2">
      <c r="A44" s="588"/>
      <c r="B44" s="592" t="s">
        <v>726</v>
      </c>
      <c r="C44" s="593">
        <f>SUM(C36+C43)</f>
        <v>259938571</v>
      </c>
      <c r="D44" s="593">
        <f>SUM(D36+D43)</f>
        <v>268038161</v>
      </c>
      <c r="E44" s="593">
        <f t="shared" si="3"/>
        <v>8099590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15060737</v>
      </c>
      <c r="D47" s="589">
        <v>13571626</v>
      </c>
      <c r="E47" s="590">
        <f t="shared" ref="E47:E55" si="4">D47-C47</f>
        <v>-1489111</v>
      </c>
    </row>
    <row r="48" spans="1:5" s="421" customFormat="1" x14ac:dyDescent="0.2">
      <c r="A48" s="588">
        <v>2</v>
      </c>
      <c r="B48" s="587" t="s">
        <v>636</v>
      </c>
      <c r="C48" s="589">
        <v>34553159</v>
      </c>
      <c r="D48" s="591">
        <v>33728483</v>
      </c>
      <c r="E48" s="590">
        <f t="shared" si="4"/>
        <v>-824676</v>
      </c>
    </row>
    <row r="49" spans="1:5" s="421" customFormat="1" x14ac:dyDescent="0.2">
      <c r="A49" s="588">
        <v>3</v>
      </c>
      <c r="B49" s="587" t="s">
        <v>778</v>
      </c>
      <c r="C49" s="589">
        <v>5063846</v>
      </c>
      <c r="D49" s="591">
        <v>4694856</v>
      </c>
      <c r="E49" s="590">
        <f t="shared" si="4"/>
        <v>-368990</v>
      </c>
    </row>
    <row r="50" spans="1:5" s="421" customFormat="1" x14ac:dyDescent="0.2">
      <c r="A50" s="588">
        <v>4</v>
      </c>
      <c r="B50" s="587" t="s">
        <v>115</v>
      </c>
      <c r="C50" s="589">
        <v>5045202</v>
      </c>
      <c r="D50" s="591">
        <v>4645830</v>
      </c>
      <c r="E50" s="590">
        <f t="shared" si="4"/>
        <v>-399372</v>
      </c>
    </row>
    <row r="51" spans="1:5" s="421" customFormat="1" x14ac:dyDescent="0.2">
      <c r="A51" s="588">
        <v>5</v>
      </c>
      <c r="B51" s="587" t="s">
        <v>744</v>
      </c>
      <c r="C51" s="589">
        <v>18644</v>
      </c>
      <c r="D51" s="591">
        <v>49026</v>
      </c>
      <c r="E51" s="590">
        <f t="shared" si="4"/>
        <v>30382</v>
      </c>
    </row>
    <row r="52" spans="1:5" s="421" customFormat="1" x14ac:dyDescent="0.2">
      <c r="A52" s="588">
        <v>6</v>
      </c>
      <c r="B52" s="587" t="s">
        <v>424</v>
      </c>
      <c r="C52" s="589">
        <v>220612</v>
      </c>
      <c r="D52" s="591">
        <v>247000</v>
      </c>
      <c r="E52" s="590">
        <f t="shared" si="4"/>
        <v>26388</v>
      </c>
    </row>
    <row r="53" spans="1:5" s="421" customFormat="1" x14ac:dyDescent="0.2">
      <c r="A53" s="588">
        <v>7</v>
      </c>
      <c r="B53" s="587" t="s">
        <v>759</v>
      </c>
      <c r="C53" s="589">
        <v>272165</v>
      </c>
      <c r="D53" s="591">
        <v>318975</v>
      </c>
      <c r="E53" s="590">
        <f t="shared" si="4"/>
        <v>46810</v>
      </c>
    </row>
    <row r="54" spans="1:5" s="421" customFormat="1" x14ac:dyDescent="0.2">
      <c r="A54" s="588"/>
      <c r="B54" s="592" t="s">
        <v>791</v>
      </c>
      <c r="C54" s="593">
        <f>SUM(C48+C49+C52)</f>
        <v>39837617</v>
      </c>
      <c r="D54" s="593">
        <f>SUM(D48+D49+D52)</f>
        <v>38670339</v>
      </c>
      <c r="E54" s="593">
        <f t="shared" si="4"/>
        <v>-1167278</v>
      </c>
    </row>
    <row r="55" spans="1:5" s="421" customFormat="1" x14ac:dyDescent="0.2">
      <c r="A55" s="588"/>
      <c r="B55" s="592" t="s">
        <v>466</v>
      </c>
      <c r="C55" s="593">
        <f>SUM(C47+C54)</f>
        <v>54898354</v>
      </c>
      <c r="D55" s="593">
        <f>SUM(D47+D54)</f>
        <v>52241965</v>
      </c>
      <c r="E55" s="593">
        <f t="shared" si="4"/>
        <v>-2656389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29610878</v>
      </c>
      <c r="D58" s="589">
        <v>30546862</v>
      </c>
      <c r="E58" s="590">
        <f t="shared" ref="E58:E66" si="5">D58-C58</f>
        <v>935984</v>
      </c>
    </row>
    <row r="59" spans="1:5" s="421" customFormat="1" x14ac:dyDescent="0.2">
      <c r="A59" s="588">
        <v>2</v>
      </c>
      <c r="B59" s="587" t="s">
        <v>636</v>
      </c>
      <c r="C59" s="589">
        <v>21867353</v>
      </c>
      <c r="D59" s="591">
        <v>23390922</v>
      </c>
      <c r="E59" s="590">
        <f t="shared" si="5"/>
        <v>1523569</v>
      </c>
    </row>
    <row r="60" spans="1:5" s="421" customFormat="1" x14ac:dyDescent="0.2">
      <c r="A60" s="588">
        <v>3</v>
      </c>
      <c r="B60" s="587" t="s">
        <v>778</v>
      </c>
      <c r="C60" s="589">
        <f>C61+C62</f>
        <v>10877825</v>
      </c>
      <c r="D60" s="591">
        <f>D61+D62</f>
        <v>9445357</v>
      </c>
      <c r="E60" s="590">
        <f t="shared" si="5"/>
        <v>-1432468</v>
      </c>
    </row>
    <row r="61" spans="1:5" s="421" customFormat="1" x14ac:dyDescent="0.2">
      <c r="A61" s="588">
        <v>4</v>
      </c>
      <c r="B61" s="587" t="s">
        <v>115</v>
      </c>
      <c r="C61" s="589">
        <v>10846419</v>
      </c>
      <c r="D61" s="591">
        <v>9397695</v>
      </c>
      <c r="E61" s="590">
        <f t="shared" si="5"/>
        <v>-1448724</v>
      </c>
    </row>
    <row r="62" spans="1:5" s="421" customFormat="1" x14ac:dyDescent="0.2">
      <c r="A62" s="588">
        <v>5</v>
      </c>
      <c r="B62" s="587" t="s">
        <v>744</v>
      </c>
      <c r="C62" s="589">
        <v>31406</v>
      </c>
      <c r="D62" s="591">
        <v>47662</v>
      </c>
      <c r="E62" s="590">
        <f t="shared" si="5"/>
        <v>16256</v>
      </c>
    </row>
    <row r="63" spans="1:5" s="421" customFormat="1" x14ac:dyDescent="0.2">
      <c r="A63" s="588">
        <v>6</v>
      </c>
      <c r="B63" s="587" t="s">
        <v>424</v>
      </c>
      <c r="C63" s="589">
        <v>228839</v>
      </c>
      <c r="D63" s="591">
        <v>242948</v>
      </c>
      <c r="E63" s="590">
        <f t="shared" si="5"/>
        <v>14109</v>
      </c>
    </row>
    <row r="64" spans="1:5" s="421" customFormat="1" x14ac:dyDescent="0.2">
      <c r="A64" s="588">
        <v>7</v>
      </c>
      <c r="B64" s="587" t="s">
        <v>759</v>
      </c>
      <c r="C64" s="589">
        <v>943602</v>
      </c>
      <c r="D64" s="591">
        <v>882845</v>
      </c>
      <c r="E64" s="590">
        <f t="shared" si="5"/>
        <v>-60757</v>
      </c>
    </row>
    <row r="65" spans="1:5" s="421" customFormat="1" x14ac:dyDescent="0.2">
      <c r="A65" s="588"/>
      <c r="B65" s="592" t="s">
        <v>793</v>
      </c>
      <c r="C65" s="593">
        <f>SUM(C59+C60+C63)</f>
        <v>32974017</v>
      </c>
      <c r="D65" s="593">
        <f>SUM(D59+D60+D63)</f>
        <v>33079227</v>
      </c>
      <c r="E65" s="593">
        <f t="shared" si="5"/>
        <v>105210</v>
      </c>
    </row>
    <row r="66" spans="1:5" s="421" customFormat="1" x14ac:dyDescent="0.2">
      <c r="A66" s="588"/>
      <c r="B66" s="592" t="s">
        <v>468</v>
      </c>
      <c r="C66" s="593">
        <f>SUM(C58+C65)</f>
        <v>62584895</v>
      </c>
      <c r="D66" s="593">
        <f>SUM(D58+D65)</f>
        <v>63626089</v>
      </c>
      <c r="E66" s="593">
        <f t="shared" si="5"/>
        <v>1041194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44671615</v>
      </c>
      <c r="D69" s="590">
        <f t="shared" si="6"/>
        <v>44118488</v>
      </c>
      <c r="E69" s="590">
        <f t="shared" ref="E69:E77" si="7">D69-C69</f>
        <v>-553127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56420512</v>
      </c>
      <c r="D70" s="590">
        <f t="shared" si="6"/>
        <v>57119405</v>
      </c>
      <c r="E70" s="590">
        <f t="shared" si="7"/>
        <v>698893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15941671</v>
      </c>
      <c r="D71" s="590">
        <f t="shared" si="6"/>
        <v>14140213</v>
      </c>
      <c r="E71" s="590">
        <f t="shared" si="7"/>
        <v>-1801458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15891621</v>
      </c>
      <c r="D72" s="590">
        <f t="shared" si="6"/>
        <v>14043525</v>
      </c>
      <c r="E72" s="590">
        <f t="shared" si="7"/>
        <v>-1848096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50050</v>
      </c>
      <c r="D73" s="590">
        <f t="shared" si="6"/>
        <v>96688</v>
      </c>
      <c r="E73" s="590">
        <f t="shared" si="7"/>
        <v>46638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449451</v>
      </c>
      <c r="D74" s="590">
        <f t="shared" si="6"/>
        <v>489948</v>
      </c>
      <c r="E74" s="590">
        <f t="shared" si="7"/>
        <v>40497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1215767</v>
      </c>
      <c r="D75" s="590">
        <f t="shared" si="6"/>
        <v>1201820</v>
      </c>
      <c r="E75" s="590">
        <f t="shared" si="7"/>
        <v>-13947</v>
      </c>
    </row>
    <row r="76" spans="1:5" s="421" customFormat="1" x14ac:dyDescent="0.2">
      <c r="A76" s="588"/>
      <c r="B76" s="592" t="s">
        <v>794</v>
      </c>
      <c r="C76" s="593">
        <f>SUM(C70+C71+C74)</f>
        <v>72811634</v>
      </c>
      <c r="D76" s="593">
        <f>SUM(D70+D71+D74)</f>
        <v>71749566</v>
      </c>
      <c r="E76" s="593">
        <f t="shared" si="7"/>
        <v>-1062068</v>
      </c>
    </row>
    <row r="77" spans="1:5" s="421" customFormat="1" x14ac:dyDescent="0.2">
      <c r="A77" s="588"/>
      <c r="B77" s="592" t="s">
        <v>727</v>
      </c>
      <c r="C77" s="593">
        <f>SUM(C69+C76)</f>
        <v>117483249</v>
      </c>
      <c r="D77" s="593">
        <f>SUM(D69+D76)</f>
        <v>115868054</v>
      </c>
      <c r="E77" s="593">
        <f t="shared" si="7"/>
        <v>-1615195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9.4252895619711632E-2</v>
      </c>
      <c r="D83" s="599">
        <f t="shared" si="8"/>
        <v>8.4156822729432174E-2</v>
      </c>
      <c r="E83" s="599">
        <f t="shared" ref="E83:E91" si="9">D83-C83</f>
        <v>-1.0096072890279459E-2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0.23859086306972119</v>
      </c>
      <c r="D84" s="599">
        <f t="shared" si="8"/>
        <v>0.22968068714663356</v>
      </c>
      <c r="E84" s="599">
        <f t="shared" si="9"/>
        <v>-8.9101759230876265E-3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5.59991306561426E-2</v>
      </c>
      <c r="D85" s="599">
        <f t="shared" si="8"/>
        <v>5.9225216069140246E-2</v>
      </c>
      <c r="E85" s="599">
        <f t="shared" si="9"/>
        <v>3.2260854129976466E-3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5.592107375245977E-2</v>
      </c>
      <c r="D86" s="599">
        <f t="shared" si="8"/>
        <v>5.8649790542325053E-2</v>
      </c>
      <c r="E86" s="599">
        <f t="shared" si="9"/>
        <v>2.7287167898652834E-3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7.8056903682832042E-5</v>
      </c>
      <c r="D87" s="599">
        <f t="shared" si="8"/>
        <v>5.7542552681519104E-4</v>
      </c>
      <c r="E87" s="599">
        <f t="shared" si="9"/>
        <v>4.9736862313235896E-4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1.3616486335150315E-3</v>
      </c>
      <c r="D88" s="599">
        <f t="shared" si="8"/>
        <v>1.6227540077772731E-3</v>
      </c>
      <c r="E88" s="599">
        <f t="shared" si="9"/>
        <v>2.6110537426224162E-4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6.1176146113383076E-3</v>
      </c>
      <c r="D89" s="599">
        <f t="shared" si="8"/>
        <v>5.7979169615329515E-3</v>
      </c>
      <c r="E89" s="599">
        <f t="shared" si="9"/>
        <v>-3.1969764980535609E-4</v>
      </c>
    </row>
    <row r="90" spans="1:5" s="421" customFormat="1" x14ac:dyDescent="0.2">
      <c r="A90" s="588"/>
      <c r="B90" s="592" t="s">
        <v>797</v>
      </c>
      <c r="C90" s="600">
        <f>SUM(C84+C85+C88)</f>
        <v>0.29595164235937882</v>
      </c>
      <c r="D90" s="600">
        <f>SUM(D84+D85+D88)</f>
        <v>0.29052865722355109</v>
      </c>
      <c r="E90" s="601">
        <f t="shared" si="9"/>
        <v>-5.4229851358277292E-3</v>
      </c>
    </row>
    <row r="91" spans="1:5" s="421" customFormat="1" x14ac:dyDescent="0.2">
      <c r="A91" s="588"/>
      <c r="B91" s="592" t="s">
        <v>798</v>
      </c>
      <c r="C91" s="600">
        <f>SUM(C83+C90)</f>
        <v>0.39020453797909044</v>
      </c>
      <c r="D91" s="600">
        <f>SUM(D83+D90)</f>
        <v>0.37468547995298329</v>
      </c>
      <c r="E91" s="601">
        <f t="shared" si="9"/>
        <v>-1.5519058026107146E-2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0.24344457137144146</v>
      </c>
      <c r="D95" s="599">
        <f t="shared" si="10"/>
        <v>0.23960928085907887</v>
      </c>
      <c r="E95" s="599">
        <f t="shared" ref="E95:E103" si="11">D95-C95</f>
        <v>-3.835290512362588E-3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0.23389254148050234</v>
      </c>
      <c r="D96" s="599">
        <f t="shared" si="10"/>
        <v>0.24042993639252733</v>
      </c>
      <c r="E96" s="599">
        <f t="shared" si="11"/>
        <v>6.5373949120249852E-3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0.13007280477817199</v>
      </c>
      <c r="D97" s="599">
        <f t="shared" si="10"/>
        <v>0.14263227988644497</v>
      </c>
      <c r="E97" s="599">
        <f t="shared" si="11"/>
        <v>1.2559475108272988E-2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0.12948263072508773</v>
      </c>
      <c r="D98" s="599">
        <f t="shared" si="10"/>
        <v>0.14217718424056788</v>
      </c>
      <c r="E98" s="599">
        <f t="shared" si="11"/>
        <v>1.2694553515480156E-2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5.9017405308425732E-4</v>
      </c>
      <c r="D99" s="599">
        <f t="shared" si="10"/>
        <v>4.5509564587708091E-4</v>
      </c>
      <c r="E99" s="599">
        <f t="shared" si="11"/>
        <v>-1.3507840720717641E-4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2.3855443907937774E-3</v>
      </c>
      <c r="D100" s="599">
        <f t="shared" si="10"/>
        <v>2.6430229089655635E-3</v>
      </c>
      <c r="E100" s="599">
        <f t="shared" si="11"/>
        <v>2.5747851817178608E-4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2.1209891932505852E-2</v>
      </c>
      <c r="D101" s="599">
        <f t="shared" si="10"/>
        <v>1.6047226200749824E-2</v>
      </c>
      <c r="E101" s="599">
        <f t="shared" si="11"/>
        <v>-5.1626657317560276E-3</v>
      </c>
    </row>
    <row r="102" spans="1:5" s="421" customFormat="1" x14ac:dyDescent="0.2">
      <c r="A102" s="588"/>
      <c r="B102" s="592" t="s">
        <v>800</v>
      </c>
      <c r="C102" s="600">
        <f>SUM(C96+C97+C100)</f>
        <v>0.36635089064946813</v>
      </c>
      <c r="D102" s="600">
        <f>SUM(D96+D97+D100)</f>
        <v>0.38570523918793786</v>
      </c>
      <c r="E102" s="601">
        <f t="shared" si="11"/>
        <v>1.9354348538469734E-2</v>
      </c>
    </row>
    <row r="103" spans="1:5" s="421" customFormat="1" x14ac:dyDescent="0.2">
      <c r="A103" s="588"/>
      <c r="B103" s="592" t="s">
        <v>801</v>
      </c>
      <c r="C103" s="600">
        <f>SUM(C95+C102)</f>
        <v>0.60979546202090962</v>
      </c>
      <c r="D103" s="600">
        <f>SUM(D95+D102)</f>
        <v>0.62531452004701671</v>
      </c>
      <c r="E103" s="601">
        <f t="shared" si="11"/>
        <v>1.5519058026107091E-2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0.12819476076968214</v>
      </c>
      <c r="D109" s="599">
        <f t="shared" si="12"/>
        <v>0.11713000720630036</v>
      </c>
      <c r="E109" s="599">
        <f t="shared" ref="E109:E117" si="13">D109-C109</f>
        <v>-1.1064753563381782E-2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0.29411136731501186</v>
      </c>
      <c r="D110" s="599">
        <f t="shared" si="12"/>
        <v>0.29109389374917782</v>
      </c>
      <c r="E110" s="599">
        <f t="shared" si="13"/>
        <v>-3.017473565834039E-3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4.3102706497332229E-2</v>
      </c>
      <c r="D111" s="599">
        <f t="shared" si="12"/>
        <v>4.0518985500524587E-2</v>
      </c>
      <c r="E111" s="599">
        <f t="shared" si="13"/>
        <v>-2.5837209968076411E-3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4.2944011533082471E-2</v>
      </c>
      <c r="D112" s="599">
        <f t="shared" si="12"/>
        <v>4.009586628597387E-2</v>
      </c>
      <c r="E112" s="599">
        <f t="shared" si="13"/>
        <v>-2.8481452471086008E-3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1.5869496424975445E-4</v>
      </c>
      <c r="D113" s="599">
        <f t="shared" si="12"/>
        <v>4.2311921455071645E-4</v>
      </c>
      <c r="E113" s="599">
        <f t="shared" si="13"/>
        <v>2.6442425030096201E-4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1.8778166409068242E-3</v>
      </c>
      <c r="D114" s="599">
        <f t="shared" si="12"/>
        <v>2.1317351200184995E-3</v>
      </c>
      <c r="E114" s="599">
        <f t="shared" si="13"/>
        <v>2.5391847911167536E-4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2.316628134790518E-3</v>
      </c>
      <c r="D115" s="599">
        <f t="shared" si="12"/>
        <v>2.7529158295866436E-3</v>
      </c>
      <c r="E115" s="599">
        <f t="shared" si="13"/>
        <v>4.3628769479612563E-4</v>
      </c>
    </row>
    <row r="116" spans="1:5" s="421" customFormat="1" x14ac:dyDescent="0.2">
      <c r="A116" s="588"/>
      <c r="B116" s="592" t="s">
        <v>797</v>
      </c>
      <c r="C116" s="600">
        <f>SUM(C110+C111+C114)</f>
        <v>0.33909189045325089</v>
      </c>
      <c r="D116" s="600">
        <f>SUM(D110+D111+D114)</f>
        <v>0.33374461436972092</v>
      </c>
      <c r="E116" s="601">
        <f t="shared" si="13"/>
        <v>-5.3472760835299726E-3</v>
      </c>
    </row>
    <row r="117" spans="1:5" s="421" customFormat="1" x14ac:dyDescent="0.2">
      <c r="A117" s="588"/>
      <c r="B117" s="592" t="s">
        <v>798</v>
      </c>
      <c r="C117" s="600">
        <f>SUM(C109+C116)</f>
        <v>0.467286651222933</v>
      </c>
      <c r="D117" s="600">
        <f>SUM(D109+D116)</f>
        <v>0.45087462157602126</v>
      </c>
      <c r="E117" s="601">
        <f t="shared" si="13"/>
        <v>-1.6412029646911741E-2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0.25204340407712084</v>
      </c>
      <c r="D121" s="599">
        <f t="shared" si="14"/>
        <v>0.26363489284112773</v>
      </c>
      <c r="E121" s="599">
        <f t="shared" ref="E121:E129" si="15">D121-C121</f>
        <v>1.1591488764006896E-2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0.18613166716218413</v>
      </c>
      <c r="D122" s="599">
        <f t="shared" si="14"/>
        <v>0.20187550573689622</v>
      </c>
      <c r="E122" s="599">
        <f t="shared" si="15"/>
        <v>1.5743838574712093E-2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9.2590433892409632E-2</v>
      </c>
      <c r="D123" s="599">
        <f t="shared" si="14"/>
        <v>8.1518215538512448E-2</v>
      </c>
      <c r="E123" s="599">
        <f t="shared" si="15"/>
        <v>-1.1072218353897184E-2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9.2323110675973902E-2</v>
      </c>
      <c r="D124" s="599">
        <f t="shared" si="14"/>
        <v>8.1106868334907906E-2</v>
      </c>
      <c r="E124" s="599">
        <f t="shared" si="15"/>
        <v>-1.1216242341065996E-2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2.6732321643573205E-4</v>
      </c>
      <c r="D125" s="599">
        <f t="shared" si="14"/>
        <v>4.1134720360454143E-4</v>
      </c>
      <c r="E125" s="599">
        <f t="shared" si="15"/>
        <v>1.4402398716880938E-4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1.9478436453523684E-3</v>
      </c>
      <c r="D126" s="599">
        <f t="shared" si="14"/>
        <v>2.0967643074423256E-3</v>
      </c>
      <c r="E126" s="599">
        <f t="shared" si="15"/>
        <v>1.4892066208995716E-4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8.0318003462774516E-3</v>
      </c>
      <c r="D127" s="599">
        <f t="shared" si="14"/>
        <v>7.6193995628855557E-3</v>
      </c>
      <c r="E127" s="599">
        <f t="shared" si="15"/>
        <v>-4.1240078339189589E-4</v>
      </c>
    </row>
    <row r="128" spans="1:5" s="421" customFormat="1" x14ac:dyDescent="0.2">
      <c r="A128" s="588"/>
      <c r="B128" s="592" t="s">
        <v>800</v>
      </c>
      <c r="C128" s="600">
        <f>SUM(C122+C123+C126)</f>
        <v>0.28066994469994616</v>
      </c>
      <c r="D128" s="600">
        <f>SUM(D122+D123+D126)</f>
        <v>0.28549048558285101</v>
      </c>
      <c r="E128" s="601">
        <f t="shared" si="15"/>
        <v>4.8205408829048446E-3</v>
      </c>
    </row>
    <row r="129" spans="1:5" s="421" customFormat="1" x14ac:dyDescent="0.2">
      <c r="A129" s="588"/>
      <c r="B129" s="592" t="s">
        <v>801</v>
      </c>
      <c r="C129" s="600">
        <f>SUM(C121+C128)</f>
        <v>0.532713348777067</v>
      </c>
      <c r="D129" s="600">
        <f>SUM(D121+D128)</f>
        <v>0.54912537842397868</v>
      </c>
      <c r="E129" s="601">
        <f t="shared" si="15"/>
        <v>1.6412029646911686E-2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1821</v>
      </c>
      <c r="D137" s="606">
        <v>1585</v>
      </c>
      <c r="E137" s="607">
        <f t="shared" ref="E137:E145" si="16">D137-C137</f>
        <v>-236</v>
      </c>
    </row>
    <row r="138" spans="1:5" s="421" customFormat="1" x14ac:dyDescent="0.2">
      <c r="A138" s="588">
        <v>2</v>
      </c>
      <c r="B138" s="587" t="s">
        <v>636</v>
      </c>
      <c r="C138" s="606">
        <v>3510</v>
      </c>
      <c r="D138" s="606">
        <v>3299</v>
      </c>
      <c r="E138" s="607">
        <f t="shared" si="16"/>
        <v>-211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1170</v>
      </c>
      <c r="D139" s="606">
        <f>D140+D141</f>
        <v>1183</v>
      </c>
      <c r="E139" s="607">
        <f t="shared" si="16"/>
        <v>13</v>
      </c>
    </row>
    <row r="140" spans="1:5" s="421" customFormat="1" x14ac:dyDescent="0.2">
      <c r="A140" s="588">
        <v>4</v>
      </c>
      <c r="B140" s="587" t="s">
        <v>115</v>
      </c>
      <c r="C140" s="606">
        <v>1167</v>
      </c>
      <c r="D140" s="606">
        <v>1172</v>
      </c>
      <c r="E140" s="607">
        <f t="shared" si="16"/>
        <v>5</v>
      </c>
    </row>
    <row r="141" spans="1:5" s="421" customFormat="1" x14ac:dyDescent="0.2">
      <c r="A141" s="588">
        <v>5</v>
      </c>
      <c r="B141" s="587" t="s">
        <v>744</v>
      </c>
      <c r="C141" s="606">
        <v>3</v>
      </c>
      <c r="D141" s="606">
        <v>11</v>
      </c>
      <c r="E141" s="607">
        <f t="shared" si="16"/>
        <v>8</v>
      </c>
    </row>
    <row r="142" spans="1:5" s="421" customFormat="1" x14ac:dyDescent="0.2">
      <c r="A142" s="588">
        <v>6</v>
      </c>
      <c r="B142" s="587" t="s">
        <v>424</v>
      </c>
      <c r="C142" s="606">
        <v>32</v>
      </c>
      <c r="D142" s="606">
        <v>39</v>
      </c>
      <c r="E142" s="607">
        <f t="shared" si="16"/>
        <v>7</v>
      </c>
    </row>
    <row r="143" spans="1:5" s="421" customFormat="1" x14ac:dyDescent="0.2">
      <c r="A143" s="588">
        <v>7</v>
      </c>
      <c r="B143" s="587" t="s">
        <v>759</v>
      </c>
      <c r="C143" s="606">
        <v>200</v>
      </c>
      <c r="D143" s="606">
        <v>137</v>
      </c>
      <c r="E143" s="607">
        <f t="shared" si="16"/>
        <v>-63</v>
      </c>
    </row>
    <row r="144" spans="1:5" s="421" customFormat="1" x14ac:dyDescent="0.2">
      <c r="A144" s="588"/>
      <c r="B144" s="592" t="s">
        <v>808</v>
      </c>
      <c r="C144" s="608">
        <f>SUM(C138+C139+C142)</f>
        <v>4712</v>
      </c>
      <c r="D144" s="608">
        <f>SUM(D138+D139+D142)</f>
        <v>4521</v>
      </c>
      <c r="E144" s="609">
        <f t="shared" si="16"/>
        <v>-191</v>
      </c>
    </row>
    <row r="145" spans="1:5" s="421" customFormat="1" x14ac:dyDescent="0.2">
      <c r="A145" s="588"/>
      <c r="B145" s="592" t="s">
        <v>138</v>
      </c>
      <c r="C145" s="608">
        <f>SUM(C137+C144)</f>
        <v>6533</v>
      </c>
      <c r="D145" s="608">
        <f>SUM(D137+D144)</f>
        <v>6106</v>
      </c>
      <c r="E145" s="609">
        <f t="shared" si="16"/>
        <v>-427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5952</v>
      </c>
      <c r="D149" s="610">
        <v>5499</v>
      </c>
      <c r="E149" s="607">
        <f t="shared" ref="E149:E157" si="17">D149-C149</f>
        <v>-453</v>
      </c>
    </row>
    <row r="150" spans="1:5" s="421" customFormat="1" x14ac:dyDescent="0.2">
      <c r="A150" s="588">
        <v>2</v>
      </c>
      <c r="B150" s="587" t="s">
        <v>636</v>
      </c>
      <c r="C150" s="610">
        <v>15882</v>
      </c>
      <c r="D150" s="610">
        <v>15270</v>
      </c>
      <c r="E150" s="607">
        <f t="shared" si="17"/>
        <v>-612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4608</v>
      </c>
      <c r="D151" s="610">
        <f>D152+D153</f>
        <v>4702</v>
      </c>
      <c r="E151" s="607">
        <f t="shared" si="17"/>
        <v>94</v>
      </c>
    </row>
    <row r="152" spans="1:5" s="421" customFormat="1" x14ac:dyDescent="0.2">
      <c r="A152" s="588">
        <v>4</v>
      </c>
      <c r="B152" s="587" t="s">
        <v>115</v>
      </c>
      <c r="C152" s="610">
        <v>4603</v>
      </c>
      <c r="D152" s="610">
        <v>4662</v>
      </c>
      <c r="E152" s="607">
        <f t="shared" si="17"/>
        <v>59</v>
      </c>
    </row>
    <row r="153" spans="1:5" s="421" customFormat="1" x14ac:dyDescent="0.2">
      <c r="A153" s="588">
        <v>5</v>
      </c>
      <c r="B153" s="587" t="s">
        <v>744</v>
      </c>
      <c r="C153" s="611">
        <v>5</v>
      </c>
      <c r="D153" s="610">
        <v>40</v>
      </c>
      <c r="E153" s="607">
        <f t="shared" si="17"/>
        <v>35</v>
      </c>
    </row>
    <row r="154" spans="1:5" s="421" customFormat="1" x14ac:dyDescent="0.2">
      <c r="A154" s="588">
        <v>6</v>
      </c>
      <c r="B154" s="587" t="s">
        <v>424</v>
      </c>
      <c r="C154" s="610">
        <v>132</v>
      </c>
      <c r="D154" s="610">
        <v>133</v>
      </c>
      <c r="E154" s="607">
        <f t="shared" si="17"/>
        <v>1</v>
      </c>
    </row>
    <row r="155" spans="1:5" s="421" customFormat="1" x14ac:dyDescent="0.2">
      <c r="A155" s="588">
        <v>7</v>
      </c>
      <c r="B155" s="587" t="s">
        <v>759</v>
      </c>
      <c r="C155" s="610">
        <v>696</v>
      </c>
      <c r="D155" s="610">
        <v>613</v>
      </c>
      <c r="E155" s="607">
        <f t="shared" si="17"/>
        <v>-83</v>
      </c>
    </row>
    <row r="156" spans="1:5" s="421" customFormat="1" x14ac:dyDescent="0.2">
      <c r="A156" s="588"/>
      <c r="B156" s="592" t="s">
        <v>809</v>
      </c>
      <c r="C156" s="608">
        <f>SUM(C150+C151+C154)</f>
        <v>20622</v>
      </c>
      <c r="D156" s="608">
        <f>SUM(D150+D151+D154)</f>
        <v>20105</v>
      </c>
      <c r="E156" s="609">
        <f t="shared" si="17"/>
        <v>-517</v>
      </c>
    </row>
    <row r="157" spans="1:5" s="421" customFormat="1" x14ac:dyDescent="0.2">
      <c r="A157" s="588"/>
      <c r="B157" s="592" t="s">
        <v>140</v>
      </c>
      <c r="C157" s="608">
        <f>SUM(C149+C156)</f>
        <v>26574</v>
      </c>
      <c r="D157" s="608">
        <f>SUM(D149+D156)</f>
        <v>25604</v>
      </c>
      <c r="E157" s="609">
        <f t="shared" si="17"/>
        <v>-970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3.2685337726523889</v>
      </c>
      <c r="D161" s="612">
        <f t="shared" si="18"/>
        <v>3.4694006309148264</v>
      </c>
      <c r="E161" s="613">
        <f t="shared" ref="E161:E169" si="19">D161-C161</f>
        <v>0.20086685826243755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4.5247863247863247</v>
      </c>
      <c r="D162" s="612">
        <f t="shared" si="18"/>
        <v>4.6286753561685359</v>
      </c>
      <c r="E162" s="613">
        <f t="shared" si="19"/>
        <v>0.10388903138221117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3.9384615384615387</v>
      </c>
      <c r="D163" s="612">
        <f t="shared" si="18"/>
        <v>3.9746407438715132</v>
      </c>
      <c r="E163" s="613">
        <f t="shared" si="19"/>
        <v>3.6179205409974546E-2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3.9443016281062553</v>
      </c>
      <c r="D164" s="612">
        <f t="shared" si="18"/>
        <v>3.9778156996587031</v>
      </c>
      <c r="E164" s="613">
        <f t="shared" si="19"/>
        <v>3.3514071552447788E-2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1.6666666666666667</v>
      </c>
      <c r="D165" s="612">
        <f t="shared" si="18"/>
        <v>3.6363636363636362</v>
      </c>
      <c r="E165" s="613">
        <f t="shared" si="19"/>
        <v>1.9696969696969695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4.125</v>
      </c>
      <c r="D166" s="612">
        <f t="shared" si="18"/>
        <v>3.4102564102564101</v>
      </c>
      <c r="E166" s="613">
        <f t="shared" si="19"/>
        <v>-0.71474358974358987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3.48</v>
      </c>
      <c r="D167" s="612">
        <f t="shared" si="18"/>
        <v>4.4744525547445253</v>
      </c>
      <c r="E167" s="613">
        <f t="shared" si="19"/>
        <v>0.99445255474452532</v>
      </c>
    </row>
    <row r="168" spans="1:5" s="421" customFormat="1" x14ac:dyDescent="0.2">
      <c r="A168" s="588"/>
      <c r="B168" s="592" t="s">
        <v>811</v>
      </c>
      <c r="C168" s="614">
        <f t="shared" si="18"/>
        <v>4.3764855687606108</v>
      </c>
      <c r="D168" s="614">
        <f t="shared" si="18"/>
        <v>4.44702499447025</v>
      </c>
      <c r="E168" s="615">
        <f t="shared" si="19"/>
        <v>7.0539425709639225E-2</v>
      </c>
    </row>
    <row r="169" spans="1:5" s="421" customFormat="1" x14ac:dyDescent="0.2">
      <c r="A169" s="588"/>
      <c r="B169" s="592" t="s">
        <v>745</v>
      </c>
      <c r="C169" s="614">
        <f t="shared" si="18"/>
        <v>4.0676565130874023</v>
      </c>
      <c r="D169" s="614">
        <f t="shared" si="18"/>
        <v>4.1932525384867345</v>
      </c>
      <c r="E169" s="615">
        <f t="shared" si="19"/>
        <v>0.12559602539933223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1.0895999999999999</v>
      </c>
      <c r="D173" s="617">
        <f t="shared" si="20"/>
        <v>1.1468</v>
      </c>
      <c r="E173" s="618">
        <f t="shared" ref="E173:E181" si="21">D173-C173</f>
        <v>5.720000000000014E-2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1.4476</v>
      </c>
      <c r="D174" s="617">
        <f t="shared" si="20"/>
        <v>1.3909999999999998</v>
      </c>
      <c r="E174" s="618">
        <f t="shared" si="21"/>
        <v>-5.6600000000000206E-2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1.0481935897435899</v>
      </c>
      <c r="D175" s="617">
        <f t="shared" si="20"/>
        <v>1.0128781910397295</v>
      </c>
      <c r="E175" s="618">
        <f t="shared" si="21"/>
        <v>-3.5315398703860357E-2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1.048</v>
      </c>
      <c r="D176" s="617">
        <f t="shared" si="20"/>
        <v>1.0141</v>
      </c>
      <c r="E176" s="618">
        <f t="shared" si="21"/>
        <v>-3.3900000000000041E-2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1.1234999999999999</v>
      </c>
      <c r="D177" s="617">
        <f t="shared" si="20"/>
        <v>0.88269999999999993</v>
      </c>
      <c r="E177" s="618">
        <f t="shared" si="21"/>
        <v>-0.24080000000000001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1.0033000000000001</v>
      </c>
      <c r="D178" s="617">
        <f t="shared" si="20"/>
        <v>0.95300000000000007</v>
      </c>
      <c r="E178" s="618">
        <f t="shared" si="21"/>
        <v>-5.0300000000000011E-2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1.0268999999999999</v>
      </c>
      <c r="D179" s="617">
        <f t="shared" si="20"/>
        <v>1.0423</v>
      </c>
      <c r="E179" s="618">
        <f t="shared" si="21"/>
        <v>1.540000000000008E-2</v>
      </c>
    </row>
    <row r="180" spans="1:5" s="421" customFormat="1" x14ac:dyDescent="0.2">
      <c r="A180" s="588"/>
      <c r="B180" s="592" t="s">
        <v>813</v>
      </c>
      <c r="C180" s="619">
        <f t="shared" si="20"/>
        <v>1.3454091893039049</v>
      </c>
      <c r="D180" s="619">
        <f t="shared" si="20"/>
        <v>1.2882793408537936</v>
      </c>
      <c r="E180" s="620">
        <f t="shared" si="21"/>
        <v>-5.7129848450111265E-2</v>
      </c>
    </row>
    <row r="181" spans="1:5" s="421" customFormat="1" x14ac:dyDescent="0.2">
      <c r="A181" s="588"/>
      <c r="B181" s="592" t="s">
        <v>724</v>
      </c>
      <c r="C181" s="619">
        <f t="shared" si="20"/>
        <v>1.2741052655747742</v>
      </c>
      <c r="D181" s="619">
        <f t="shared" si="20"/>
        <v>1.2515540288241074</v>
      </c>
      <c r="E181" s="620">
        <f t="shared" si="21"/>
        <v>-2.2551236750666837E-2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87780597</v>
      </c>
      <c r="D185" s="589">
        <v>86781671</v>
      </c>
      <c r="E185" s="590">
        <f>D185-C185</f>
        <v>-998926</v>
      </c>
    </row>
    <row r="186" spans="1:5" s="421" customFormat="1" ht="25.5" x14ac:dyDescent="0.2">
      <c r="A186" s="588">
        <v>2</v>
      </c>
      <c r="B186" s="587" t="s">
        <v>816</v>
      </c>
      <c r="C186" s="589">
        <v>51264194</v>
      </c>
      <c r="D186" s="589">
        <v>49753368</v>
      </c>
      <c r="E186" s="590">
        <f>D186-C186</f>
        <v>-1510826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36516403</v>
      </c>
      <c r="D188" s="622">
        <f>+D185-D186</f>
        <v>37028303</v>
      </c>
      <c r="E188" s="590">
        <f t="shared" ref="E188:E197" si="22">D188-C188</f>
        <v>511900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0.41599629357726969</v>
      </c>
      <c r="D189" s="623">
        <f>IF(D185=0,0,+D188/D185)</f>
        <v>0.42668345254610274</v>
      </c>
      <c r="E189" s="599">
        <f t="shared" si="22"/>
        <v>1.0687158968833044E-2</v>
      </c>
    </row>
    <row r="190" spans="1:5" s="421" customFormat="1" x14ac:dyDescent="0.2">
      <c r="A190" s="588">
        <v>5</v>
      </c>
      <c r="B190" s="587" t="s">
        <v>763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749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3214518</v>
      </c>
      <c r="D193" s="589">
        <v>2935378</v>
      </c>
      <c r="E193" s="622">
        <f t="shared" si="22"/>
        <v>-279140</v>
      </c>
    </row>
    <row r="194" spans="1:5" s="421" customFormat="1" x14ac:dyDescent="0.2">
      <c r="A194" s="588">
        <v>9</v>
      </c>
      <c r="B194" s="587" t="s">
        <v>819</v>
      </c>
      <c r="C194" s="589">
        <v>3378061</v>
      </c>
      <c r="D194" s="589">
        <v>2699503</v>
      </c>
      <c r="E194" s="622">
        <f t="shared" si="22"/>
        <v>-678558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6592579</v>
      </c>
      <c r="D195" s="589">
        <f>+D193+D194</f>
        <v>5634881</v>
      </c>
      <c r="E195" s="625">
        <f t="shared" si="22"/>
        <v>-957698</v>
      </c>
    </row>
    <row r="196" spans="1:5" s="421" customFormat="1" x14ac:dyDescent="0.2">
      <c r="A196" s="588">
        <v>11</v>
      </c>
      <c r="B196" s="587" t="s">
        <v>821</v>
      </c>
      <c r="C196" s="589">
        <v>8250545</v>
      </c>
      <c r="D196" s="589">
        <v>7533927</v>
      </c>
      <c r="E196" s="622">
        <f t="shared" si="22"/>
        <v>-716618</v>
      </c>
    </row>
    <row r="197" spans="1:5" s="421" customFormat="1" x14ac:dyDescent="0.2">
      <c r="A197" s="588">
        <v>12</v>
      </c>
      <c r="B197" s="587" t="s">
        <v>711</v>
      </c>
      <c r="C197" s="589">
        <v>124899985</v>
      </c>
      <c r="D197" s="589">
        <v>121998831</v>
      </c>
      <c r="E197" s="622">
        <f t="shared" si="22"/>
        <v>-2901154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1984.1615999999999</v>
      </c>
      <c r="D203" s="629">
        <v>1817.6780000000001</v>
      </c>
      <c r="E203" s="630">
        <f t="shared" ref="E203:E211" si="23">D203-C203</f>
        <v>-166.4835999999998</v>
      </c>
    </row>
    <row r="204" spans="1:5" s="421" customFormat="1" x14ac:dyDescent="0.2">
      <c r="A204" s="588">
        <v>2</v>
      </c>
      <c r="B204" s="587" t="s">
        <v>636</v>
      </c>
      <c r="C204" s="629">
        <v>5081.076</v>
      </c>
      <c r="D204" s="629">
        <v>4588.9089999999997</v>
      </c>
      <c r="E204" s="630">
        <f t="shared" si="23"/>
        <v>-492.16700000000037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1226.3865000000001</v>
      </c>
      <c r="D205" s="629">
        <f>D206+D207</f>
        <v>1198.2349000000002</v>
      </c>
      <c r="E205" s="630">
        <f t="shared" si="23"/>
        <v>-28.151599999999917</v>
      </c>
    </row>
    <row r="206" spans="1:5" s="421" customFormat="1" x14ac:dyDescent="0.2">
      <c r="A206" s="588">
        <v>4</v>
      </c>
      <c r="B206" s="587" t="s">
        <v>115</v>
      </c>
      <c r="C206" s="629">
        <v>1223.0160000000001</v>
      </c>
      <c r="D206" s="629">
        <v>1188.5252</v>
      </c>
      <c r="E206" s="630">
        <f t="shared" si="23"/>
        <v>-34.490800000000036</v>
      </c>
    </row>
    <row r="207" spans="1:5" s="421" customFormat="1" x14ac:dyDescent="0.2">
      <c r="A207" s="588">
        <v>5</v>
      </c>
      <c r="B207" s="587" t="s">
        <v>744</v>
      </c>
      <c r="C207" s="629">
        <v>3.3704999999999998</v>
      </c>
      <c r="D207" s="629">
        <v>9.7096999999999998</v>
      </c>
      <c r="E207" s="630">
        <f t="shared" si="23"/>
        <v>6.3391999999999999</v>
      </c>
    </row>
    <row r="208" spans="1:5" s="421" customFormat="1" x14ac:dyDescent="0.2">
      <c r="A208" s="588">
        <v>6</v>
      </c>
      <c r="B208" s="587" t="s">
        <v>424</v>
      </c>
      <c r="C208" s="629">
        <v>32.105600000000003</v>
      </c>
      <c r="D208" s="629">
        <v>37.167000000000002</v>
      </c>
      <c r="E208" s="630">
        <f t="shared" si="23"/>
        <v>5.061399999999999</v>
      </c>
    </row>
    <row r="209" spans="1:5" s="421" customFormat="1" x14ac:dyDescent="0.2">
      <c r="A209" s="588">
        <v>7</v>
      </c>
      <c r="B209" s="587" t="s">
        <v>759</v>
      </c>
      <c r="C209" s="629">
        <v>205.38</v>
      </c>
      <c r="D209" s="629">
        <v>142.79509999999999</v>
      </c>
      <c r="E209" s="630">
        <f t="shared" si="23"/>
        <v>-62.584900000000005</v>
      </c>
    </row>
    <row r="210" spans="1:5" s="421" customFormat="1" x14ac:dyDescent="0.2">
      <c r="A210" s="588"/>
      <c r="B210" s="592" t="s">
        <v>824</v>
      </c>
      <c r="C210" s="631">
        <f>C204+C205+C208</f>
        <v>6339.5680999999995</v>
      </c>
      <c r="D210" s="631">
        <f>D204+D205+D208</f>
        <v>5824.3109000000004</v>
      </c>
      <c r="E210" s="632">
        <f t="shared" si="23"/>
        <v>-515.2571999999991</v>
      </c>
    </row>
    <row r="211" spans="1:5" s="421" customFormat="1" x14ac:dyDescent="0.2">
      <c r="A211" s="588"/>
      <c r="B211" s="592" t="s">
        <v>725</v>
      </c>
      <c r="C211" s="631">
        <f>C210+C203</f>
        <v>8323.7296999999999</v>
      </c>
      <c r="D211" s="631">
        <f>D210+D203</f>
        <v>7641.9889000000003</v>
      </c>
      <c r="E211" s="632">
        <f t="shared" si="23"/>
        <v>-681.74079999999958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4703.4370833131461</v>
      </c>
      <c r="D215" s="633">
        <f>IF(D14*D137=0,0,D25/D14*D137)</f>
        <v>4512.7738648433942</v>
      </c>
      <c r="E215" s="633">
        <f t="shared" ref="E215:E223" si="24">D215-C215</f>
        <v>-190.66321846975188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3440.8812224995422</v>
      </c>
      <c r="D216" s="633">
        <f>IF(D15*D138=0,0,D26/D15*D138)</f>
        <v>3453.3959733957254</v>
      </c>
      <c r="E216" s="633">
        <f t="shared" si="24"/>
        <v>12.514750896183159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2724.8163713144281</v>
      </c>
      <c r="D217" s="633">
        <f>D218+D219</f>
        <v>2849.829407329089</v>
      </c>
      <c r="E217" s="633">
        <f t="shared" si="24"/>
        <v>125.01303601466088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2702.1339169033881</v>
      </c>
      <c r="D218" s="633">
        <f t="shared" si="25"/>
        <v>2841.1296679686284</v>
      </c>
      <c r="E218" s="633">
        <f t="shared" si="24"/>
        <v>138.99575106524026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22.68245441103992</v>
      </c>
      <c r="D219" s="633">
        <f t="shared" si="25"/>
        <v>8.6997393604605939</v>
      </c>
      <c r="E219" s="633">
        <f t="shared" si="24"/>
        <v>-13.982715050579326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56.06249558547232</v>
      </c>
      <c r="D220" s="633">
        <f t="shared" si="25"/>
        <v>63.520344399485012</v>
      </c>
      <c r="E220" s="633">
        <f t="shared" si="24"/>
        <v>7.4578488140126922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693.40399093449651</v>
      </c>
      <c r="D221" s="633">
        <f t="shared" si="25"/>
        <v>379.18273133071182</v>
      </c>
      <c r="E221" s="633">
        <f t="shared" si="24"/>
        <v>-314.22125960378469</v>
      </c>
    </row>
    <row r="222" spans="1:5" s="421" customFormat="1" x14ac:dyDescent="0.2">
      <c r="A222" s="588"/>
      <c r="B222" s="592" t="s">
        <v>826</v>
      </c>
      <c r="C222" s="634">
        <f>C216+C218+C219+C220</f>
        <v>6221.7600893994422</v>
      </c>
      <c r="D222" s="634">
        <f>D216+D218+D219+D220</f>
        <v>6366.7457251242995</v>
      </c>
      <c r="E222" s="634">
        <f t="shared" si="24"/>
        <v>144.98563572485727</v>
      </c>
    </row>
    <row r="223" spans="1:5" s="421" customFormat="1" x14ac:dyDescent="0.2">
      <c r="A223" s="588"/>
      <c r="B223" s="592" t="s">
        <v>827</v>
      </c>
      <c r="C223" s="634">
        <f>C215+C222</f>
        <v>10925.197172712589</v>
      </c>
      <c r="D223" s="634">
        <f>D215+D222</f>
        <v>10879.519589967695</v>
      </c>
      <c r="E223" s="634">
        <f t="shared" si="24"/>
        <v>-45.677582744894607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7590.4790214668001</v>
      </c>
      <c r="D227" s="636">
        <f t="shared" si="26"/>
        <v>7466.4632569685054</v>
      </c>
      <c r="E227" s="636">
        <f t="shared" ref="E227:E235" si="27">D227-C227</f>
        <v>-124.01576449829463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6800.3625610008585</v>
      </c>
      <c r="D228" s="636">
        <f t="shared" si="26"/>
        <v>7350.0004031459339</v>
      </c>
      <c r="E228" s="636">
        <f t="shared" si="27"/>
        <v>549.63784214507541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4129.0783941277887</v>
      </c>
      <c r="D229" s="636">
        <f t="shared" si="26"/>
        <v>3918.1432622267967</v>
      </c>
      <c r="E229" s="636">
        <f t="shared" si="27"/>
        <v>-210.93513190099202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4125.2134068564919</v>
      </c>
      <c r="D230" s="636">
        <f t="shared" si="26"/>
        <v>3908.9032357075812</v>
      </c>
      <c r="E230" s="636">
        <f t="shared" si="27"/>
        <v>-216.31017114891074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5531.5235128319246</v>
      </c>
      <c r="D231" s="636">
        <f t="shared" si="26"/>
        <v>5049.1776264972141</v>
      </c>
      <c r="E231" s="636">
        <f t="shared" si="27"/>
        <v>-482.34588633471049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6871.4492175819787</v>
      </c>
      <c r="D232" s="636">
        <f t="shared" si="26"/>
        <v>6645.6803077999293</v>
      </c>
      <c r="E232" s="636">
        <f t="shared" si="27"/>
        <v>-225.76890978204938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1325.1777193494986</v>
      </c>
      <c r="D233" s="636">
        <f t="shared" si="26"/>
        <v>2233.7951372280982</v>
      </c>
      <c r="E233" s="636">
        <f t="shared" si="27"/>
        <v>908.61741787859955</v>
      </c>
    </row>
    <row r="234" spans="1:5" x14ac:dyDescent="0.2">
      <c r="A234" s="588"/>
      <c r="B234" s="592" t="s">
        <v>829</v>
      </c>
      <c r="C234" s="637">
        <f t="shared" si="26"/>
        <v>6283.9638870666922</v>
      </c>
      <c r="D234" s="637">
        <f t="shared" si="26"/>
        <v>6639.4702590481556</v>
      </c>
      <c r="E234" s="637">
        <f t="shared" si="27"/>
        <v>355.50637198146342</v>
      </c>
    </row>
    <row r="235" spans="1:5" s="421" customFormat="1" x14ac:dyDescent="0.2">
      <c r="A235" s="588"/>
      <c r="B235" s="592" t="s">
        <v>830</v>
      </c>
      <c r="C235" s="637">
        <f t="shared" si="26"/>
        <v>6595.4032601515164</v>
      </c>
      <c r="D235" s="637">
        <f t="shared" si="26"/>
        <v>6836.1738918516357</v>
      </c>
      <c r="E235" s="637">
        <f t="shared" si="27"/>
        <v>240.77063170011934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6295.5828844938678</v>
      </c>
      <c r="D239" s="636">
        <f t="shared" si="28"/>
        <v>6768.9768897959302</v>
      </c>
      <c r="E239" s="638">
        <f t="shared" ref="E239:E247" si="29">D239-C239</f>
        <v>473.3940053020624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6355.1606655329442</v>
      </c>
      <c r="D240" s="636">
        <f t="shared" si="28"/>
        <v>6773.3101504139704</v>
      </c>
      <c r="E240" s="638">
        <f t="shared" si="29"/>
        <v>418.14948488102618</v>
      </c>
    </row>
    <row r="241" spans="1:5" x14ac:dyDescent="0.2">
      <c r="A241" s="588">
        <v>3</v>
      </c>
      <c r="B241" s="587" t="s">
        <v>778</v>
      </c>
      <c r="C241" s="636">
        <f t="shared" si="28"/>
        <v>3992.1314017768582</v>
      </c>
      <c r="D241" s="636">
        <f t="shared" si="28"/>
        <v>3314.3587387051202</v>
      </c>
      <c r="E241" s="638">
        <f t="shared" si="29"/>
        <v>-677.77266307173795</v>
      </c>
    </row>
    <row r="242" spans="1:5" x14ac:dyDescent="0.2">
      <c r="A242" s="588">
        <v>4</v>
      </c>
      <c r="B242" s="587" t="s">
        <v>115</v>
      </c>
      <c r="C242" s="636">
        <f t="shared" si="28"/>
        <v>4014.0197834568694</v>
      </c>
      <c r="D242" s="636">
        <f t="shared" si="28"/>
        <v>3307.7318173651793</v>
      </c>
      <c r="E242" s="638">
        <f t="shared" si="29"/>
        <v>-706.28796609169012</v>
      </c>
    </row>
    <row r="243" spans="1:5" x14ac:dyDescent="0.2">
      <c r="A243" s="588">
        <v>5</v>
      </c>
      <c r="B243" s="587" t="s">
        <v>744</v>
      </c>
      <c r="C243" s="636">
        <f t="shared" si="28"/>
        <v>1384.5944284016366</v>
      </c>
      <c r="D243" s="636">
        <f t="shared" si="28"/>
        <v>5478.5549342568593</v>
      </c>
      <c r="E243" s="638">
        <f t="shared" si="29"/>
        <v>4093.9605058552224</v>
      </c>
    </row>
    <row r="244" spans="1:5" x14ac:dyDescent="0.2">
      <c r="A244" s="588">
        <v>6</v>
      </c>
      <c r="B244" s="587" t="s">
        <v>424</v>
      </c>
      <c r="C244" s="636">
        <f t="shared" si="28"/>
        <v>4081.8553938811797</v>
      </c>
      <c r="D244" s="636">
        <f t="shared" si="28"/>
        <v>3824.7273735179824</v>
      </c>
      <c r="E244" s="638">
        <f t="shared" si="29"/>
        <v>-257.12802036319727</v>
      </c>
    </row>
    <row r="245" spans="1:5" x14ac:dyDescent="0.2">
      <c r="A245" s="588">
        <v>7</v>
      </c>
      <c r="B245" s="587" t="s">
        <v>759</v>
      </c>
      <c r="C245" s="636">
        <f t="shared" si="28"/>
        <v>1360.8257413233418</v>
      </c>
      <c r="D245" s="636">
        <f t="shared" si="28"/>
        <v>2328.2837720529237</v>
      </c>
      <c r="E245" s="638">
        <f t="shared" si="29"/>
        <v>967.45803072958188</v>
      </c>
    </row>
    <row r="246" spans="1:5" ht="25.5" x14ac:dyDescent="0.2">
      <c r="A246" s="588"/>
      <c r="B246" s="592" t="s">
        <v>832</v>
      </c>
      <c r="C246" s="637">
        <f t="shared" si="28"/>
        <v>5299.7892117667352</v>
      </c>
      <c r="D246" s="637">
        <f t="shared" si="28"/>
        <v>5195.6255877258527</v>
      </c>
      <c r="E246" s="639">
        <f t="shared" si="29"/>
        <v>-104.1636240408825</v>
      </c>
    </row>
    <row r="247" spans="1:5" x14ac:dyDescent="0.2">
      <c r="A247" s="588"/>
      <c r="B247" s="592" t="s">
        <v>833</v>
      </c>
      <c r="C247" s="637">
        <f t="shared" si="28"/>
        <v>5728.4911210861892</v>
      </c>
      <c r="D247" s="637">
        <f t="shared" si="28"/>
        <v>5848.2443525053604</v>
      </c>
      <c r="E247" s="639">
        <f t="shared" si="29"/>
        <v>119.75323141917124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6326076.1817068774</v>
      </c>
      <c r="D251" s="622">
        <f>((IF((IF(D15=0,0,D26/D15)*D138)=0,0,D59/(IF(D15=0,0,D26/D15)*D138)))-(IF((IF(D17=0,0,D28/D17)*D140)=0,0,D61/(IF(D17=0,0,D28/D17)*D140))))*(IF(D17=0,0,D28/D17)*D140)</f>
        <v>9846157.4186941851</v>
      </c>
      <c r="E251" s="622">
        <f>D251-C251</f>
        <v>3520081.2369873077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117021.26408263852</v>
      </c>
      <c r="D252" s="622">
        <f>IF(D231=0,0,(D228-D231)*D207)+IF(D243=0,0,(D240-D243)*D219)</f>
        <v>33604.331830589756</v>
      </c>
      <c r="E252" s="622">
        <f>D252-C252</f>
        <v>-83416.932252048762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4587585.2312888317</v>
      </c>
      <c r="D253" s="622">
        <f>IF(D233=0,0,(D228-D233)*D209+IF(D221=0,0,(D240-D245)*D221))</f>
        <v>2416046.2855512677</v>
      </c>
      <c r="E253" s="622">
        <f>D253-C253</f>
        <v>-2171538.945737564</v>
      </c>
    </row>
    <row r="254" spans="1:5" ht="15" customHeight="1" x14ac:dyDescent="0.2">
      <c r="A254" s="588"/>
      <c r="B254" s="592" t="s">
        <v>760</v>
      </c>
      <c r="C254" s="640">
        <f>+C251+C252+C253</f>
        <v>11030682.677078348</v>
      </c>
      <c r="D254" s="640">
        <f>+D251+D252+D253</f>
        <v>12295808.036076043</v>
      </c>
      <c r="E254" s="640">
        <f>D254-C254</f>
        <v>1265125.3589976951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259938571</v>
      </c>
      <c r="D258" s="625">
        <f>+D44</f>
        <v>268038161</v>
      </c>
      <c r="E258" s="622">
        <f t="shared" ref="E258:E271" si="30">D258-C258</f>
        <v>8099590</v>
      </c>
    </row>
    <row r="259" spans="1:5" x14ac:dyDescent="0.2">
      <c r="A259" s="588">
        <v>2</v>
      </c>
      <c r="B259" s="587" t="s">
        <v>743</v>
      </c>
      <c r="C259" s="622">
        <f>+(C43-C76)</f>
        <v>99346340</v>
      </c>
      <c r="D259" s="625">
        <f>+(D43-D76)</f>
        <v>109506924</v>
      </c>
      <c r="E259" s="622">
        <f t="shared" si="30"/>
        <v>10160584</v>
      </c>
    </row>
    <row r="260" spans="1:5" x14ac:dyDescent="0.2">
      <c r="A260" s="588">
        <v>3</v>
      </c>
      <c r="B260" s="587" t="s">
        <v>747</v>
      </c>
      <c r="C260" s="622">
        <f>C195</f>
        <v>6592579</v>
      </c>
      <c r="D260" s="622">
        <f>D195</f>
        <v>5634881</v>
      </c>
      <c r="E260" s="622">
        <f t="shared" si="30"/>
        <v>-957698</v>
      </c>
    </row>
    <row r="261" spans="1:5" x14ac:dyDescent="0.2">
      <c r="A261" s="588">
        <v>4</v>
      </c>
      <c r="B261" s="587" t="s">
        <v>748</v>
      </c>
      <c r="C261" s="622">
        <f>C188</f>
        <v>36516403</v>
      </c>
      <c r="D261" s="622">
        <f>D188</f>
        <v>37028303</v>
      </c>
      <c r="E261" s="622">
        <f t="shared" si="30"/>
        <v>511900</v>
      </c>
    </row>
    <row r="262" spans="1:5" x14ac:dyDescent="0.2">
      <c r="A262" s="588">
        <v>5</v>
      </c>
      <c r="B262" s="587" t="s">
        <v>749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750</v>
      </c>
      <c r="C263" s="622">
        <f>+C259+C260+C261+C262</f>
        <v>142455322</v>
      </c>
      <c r="D263" s="622">
        <f>+D259+D260+D261+D262</f>
        <v>152170108</v>
      </c>
      <c r="E263" s="622">
        <f t="shared" si="30"/>
        <v>9714786</v>
      </c>
    </row>
    <row r="264" spans="1:5" x14ac:dyDescent="0.2">
      <c r="A264" s="588">
        <v>7</v>
      </c>
      <c r="B264" s="587" t="s">
        <v>655</v>
      </c>
      <c r="C264" s="622">
        <f>+C258-C263</f>
        <v>117483249</v>
      </c>
      <c r="D264" s="622">
        <f>+D258-D263</f>
        <v>115868053</v>
      </c>
      <c r="E264" s="622">
        <f t="shared" si="30"/>
        <v>-1615196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117483249</v>
      </c>
      <c r="D266" s="622">
        <f>+D264+D265</f>
        <v>115868053</v>
      </c>
      <c r="E266" s="641">
        <f t="shared" si="30"/>
        <v>-1615196</v>
      </c>
    </row>
    <row r="267" spans="1:5" x14ac:dyDescent="0.2">
      <c r="A267" s="588">
        <v>10</v>
      </c>
      <c r="B267" s="587" t="s">
        <v>838</v>
      </c>
      <c r="C267" s="642">
        <f>IF(C258=0,0,C266/C258)</f>
        <v>0.45196543378704657</v>
      </c>
      <c r="D267" s="642">
        <f>IF(D258=0,0,D266/D258)</f>
        <v>0.43228192794532716</v>
      </c>
      <c r="E267" s="643">
        <f t="shared" si="30"/>
        <v>-1.9683505841719406E-2</v>
      </c>
    </row>
    <row r="268" spans="1:5" x14ac:dyDescent="0.2">
      <c r="A268" s="588">
        <v>11</v>
      </c>
      <c r="B268" s="587" t="s">
        <v>717</v>
      </c>
      <c r="C268" s="622">
        <f>+C260*C267</f>
        <v>2979617.8275103737</v>
      </c>
      <c r="D268" s="644">
        <f>+D260*D267</f>
        <v>2435857.2224224932</v>
      </c>
      <c r="E268" s="622">
        <f t="shared" si="30"/>
        <v>-543760.60508788051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5918664.5225415044</v>
      </c>
      <c r="D269" s="644">
        <f>((D17+D18+D28+D29)*D267)-(D50+D51+D61+D62)</f>
        <v>9248622.0398290344</v>
      </c>
      <c r="E269" s="622">
        <f t="shared" si="30"/>
        <v>3329957.51728753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8898282.350051878</v>
      </c>
      <c r="D271" s="622">
        <f>+D268+D269+D270</f>
        <v>11684479.262251528</v>
      </c>
      <c r="E271" s="625">
        <f t="shared" si="30"/>
        <v>2786196.91219965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0.61472488754370769</v>
      </c>
      <c r="D276" s="623">
        <f t="shared" si="31"/>
        <v>0.60165277312295296</v>
      </c>
      <c r="E276" s="650">
        <f t="shared" ref="E276:E284" si="32">D276-C276</f>
        <v>-1.3072114420754732E-2</v>
      </c>
    </row>
    <row r="277" spans="1:5" x14ac:dyDescent="0.2">
      <c r="A277" s="588">
        <v>2</v>
      </c>
      <c r="B277" s="587" t="s">
        <v>636</v>
      </c>
      <c r="C277" s="623">
        <f t="shared" si="31"/>
        <v>0.55713856767174841</v>
      </c>
      <c r="D277" s="623">
        <f t="shared" si="31"/>
        <v>0.54786770386439854</v>
      </c>
      <c r="E277" s="650">
        <f t="shared" si="32"/>
        <v>-9.2708638073498717E-3</v>
      </c>
    </row>
    <row r="278" spans="1:5" x14ac:dyDescent="0.2">
      <c r="A278" s="588">
        <v>3</v>
      </c>
      <c r="B278" s="587" t="s">
        <v>778</v>
      </c>
      <c r="C278" s="623">
        <f t="shared" si="31"/>
        <v>0.34787921189497301</v>
      </c>
      <c r="D278" s="623">
        <f t="shared" si="31"/>
        <v>0.29574607716544737</v>
      </c>
      <c r="E278" s="650">
        <f t="shared" si="32"/>
        <v>-5.2133134729525632E-2</v>
      </c>
    </row>
    <row r="279" spans="1:5" x14ac:dyDescent="0.2">
      <c r="A279" s="588">
        <v>4</v>
      </c>
      <c r="B279" s="587" t="s">
        <v>115</v>
      </c>
      <c r="C279" s="623">
        <f t="shared" si="31"/>
        <v>0.34708219100052257</v>
      </c>
      <c r="D279" s="623">
        <f t="shared" si="31"/>
        <v>0.29552907811018841</v>
      </c>
      <c r="E279" s="650">
        <f t="shared" si="32"/>
        <v>-5.1553112890334152E-2</v>
      </c>
    </row>
    <row r="280" spans="1:5" x14ac:dyDescent="0.2">
      <c r="A280" s="588">
        <v>5</v>
      </c>
      <c r="B280" s="587" t="s">
        <v>744</v>
      </c>
      <c r="C280" s="623">
        <f t="shared" si="31"/>
        <v>0.91887629374075896</v>
      </c>
      <c r="D280" s="623">
        <f t="shared" si="31"/>
        <v>0.31786353380533727</v>
      </c>
      <c r="E280" s="650">
        <f t="shared" si="32"/>
        <v>-0.60101275993542169</v>
      </c>
    </row>
    <row r="281" spans="1:5" x14ac:dyDescent="0.2">
      <c r="A281" s="588">
        <v>6</v>
      </c>
      <c r="B281" s="587" t="s">
        <v>424</v>
      </c>
      <c r="C281" s="623">
        <f t="shared" si="31"/>
        <v>0.62329457966633239</v>
      </c>
      <c r="D281" s="623">
        <f t="shared" si="31"/>
        <v>0.56786830972963032</v>
      </c>
      <c r="E281" s="650">
        <f t="shared" si="32"/>
        <v>-5.5426269936702077E-2</v>
      </c>
    </row>
    <row r="282" spans="1:5" x14ac:dyDescent="0.2">
      <c r="A282" s="588">
        <v>7</v>
      </c>
      <c r="B282" s="587" t="s">
        <v>759</v>
      </c>
      <c r="C282" s="623">
        <f t="shared" si="31"/>
        <v>0.17115099697900396</v>
      </c>
      <c r="D282" s="623">
        <f t="shared" si="31"/>
        <v>0.20525229672156148</v>
      </c>
      <c r="E282" s="650">
        <f t="shared" si="32"/>
        <v>3.4101299742557517E-2</v>
      </c>
    </row>
    <row r="283" spans="1:5" ht="29.25" customHeight="1" x14ac:dyDescent="0.2">
      <c r="A283" s="588"/>
      <c r="B283" s="592" t="s">
        <v>845</v>
      </c>
      <c r="C283" s="651">
        <f t="shared" si="31"/>
        <v>0.51784748393546609</v>
      </c>
      <c r="D283" s="651">
        <f t="shared" si="31"/>
        <v>0.49658360027196669</v>
      </c>
      <c r="E283" s="652">
        <f t="shared" si="32"/>
        <v>-2.1263883663499406E-2</v>
      </c>
    </row>
    <row r="284" spans="1:5" x14ac:dyDescent="0.2">
      <c r="A284" s="588"/>
      <c r="B284" s="592" t="s">
        <v>846</v>
      </c>
      <c r="C284" s="651">
        <f t="shared" si="31"/>
        <v>0.54124796988954171</v>
      </c>
      <c r="D284" s="651">
        <f t="shared" si="31"/>
        <v>0.52018282742925626</v>
      </c>
      <c r="E284" s="652">
        <f t="shared" si="32"/>
        <v>-2.1065142460285458E-2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0.46792954065536069</v>
      </c>
      <c r="D287" s="623">
        <f t="shared" si="33"/>
        <v>0.47562682182423693</v>
      </c>
      <c r="E287" s="650">
        <f t="shared" ref="E287:E295" si="34">D287-C287</f>
        <v>7.6972811688762466E-3</v>
      </c>
    </row>
    <row r="288" spans="1:5" x14ac:dyDescent="0.2">
      <c r="A288" s="588">
        <v>2</v>
      </c>
      <c r="B288" s="587" t="s">
        <v>636</v>
      </c>
      <c r="C288" s="623">
        <f t="shared" si="33"/>
        <v>0.35967405868508862</v>
      </c>
      <c r="D288" s="623">
        <f t="shared" si="33"/>
        <v>0.36296284434218784</v>
      </c>
      <c r="E288" s="650">
        <f t="shared" si="34"/>
        <v>3.2887856570992247E-3</v>
      </c>
    </row>
    <row r="289" spans="1:5" x14ac:dyDescent="0.2">
      <c r="A289" s="588">
        <v>3</v>
      </c>
      <c r="B289" s="587" t="s">
        <v>778</v>
      </c>
      <c r="C289" s="623">
        <f t="shared" si="33"/>
        <v>0.32172501923120206</v>
      </c>
      <c r="D289" s="623">
        <f t="shared" si="33"/>
        <v>0.24706084560826644</v>
      </c>
      <c r="E289" s="650">
        <f t="shared" si="34"/>
        <v>-7.466417362293562E-2</v>
      </c>
    </row>
    <row r="290" spans="1:5" x14ac:dyDescent="0.2">
      <c r="A290" s="588">
        <v>4</v>
      </c>
      <c r="B290" s="587" t="s">
        <v>115</v>
      </c>
      <c r="C290" s="623">
        <f t="shared" si="33"/>
        <v>0.32225831782664976</v>
      </c>
      <c r="D290" s="623">
        <f t="shared" si="33"/>
        <v>0.24660098526562463</v>
      </c>
      <c r="E290" s="650">
        <f t="shared" si="34"/>
        <v>-7.5657332561025137E-2</v>
      </c>
    </row>
    <row r="291" spans="1:5" x14ac:dyDescent="0.2">
      <c r="A291" s="588">
        <v>5</v>
      </c>
      <c r="B291" s="587" t="s">
        <v>744</v>
      </c>
      <c r="C291" s="623">
        <f t="shared" si="33"/>
        <v>0.20472071390857122</v>
      </c>
      <c r="D291" s="623">
        <f t="shared" si="33"/>
        <v>0.39072657665412391</v>
      </c>
      <c r="E291" s="650">
        <f t="shared" si="34"/>
        <v>0.1860058627455527</v>
      </c>
    </row>
    <row r="292" spans="1:5" x14ac:dyDescent="0.2">
      <c r="A292" s="588">
        <v>6</v>
      </c>
      <c r="B292" s="587" t="s">
        <v>424</v>
      </c>
      <c r="C292" s="623">
        <f t="shared" si="33"/>
        <v>0.36903861505091962</v>
      </c>
      <c r="D292" s="623">
        <f t="shared" si="33"/>
        <v>0.34293812664889028</v>
      </c>
      <c r="E292" s="650">
        <f t="shared" si="34"/>
        <v>-2.6100488402029332E-2</v>
      </c>
    </row>
    <row r="293" spans="1:5" x14ac:dyDescent="0.2">
      <c r="A293" s="588">
        <v>7</v>
      </c>
      <c r="B293" s="587" t="s">
        <v>759</v>
      </c>
      <c r="C293" s="623">
        <f t="shared" si="33"/>
        <v>0.17115109021526068</v>
      </c>
      <c r="D293" s="623">
        <f t="shared" si="33"/>
        <v>0.20525221742699654</v>
      </c>
      <c r="E293" s="650">
        <f t="shared" si="34"/>
        <v>3.410112721173586E-2</v>
      </c>
    </row>
    <row r="294" spans="1:5" ht="29.25" customHeight="1" x14ac:dyDescent="0.2">
      <c r="A294" s="588"/>
      <c r="B294" s="592" t="s">
        <v>848</v>
      </c>
      <c r="C294" s="651">
        <f t="shared" si="33"/>
        <v>0.34626123900616668</v>
      </c>
      <c r="D294" s="651">
        <f t="shared" si="33"/>
        <v>0.31996552300597647</v>
      </c>
      <c r="E294" s="652">
        <f t="shared" si="34"/>
        <v>-2.6295716000190206E-2</v>
      </c>
    </row>
    <row r="295" spans="1:5" x14ac:dyDescent="0.2">
      <c r="A295" s="588"/>
      <c r="B295" s="592" t="s">
        <v>849</v>
      </c>
      <c r="C295" s="651">
        <f t="shared" si="33"/>
        <v>0.39483406282863004</v>
      </c>
      <c r="D295" s="651">
        <f t="shared" si="33"/>
        <v>0.37961213390608667</v>
      </c>
      <c r="E295" s="652">
        <f t="shared" si="34"/>
        <v>-1.5221928922543371E-2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117483249</v>
      </c>
      <c r="D301" s="590">
        <f>+D48+D47+D50+D51+D52+D59+D58+D61+D62+D63</f>
        <v>115868054</v>
      </c>
      <c r="E301" s="590">
        <f>D301-C301</f>
        <v>-1615195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117483249</v>
      </c>
      <c r="D303" s="593">
        <f>+D301+D302</f>
        <v>115868054</v>
      </c>
      <c r="E303" s="593">
        <f>D303-C303</f>
        <v>-1615195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-805705</v>
      </c>
      <c r="D305" s="654">
        <v>-1245995</v>
      </c>
      <c r="E305" s="655">
        <f>D305-C305</f>
        <v>-440290</v>
      </c>
    </row>
    <row r="306" spans="1:5" x14ac:dyDescent="0.2">
      <c r="A306" s="588">
        <v>4</v>
      </c>
      <c r="B306" s="592" t="s">
        <v>856</v>
      </c>
      <c r="C306" s="593">
        <f>+C303+C305+C194+C190-C191</f>
        <v>120055605</v>
      </c>
      <c r="D306" s="593">
        <f>+D303+D305</f>
        <v>114622059</v>
      </c>
      <c r="E306" s="656">
        <f>D306-C306</f>
        <v>-5433546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116677547</v>
      </c>
      <c r="D308" s="589">
        <v>114622050</v>
      </c>
      <c r="E308" s="590">
        <f>D308-C308</f>
        <v>-2055497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3378058</v>
      </c>
      <c r="D310" s="658">
        <f>D306-D308</f>
        <v>9</v>
      </c>
      <c r="E310" s="656">
        <f>D310-C310</f>
        <v>-3378049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259938571</v>
      </c>
      <c r="D314" s="590">
        <f>+D14+D15+D16+D19+D25+D26+D27+D30</f>
        <v>268038161</v>
      </c>
      <c r="E314" s="590">
        <f>D314-C314</f>
        <v>8099590</v>
      </c>
    </row>
    <row r="315" spans="1:5" x14ac:dyDescent="0.2">
      <c r="A315" s="588">
        <v>2</v>
      </c>
      <c r="B315" s="659" t="s">
        <v>861</v>
      </c>
      <c r="C315" s="589">
        <v>-3214517</v>
      </c>
      <c r="D315" s="589">
        <v>-2935378</v>
      </c>
      <c r="E315" s="590">
        <f>D315-C315</f>
        <v>279139</v>
      </c>
    </row>
    <row r="316" spans="1:5" x14ac:dyDescent="0.2">
      <c r="A316" s="588"/>
      <c r="B316" s="592" t="s">
        <v>862</v>
      </c>
      <c r="C316" s="657">
        <f>C314+C315</f>
        <v>256724054</v>
      </c>
      <c r="D316" s="657">
        <f>D314+D315</f>
        <v>265102783</v>
      </c>
      <c r="E316" s="593">
        <f>D316-C316</f>
        <v>8378729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256724054</v>
      </c>
      <c r="D318" s="589">
        <v>265102773</v>
      </c>
      <c r="E318" s="590">
        <f>D318-C318</f>
        <v>8378719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10</v>
      </c>
      <c r="E320" s="593">
        <f>D320-C320</f>
        <v>10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6592579</v>
      </c>
      <c r="D324" s="589">
        <f>+D193+D194</f>
        <v>5634881</v>
      </c>
      <c r="E324" s="590">
        <f>D324-C324</f>
        <v>-957698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6592579</v>
      </c>
      <c r="D326" s="657">
        <f>D324+D325</f>
        <v>5634881</v>
      </c>
      <c r="E326" s="593">
        <f>D326-C326</f>
        <v>-957698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6592579</v>
      </c>
      <c r="D328" s="589">
        <v>5634881</v>
      </c>
      <c r="E328" s="590">
        <f>D328-C328</f>
        <v>-957698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FILING&amp;RCHARLOTTE HUNGERFORD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22557240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61563189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15874618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15720382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154236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434960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1554063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77872767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100430007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64224431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64444398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38230894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38108911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121983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708431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4301269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103383723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167608154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86781671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181256490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268038161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13571626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33728483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4694856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4645830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49026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247000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318975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38670339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52241965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30546862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23390922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9445357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9397695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47662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242948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882845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33079227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63626089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44118488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71749566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115868054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1585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3299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1183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1172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11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39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137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4521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6106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1.1468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1.391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1.0128781910397295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1.0141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0.88270000000000004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0.95299999999999996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1.0423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1.2882793408537936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1.2515540288241074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86781671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49753368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37028303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0.42668345254610274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2935378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2699503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5634881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7533927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121998831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115868054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115868054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-1245995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114622059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114622050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9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268038161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-2935378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265102783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265102773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10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5634881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5634881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5634881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FILING&amp;RCHARLOTTE HUNGERFORD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883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3409</v>
      </c>
      <c r="D12" s="185">
        <v>1741</v>
      </c>
      <c r="E12" s="185">
        <f>+D12-C12</f>
        <v>-1668</v>
      </c>
      <c r="F12" s="77">
        <f>IF(C12=0,0,+E12/C12)</f>
        <v>-0.48929304781460842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3409</v>
      </c>
      <c r="D13" s="185">
        <v>1736</v>
      </c>
      <c r="E13" s="185">
        <f>+D13-C13</f>
        <v>-1673</v>
      </c>
      <c r="F13" s="77">
        <f>IF(C13=0,0,+E13/C13)</f>
        <v>-0.49075975359342916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3214518</v>
      </c>
      <c r="D15" s="76">
        <v>2935378</v>
      </c>
      <c r="E15" s="76">
        <f>+D15-C15</f>
        <v>-279140</v>
      </c>
      <c r="F15" s="77">
        <f>IF(C15=0,0,+E15/C15)</f>
        <v>-8.6837280114779258E-2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942.95042534467586</v>
      </c>
      <c r="D16" s="79">
        <f>IF(D13=0,0,+D15/+D13)</f>
        <v>1690.8859447004609</v>
      </c>
      <c r="E16" s="79">
        <f>+D16-C16</f>
        <v>747.935519355785</v>
      </c>
      <c r="F16" s="80">
        <f>IF(C16=0,0,+E16/C16)</f>
        <v>0.79318647009718757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0.50197899999999995</v>
      </c>
      <c r="D18" s="704">
        <v>0.46571600000000002</v>
      </c>
      <c r="E18" s="704">
        <f>+D18-C18</f>
        <v>-3.6262999999999934E-2</v>
      </c>
      <c r="F18" s="77">
        <f>IF(C18=0,0,+E18/C18)</f>
        <v>-7.2240073787947182E-2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1613620.531122</v>
      </c>
      <c r="D19" s="79">
        <f>+D15*D18</f>
        <v>1367052.500648</v>
      </c>
      <c r="E19" s="79">
        <f>+D19-C19</f>
        <v>-246568.03047399991</v>
      </c>
      <c r="F19" s="80">
        <f>IF(C19=0,0,+E19/C19)</f>
        <v>-0.15280422237969021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473.34131156409501</v>
      </c>
      <c r="D20" s="79">
        <f>IF(D13=0,0,+D19/D13)</f>
        <v>787.4726386221198</v>
      </c>
      <c r="E20" s="79">
        <f>+D20-C20</f>
        <v>314.13132705802479</v>
      </c>
      <c r="F20" s="80">
        <f>IF(C20=0,0,+E20/C20)</f>
        <v>0.66364654718181804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748931</v>
      </c>
      <c r="D22" s="76">
        <v>1227241</v>
      </c>
      <c r="E22" s="76">
        <f>+D22-C22</f>
        <v>478310</v>
      </c>
      <c r="F22" s="77">
        <f>IF(C22=0,0,+E22/C22)</f>
        <v>0.63865696572848496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1278080</v>
      </c>
      <c r="D23" s="185">
        <v>762562</v>
      </c>
      <c r="E23" s="185">
        <f>+D23-C23</f>
        <v>-515518</v>
      </c>
      <c r="F23" s="77">
        <f>IF(C23=0,0,+E23/C23)</f>
        <v>-0.40335346770155234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1187507</v>
      </c>
      <c r="D24" s="185">
        <v>945575</v>
      </c>
      <c r="E24" s="185">
        <f>+D24-C24</f>
        <v>-241932</v>
      </c>
      <c r="F24" s="77">
        <f>IF(C24=0,0,+E24/C24)</f>
        <v>-0.2037310095856277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3214518</v>
      </c>
      <c r="D25" s="79">
        <f>+D22+D23+D24</f>
        <v>2935378</v>
      </c>
      <c r="E25" s="79">
        <f>+E22+E23+E24</f>
        <v>-279140</v>
      </c>
      <c r="F25" s="80">
        <f>IF(C25=0,0,+E25/C25)</f>
        <v>-8.6837280114779258E-2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194</v>
      </c>
      <c r="D27" s="185">
        <v>243</v>
      </c>
      <c r="E27" s="185">
        <f>+D27-C27</f>
        <v>49</v>
      </c>
      <c r="F27" s="77">
        <f>IF(C27=0,0,+E27/C27)</f>
        <v>0.25257731958762886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64</v>
      </c>
      <c r="D28" s="185">
        <v>46</v>
      </c>
      <c r="E28" s="185">
        <f>+D28-C28</f>
        <v>-18</v>
      </c>
      <c r="F28" s="77">
        <f>IF(C28=0,0,+E28/C28)</f>
        <v>-0.28125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2380</v>
      </c>
      <c r="D29" s="185">
        <v>1728</v>
      </c>
      <c r="E29" s="185">
        <f>+D29-C29</f>
        <v>-652</v>
      </c>
      <c r="F29" s="77">
        <f>IF(C29=0,0,+E29/C29)</f>
        <v>-0.2739495798319328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4499</v>
      </c>
      <c r="D30" s="185">
        <v>3983</v>
      </c>
      <c r="E30" s="185">
        <f>+D30-C30</f>
        <v>-516</v>
      </c>
      <c r="F30" s="77">
        <f>IF(C30=0,0,+E30/C30)</f>
        <v>-0.11469215381195821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846765</v>
      </c>
      <c r="D33" s="76">
        <v>738812</v>
      </c>
      <c r="E33" s="76">
        <f>+D33-C33</f>
        <v>-107953</v>
      </c>
      <c r="F33" s="77">
        <f>IF(C33=0,0,+E33/C33)</f>
        <v>-0.12748873654437773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1146291</v>
      </c>
      <c r="D34" s="185">
        <v>879559</v>
      </c>
      <c r="E34" s="185">
        <f>+D34-C34</f>
        <v>-266732</v>
      </c>
      <c r="F34" s="77">
        <f>IF(C34=0,0,+E34/C34)</f>
        <v>-0.23269134975324765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1385005</v>
      </c>
      <c r="D35" s="185">
        <v>1081132</v>
      </c>
      <c r="E35" s="185">
        <f>+D35-C35</f>
        <v>-303873</v>
      </c>
      <c r="F35" s="77">
        <f>IF(C35=0,0,+E35/C35)</f>
        <v>-0.219402096021314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3378061</v>
      </c>
      <c r="D36" s="79">
        <f>+D33+D34+D35</f>
        <v>2699503</v>
      </c>
      <c r="E36" s="79">
        <f>+E33+E34+E35</f>
        <v>-678558</v>
      </c>
      <c r="F36" s="80">
        <f>IF(C36=0,0,+E36/C36)</f>
        <v>-0.20087203872280576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3214518</v>
      </c>
      <c r="D39" s="76">
        <f>+D25</f>
        <v>2935378</v>
      </c>
      <c r="E39" s="76">
        <f>+D39-C39</f>
        <v>-279140</v>
      </c>
      <c r="F39" s="77">
        <f>IF(C39=0,0,+E39/C39)</f>
        <v>-8.6837280114779258E-2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3378061</v>
      </c>
      <c r="D40" s="185">
        <f>+D36</f>
        <v>2699503</v>
      </c>
      <c r="E40" s="185">
        <f>+D40-C40</f>
        <v>-678558</v>
      </c>
      <c r="F40" s="77">
        <f>IF(C40=0,0,+E40/C40)</f>
        <v>-0.20087203872280576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6592579</v>
      </c>
      <c r="D41" s="79">
        <f>+D39+D40</f>
        <v>5634881</v>
      </c>
      <c r="E41" s="79">
        <f>+E39+E40</f>
        <v>-957698</v>
      </c>
      <c r="F41" s="80">
        <f>IF(C41=0,0,+E41/C41)</f>
        <v>-0.14526909726830728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1595696</v>
      </c>
      <c r="D43" s="76">
        <f t="shared" si="0"/>
        <v>1966053</v>
      </c>
      <c r="E43" s="76">
        <f>+D43-C43</f>
        <v>370357</v>
      </c>
      <c r="F43" s="77">
        <f>IF(C43=0,0,+E43/C43)</f>
        <v>0.2320974671867323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2424371</v>
      </c>
      <c r="D44" s="185">
        <f t="shared" si="0"/>
        <v>1642121</v>
      </c>
      <c r="E44" s="185">
        <f>+D44-C44</f>
        <v>-782250</v>
      </c>
      <c r="F44" s="77">
        <f>IF(C44=0,0,+E44/C44)</f>
        <v>-0.32266101186658314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2572512</v>
      </c>
      <c r="D45" s="185">
        <f t="shared" si="0"/>
        <v>2026707</v>
      </c>
      <c r="E45" s="185">
        <f>+D45-C45</f>
        <v>-545805</v>
      </c>
      <c r="F45" s="77">
        <f>IF(C45=0,0,+E45/C45)</f>
        <v>-0.21216810650445944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6592579</v>
      </c>
      <c r="D46" s="79">
        <f>+D43+D44+D45</f>
        <v>5634881</v>
      </c>
      <c r="E46" s="79">
        <f>+E43+E44+E45</f>
        <v>-957698</v>
      </c>
      <c r="F46" s="80">
        <f>IF(C46=0,0,+E46/C46)</f>
        <v>-0.14526909726830728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912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FILING&amp;RCHARLOTTE HUNGERFORD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913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914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87780597</v>
      </c>
      <c r="D15" s="76">
        <v>86781671</v>
      </c>
      <c r="E15" s="76">
        <f>+D15-C15</f>
        <v>-998926</v>
      </c>
      <c r="F15" s="77">
        <f>IF(C15=0,0,E15/C15)</f>
        <v>-1.1379804126873278E-2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36516403</v>
      </c>
      <c r="D17" s="76">
        <v>37028303</v>
      </c>
      <c r="E17" s="76">
        <f>+D17-C17</f>
        <v>511900</v>
      </c>
      <c r="F17" s="77">
        <f>IF(C17=0,0,E17/C17)</f>
        <v>1.4018357722692457E-2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51264194</v>
      </c>
      <c r="D19" s="79">
        <f>+D15-D17</f>
        <v>49753368</v>
      </c>
      <c r="E19" s="79">
        <f>+D19-C19</f>
        <v>-1510826</v>
      </c>
      <c r="F19" s="80">
        <f>IF(C19=0,0,E19/C19)</f>
        <v>-2.9471369431849449E-2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0.41599629357726969</v>
      </c>
      <c r="D21" s="720">
        <f>IF(D15=0,0,D17/D15)</f>
        <v>0.42668345254610274</v>
      </c>
      <c r="E21" s="720">
        <f>+D21-C21</f>
        <v>1.0687158968833044E-2</v>
      </c>
      <c r="F21" s="80">
        <f>IF(C21=0,0,E21/C21)</f>
        <v>2.5690514876782058E-2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FILING&amp;R&amp;12CHARLOTTE HUNGERFORD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89321803</v>
      </c>
      <c r="D10" s="744">
        <v>101429210</v>
      </c>
      <c r="E10" s="744">
        <v>100430007</v>
      </c>
    </row>
    <row r="11" spans="1:6" ht="26.1" customHeight="1" x14ac:dyDescent="0.25">
      <c r="A11" s="742">
        <v>2</v>
      </c>
      <c r="B11" s="743" t="s">
        <v>933</v>
      </c>
      <c r="C11" s="744">
        <v>147747616</v>
      </c>
      <c r="D11" s="744">
        <v>158509361</v>
      </c>
      <c r="E11" s="744">
        <v>167608154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237069419</v>
      </c>
      <c r="D12" s="744">
        <f>+D11+D10</f>
        <v>259938571</v>
      </c>
      <c r="E12" s="744">
        <f>+E11+E10</f>
        <v>268038161</v>
      </c>
    </row>
    <row r="13" spans="1:6" ht="26.1" customHeight="1" x14ac:dyDescent="0.25">
      <c r="A13" s="742">
        <v>4</v>
      </c>
      <c r="B13" s="743" t="s">
        <v>507</v>
      </c>
      <c r="C13" s="744">
        <v>116313832</v>
      </c>
      <c r="D13" s="744">
        <v>116677548</v>
      </c>
      <c r="E13" s="744">
        <v>114622054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121882681</v>
      </c>
      <c r="D16" s="744">
        <v>124899985</v>
      </c>
      <c r="E16" s="744">
        <v>121998831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25249</v>
      </c>
      <c r="D19" s="747">
        <v>26574</v>
      </c>
      <c r="E19" s="747">
        <v>25604</v>
      </c>
    </row>
    <row r="20" spans="1:5" ht="26.1" customHeight="1" x14ac:dyDescent="0.25">
      <c r="A20" s="742">
        <v>2</v>
      </c>
      <c r="B20" s="743" t="s">
        <v>381</v>
      </c>
      <c r="C20" s="748">
        <v>6338</v>
      </c>
      <c r="D20" s="748">
        <v>6533</v>
      </c>
      <c r="E20" s="748">
        <v>6106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3.9837488166614072</v>
      </c>
      <c r="D21" s="749">
        <f>IF(D20=0,0,+D19/D20)</f>
        <v>4.0676565130874023</v>
      </c>
      <c r="E21" s="749">
        <f>IF(E20=0,0,+E19/E20)</f>
        <v>4.1932525384867345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67013.490091898391</v>
      </c>
      <c r="D22" s="748">
        <f>IF(D10=0,0,D19*(D12/D10))</f>
        <v>68102.744621140198</v>
      </c>
      <c r="E22" s="748">
        <f>IF(E10=0,0,E19*(E12/E10))</f>
        <v>68334.646977013545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16821.715719531545</v>
      </c>
      <c r="D23" s="748">
        <f>IF(D10=0,0,D20*(D12/D10))</f>
        <v>16742.501340028182</v>
      </c>
      <c r="E23" s="748">
        <f>IF(E10=0,0,E20*(E12/E10))</f>
        <v>16296.334730575094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1.2411220574313666</v>
      </c>
      <c r="D26" s="750">
        <v>1.2741052655747744</v>
      </c>
      <c r="E26" s="750">
        <v>1.2515540288241074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31337.090828084576</v>
      </c>
      <c r="D27" s="748">
        <f>D19*D26</f>
        <v>33858.073327384052</v>
      </c>
      <c r="E27" s="748">
        <f>E19*E26</f>
        <v>32044.789354012446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7866.2316000000019</v>
      </c>
      <c r="D28" s="748">
        <f>D20*D26</f>
        <v>8323.7297000000017</v>
      </c>
      <c r="E28" s="748">
        <f>E20*E26</f>
        <v>7641.9888999999994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83171.920698513437</v>
      </c>
      <c r="D29" s="748">
        <f>D22*D26</f>
        <v>86770.065521888871</v>
      </c>
      <c r="E29" s="748">
        <f>E22*E26</f>
        <v>85524.502732354405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20877.802423350553</v>
      </c>
      <c r="D30" s="748">
        <f>D23*D26</f>
        <v>21331.709116222624</v>
      </c>
      <c r="E30" s="748">
        <f>E23*E26</f>
        <v>20395.743387117484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9389.2597330587341</v>
      </c>
      <c r="D33" s="744">
        <f>IF(D19=0,0,D12/D19)</f>
        <v>9781.6877775269058</v>
      </c>
      <c r="E33" s="744">
        <f>IF(E19=0,0,E12/E19)</f>
        <v>10468.604944539915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37404.452350899337</v>
      </c>
      <c r="D34" s="744">
        <f>IF(D20=0,0,D12/D20)</f>
        <v>39788.545997244757</v>
      </c>
      <c r="E34" s="744">
        <f>IF(E20=0,0,E12/E20)</f>
        <v>43897.504258106783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3537.6372529605133</v>
      </c>
      <c r="D35" s="744">
        <f>IF(D22=0,0,D12/D22)</f>
        <v>3816.8589598856029</v>
      </c>
      <c r="E35" s="744">
        <f>IF(E22=0,0,E12/E22)</f>
        <v>3922.4342680831123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14093.058220258758</v>
      </c>
      <c r="D36" s="744">
        <f>IF(D23=0,0,D12/D23)</f>
        <v>15525.67120771468</v>
      </c>
      <c r="E36" s="744">
        <f>IF(E23=0,0,E12/E23)</f>
        <v>16447.757451686866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2850.3540258417675</v>
      </c>
      <c r="D37" s="744">
        <f>IF(D29=0,0,D12/D29)</f>
        <v>2995.7171224496442</v>
      </c>
      <c r="E37" s="744">
        <f>IF(E29=0,0,E12/E29)</f>
        <v>3134.0510898825682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11355.094477513221</v>
      </c>
      <c r="D38" s="744">
        <f>IF(D30=0,0,D12/D30)</f>
        <v>12185.548264499746</v>
      </c>
      <c r="E38" s="744">
        <f>IF(E30=0,0,E12/E30)</f>
        <v>13141.867688397195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1332.8928679510541</v>
      </c>
      <c r="D39" s="744">
        <f>IF(D22=0,0,D10/D22)</f>
        <v>1489.3556869735132</v>
      </c>
      <c r="E39" s="744">
        <f>IF(E22=0,0,E10/E22)</f>
        <v>1469.6791663207496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5309.9103854364421</v>
      </c>
      <c r="D40" s="744">
        <f>IF(D23=0,0,D10/D23)</f>
        <v>6058.1873604215743</v>
      </c>
      <c r="E40" s="744">
        <f>IF(E23=0,0,E10/E23)</f>
        <v>6162.7358949355512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4606.6708384490476</v>
      </c>
      <c r="D43" s="744">
        <f>IF(D19=0,0,D13/D19)</f>
        <v>4390.6656130051933</v>
      </c>
      <c r="E43" s="744">
        <f>IF(E19=0,0,E13/E19)</f>
        <v>4476.7244961724728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18351.819501420006</v>
      </c>
      <c r="D44" s="744">
        <f>IF(D20=0,0,D13/D20)</f>
        <v>17859.719577529464</v>
      </c>
      <c r="E44" s="744">
        <f>IF(E20=0,0,E13/E20)</f>
        <v>18772.036357680969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1735.6778738205396</v>
      </c>
      <c r="D45" s="744">
        <f>IF(D22=0,0,D13/D22)</f>
        <v>1713.2576469433714</v>
      </c>
      <c r="E45" s="744">
        <f>IF(E22=0,0,E13/E22)</f>
        <v>1677.3636664656606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6914.5046759379629</v>
      </c>
      <c r="D46" s="744">
        <f>IF(D23=0,0,D13/D23)</f>
        <v>6968.9436261860019</v>
      </c>
      <c r="E46" s="744">
        <f>IF(E23=0,0,E13/E23)</f>
        <v>7033.6094523725469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1398.4747619526709</v>
      </c>
      <c r="D47" s="744">
        <f>IF(D29=0,0,D13/D29)</f>
        <v>1344.6751169107574</v>
      </c>
      <c r="E47" s="744">
        <f>IF(E29=0,0,E13/E29)</f>
        <v>1340.2247348775034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5571.1721780597964</v>
      </c>
      <c r="D48" s="744">
        <f>IF(D30=0,0,D13/D30)</f>
        <v>5469.6764972886067</v>
      </c>
      <c r="E48" s="744">
        <f>IF(E30=0,0,E13/E30)</f>
        <v>5619.9007716678016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4827.2280486355894</v>
      </c>
      <c r="D51" s="744">
        <f>IF(D19=0,0,D16/D19)</f>
        <v>4700.0822232257096</v>
      </c>
      <c r="E51" s="744">
        <f>IF(E19=0,0,E16/E19)</f>
        <v>4764.8348304952351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19230.464026506783</v>
      </c>
      <c r="D52" s="744">
        <f>IF(D20=0,0,D16/D20)</f>
        <v>19118.320067350374</v>
      </c>
      <c r="E52" s="744">
        <f>IF(E20=0,0,E16/E20)</f>
        <v>19980.155748444155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1818.7782912493767</v>
      </c>
      <c r="D53" s="744">
        <f>IF(D22=0,0,D16/D22)</f>
        <v>1833.9934123775242</v>
      </c>
      <c r="E53" s="744">
        <f>IF(E22=0,0,E16/E22)</f>
        <v>1785.3144253607991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7245.555865534162</v>
      </c>
      <c r="D54" s="744">
        <f>IF(D23=0,0,D16/D23)</f>
        <v>7460.0552488168269</v>
      </c>
      <c r="E54" s="744">
        <f>IF(E23=0,0,E16/E23)</f>
        <v>7486.2742461411563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1465.4306402494617</v>
      </c>
      <c r="D55" s="744">
        <f>IF(D29=0,0,D16/D29)</f>
        <v>1439.4363338182839</v>
      </c>
      <c r="E55" s="744">
        <f>IF(E29=0,0,E16/E29)</f>
        <v>1426.4781098089584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5837.9075789931621</v>
      </c>
      <c r="D56" s="744">
        <f>IF(D30=0,0,D16/D30)</f>
        <v>5855.1325784305945</v>
      </c>
      <c r="E56" s="744">
        <f>IF(E30=0,0,E16/E30)</f>
        <v>5981.5829550521721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21604919</v>
      </c>
      <c r="D59" s="752">
        <v>22590903</v>
      </c>
      <c r="E59" s="752">
        <v>22031082</v>
      </c>
    </row>
    <row r="60" spans="1:6" ht="26.1" customHeight="1" x14ac:dyDescent="0.25">
      <c r="A60" s="742">
        <v>2</v>
      </c>
      <c r="B60" s="743" t="s">
        <v>969</v>
      </c>
      <c r="C60" s="752">
        <v>6508150</v>
      </c>
      <c r="D60" s="752">
        <v>6262671</v>
      </c>
      <c r="E60" s="752">
        <v>5451956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28113069</v>
      </c>
      <c r="D61" s="755">
        <f>D59+D60</f>
        <v>28853574</v>
      </c>
      <c r="E61" s="755">
        <f>E59+E60</f>
        <v>27483038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7857318</v>
      </c>
      <c r="D64" s="744">
        <v>8984103</v>
      </c>
      <c r="E64" s="752">
        <v>8726511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2366896</v>
      </c>
      <c r="D65" s="752">
        <v>2490581</v>
      </c>
      <c r="E65" s="752">
        <v>2159520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10224214</v>
      </c>
      <c r="D66" s="757">
        <f>D64+D65</f>
        <v>11474684</v>
      </c>
      <c r="E66" s="757">
        <f>E64+E65</f>
        <v>10886031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25466493</v>
      </c>
      <c r="D69" s="752">
        <v>26897491</v>
      </c>
      <c r="E69" s="752">
        <v>25945384</v>
      </c>
    </row>
    <row r="70" spans="1:6" ht="26.1" customHeight="1" x14ac:dyDescent="0.25">
      <c r="A70" s="742">
        <v>2</v>
      </c>
      <c r="B70" s="743" t="s">
        <v>977</v>
      </c>
      <c r="C70" s="752">
        <v>7671389</v>
      </c>
      <c r="D70" s="752">
        <v>7456548</v>
      </c>
      <c r="E70" s="752">
        <v>6420615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33137882</v>
      </c>
      <c r="D71" s="755">
        <f>D69+D70</f>
        <v>34354039</v>
      </c>
      <c r="E71" s="755">
        <f>E69+E70</f>
        <v>32365999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54928730</v>
      </c>
      <c r="D75" s="744">
        <f t="shared" si="0"/>
        <v>58472497</v>
      </c>
      <c r="E75" s="744">
        <f t="shared" si="0"/>
        <v>56702977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16546435</v>
      </c>
      <c r="D76" s="744">
        <f t="shared" si="0"/>
        <v>16209800</v>
      </c>
      <c r="E76" s="744">
        <f t="shared" si="0"/>
        <v>14032091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71475165</v>
      </c>
      <c r="D77" s="757">
        <f>D75+D76</f>
        <v>74682297</v>
      </c>
      <c r="E77" s="757">
        <f>E75+E76</f>
        <v>70735068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321.39999999999998</v>
      </c>
      <c r="D80" s="749">
        <v>305.89999999999998</v>
      </c>
      <c r="E80" s="749">
        <v>296.39999999999998</v>
      </c>
    </row>
    <row r="81" spans="1:5" ht="26.1" customHeight="1" x14ac:dyDescent="0.25">
      <c r="A81" s="742">
        <v>2</v>
      </c>
      <c r="B81" s="743" t="s">
        <v>617</v>
      </c>
      <c r="C81" s="749">
        <v>31.1</v>
      </c>
      <c r="D81" s="749">
        <v>33.9</v>
      </c>
      <c r="E81" s="749">
        <v>30.9</v>
      </c>
    </row>
    <row r="82" spans="1:5" ht="26.1" customHeight="1" x14ac:dyDescent="0.25">
      <c r="A82" s="742">
        <v>3</v>
      </c>
      <c r="B82" s="743" t="s">
        <v>983</v>
      </c>
      <c r="C82" s="749">
        <v>415.9</v>
      </c>
      <c r="D82" s="749">
        <v>449.2</v>
      </c>
      <c r="E82" s="749">
        <v>439.7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768.4</v>
      </c>
      <c r="D83" s="759">
        <f>D80+D81+D82</f>
        <v>789</v>
      </c>
      <c r="E83" s="759">
        <f>E80+E81+E82</f>
        <v>767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67221.278780336041</v>
      </c>
      <c r="D86" s="752">
        <f>IF(D80=0,0,D59/D80)</f>
        <v>73850.614579928093</v>
      </c>
      <c r="E86" s="752">
        <f>IF(E80=0,0,E59/E80)</f>
        <v>74328.886639676115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20249.377722464222</v>
      </c>
      <c r="D87" s="752">
        <f>IF(D80=0,0,D60/D80)</f>
        <v>20472.935599869241</v>
      </c>
      <c r="E87" s="752">
        <f>IF(E80=0,0,E60/E80)</f>
        <v>18393.913630229421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87470.656502800266</v>
      </c>
      <c r="D88" s="755">
        <f>+D86+D87</f>
        <v>94323.550179797341</v>
      </c>
      <c r="E88" s="755">
        <f>+E86+E87</f>
        <v>92722.800269905536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252646.88102893889</v>
      </c>
      <c r="D91" s="744">
        <f>IF(D81=0,0,D64/D81)</f>
        <v>265017.7876106195</v>
      </c>
      <c r="E91" s="744">
        <f>IF(E81=0,0,E64/E81)</f>
        <v>282411.359223301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76105.980707395502</v>
      </c>
      <c r="D92" s="744">
        <f>IF(D81=0,0,D65/D81)</f>
        <v>73468.466076696175</v>
      </c>
      <c r="E92" s="744">
        <f>IF(E81=0,0,E65/E81)</f>
        <v>69887.378640776704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328752.86173633439</v>
      </c>
      <c r="D93" s="757">
        <f>+D91+D92</f>
        <v>338486.25368731568</v>
      </c>
      <c r="E93" s="757">
        <f>+E91+E92</f>
        <v>352298.73786407767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61232.250540995432</v>
      </c>
      <c r="D96" s="752">
        <f>IF(D82=0,0,D69/D82)</f>
        <v>59878.653161175425</v>
      </c>
      <c r="E96" s="752">
        <f>IF(E82=0,0,E69/E82)</f>
        <v>59007.013873095297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18445.272902139939</v>
      </c>
      <c r="D97" s="752">
        <f>IF(D82=0,0,D70/D82)</f>
        <v>16599.617097061444</v>
      </c>
      <c r="E97" s="752">
        <f>IF(E82=0,0,E70/E82)</f>
        <v>14602.262906527178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79677.523443135375</v>
      </c>
      <c r="D98" s="757">
        <f>+D96+D97</f>
        <v>76478.270258236866</v>
      </c>
      <c r="E98" s="757">
        <f>+E96+E97</f>
        <v>73609.27677962248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71484.552316501824</v>
      </c>
      <c r="D101" s="744">
        <f>IF(D83=0,0,D75/D83)</f>
        <v>74109.628643852979</v>
      </c>
      <c r="E101" s="744">
        <f>IF(E83=0,0,E75/E83)</f>
        <v>73928.262059973931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21533.621811556481</v>
      </c>
      <c r="D102" s="761">
        <f>IF(D83=0,0,D76/D83)</f>
        <v>20544.740177439799</v>
      </c>
      <c r="E102" s="761">
        <f>IF(E83=0,0,E76/E83)</f>
        <v>18294.773142112124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93018.174128058308</v>
      </c>
      <c r="D103" s="757">
        <f>+D101+D102</f>
        <v>94654.368821292781</v>
      </c>
      <c r="E103" s="757">
        <f>+E101+E102</f>
        <v>92223.035202086059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2830.8117153154581</v>
      </c>
      <c r="D108" s="744">
        <f>IF(D19=0,0,D77/D19)</f>
        <v>2810.3521110860238</v>
      </c>
      <c r="E108" s="744">
        <f>IF(E19=0,0,E77/E19)</f>
        <v>2762.6569286049053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11277.242821079204</v>
      </c>
      <c r="D109" s="744">
        <f>IF(D20=0,0,D77/D20)</f>
        <v>11431.547068727996</v>
      </c>
      <c r="E109" s="744">
        <f>IF(E20=0,0,E77/E20)</f>
        <v>11584.518178840484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1066.578757530508</v>
      </c>
      <c r="D110" s="744">
        <f>IF(D22=0,0,D77/D22)</f>
        <v>1096.6121470648834</v>
      </c>
      <c r="E110" s="744">
        <f>IF(E22=0,0,E77/E22)</f>
        <v>1035.1274372397638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4248.9818631883563</v>
      </c>
      <c r="D111" s="744">
        <f>IF(D23=0,0,D77/D23)</f>
        <v>4460.6415423392336</v>
      </c>
      <c r="E111" s="744">
        <f>IF(E23=0,0,E77/E23)</f>
        <v>4340.5507538629072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859.36653139329871</v>
      </c>
      <c r="D112" s="744">
        <f>IF(D29=0,0,D77/D29)</f>
        <v>860.69195120246195</v>
      </c>
      <c r="E112" s="744">
        <f>IF(E29=0,0,E77/E29)</f>
        <v>827.07371268047746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3423.5004025164721</v>
      </c>
      <c r="D113" s="744">
        <f>IF(D30=0,0,D77/D30)</f>
        <v>3500.9992210705987</v>
      </c>
      <c r="E113" s="744">
        <f>IF(E30=0,0,E77/E30)</f>
        <v>3468.12894521306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FILING&amp;R&amp;"Arial,Bold"&amp;12CHARLOTTE HUNGERFORD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259938572</v>
      </c>
      <c r="D12" s="76">
        <v>268038155</v>
      </c>
      <c r="E12" s="76">
        <f t="shared" ref="E12:E21" si="0">D12-C12</f>
        <v>8099583</v>
      </c>
      <c r="F12" s="77">
        <f t="shared" ref="F12:F21" si="1">IF(C12=0,0,E12/C12)</f>
        <v>3.1159604123700425E-2</v>
      </c>
    </row>
    <row r="13" spans="1:8" ht="23.1" customHeight="1" x14ac:dyDescent="0.2">
      <c r="A13" s="74">
        <v>2</v>
      </c>
      <c r="B13" s="75" t="s">
        <v>72</v>
      </c>
      <c r="C13" s="76">
        <v>136668445</v>
      </c>
      <c r="D13" s="76">
        <v>147781220</v>
      </c>
      <c r="E13" s="76">
        <f t="shared" si="0"/>
        <v>11112775</v>
      </c>
      <c r="F13" s="77">
        <f t="shared" si="1"/>
        <v>8.13119297581823E-2</v>
      </c>
    </row>
    <row r="14" spans="1:8" ht="23.1" customHeight="1" x14ac:dyDescent="0.2">
      <c r="A14" s="74">
        <v>3</v>
      </c>
      <c r="B14" s="75" t="s">
        <v>73</v>
      </c>
      <c r="C14" s="76">
        <v>3214518</v>
      </c>
      <c r="D14" s="76">
        <v>2935378</v>
      </c>
      <c r="E14" s="76">
        <f t="shared" si="0"/>
        <v>-279140</v>
      </c>
      <c r="F14" s="77">
        <f t="shared" si="1"/>
        <v>-8.6837280114779258E-2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120055609</v>
      </c>
      <c r="D16" s="79">
        <f>D12-D13-D14-D15</f>
        <v>117321557</v>
      </c>
      <c r="E16" s="79">
        <f t="shared" si="0"/>
        <v>-2734052</v>
      </c>
      <c r="F16" s="80">
        <f t="shared" si="1"/>
        <v>-2.2773213369814315E-2</v>
      </c>
    </row>
    <row r="17" spans="1:7" ht="23.1" customHeight="1" x14ac:dyDescent="0.2">
      <c r="A17" s="74">
        <v>5</v>
      </c>
      <c r="B17" s="75" t="s">
        <v>76</v>
      </c>
      <c r="C17" s="76">
        <v>3378061</v>
      </c>
      <c r="D17" s="76">
        <v>2699503</v>
      </c>
      <c r="E17" s="76">
        <f t="shared" si="0"/>
        <v>-678558</v>
      </c>
      <c r="F17" s="77">
        <f t="shared" si="1"/>
        <v>-0.20087203872280576</v>
      </c>
      <c r="G17" s="65"/>
    </row>
    <row r="18" spans="1:7" ht="31.5" customHeight="1" x14ac:dyDescent="0.25">
      <c r="A18" s="71"/>
      <c r="B18" s="81" t="s">
        <v>77</v>
      </c>
      <c r="C18" s="79">
        <f>C16-C17</f>
        <v>116677548</v>
      </c>
      <c r="D18" s="79">
        <f>D16-D17</f>
        <v>114622054</v>
      </c>
      <c r="E18" s="79">
        <f t="shared" si="0"/>
        <v>-2055494</v>
      </c>
      <c r="F18" s="80">
        <f t="shared" si="1"/>
        <v>-1.7616876899058592E-2</v>
      </c>
    </row>
    <row r="19" spans="1:7" ht="23.1" customHeight="1" x14ac:dyDescent="0.2">
      <c r="A19" s="74">
        <v>6</v>
      </c>
      <c r="B19" s="75" t="s">
        <v>78</v>
      </c>
      <c r="C19" s="76">
        <v>8250545</v>
      </c>
      <c r="D19" s="76">
        <v>7533927</v>
      </c>
      <c r="E19" s="76">
        <f t="shared" si="0"/>
        <v>-716618</v>
      </c>
      <c r="F19" s="77">
        <f t="shared" si="1"/>
        <v>-8.6857050049420972E-2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124928093</v>
      </c>
      <c r="D21" s="79">
        <f>SUM(D18:D20)</f>
        <v>122155981</v>
      </c>
      <c r="E21" s="79">
        <f t="shared" si="0"/>
        <v>-2772112</v>
      </c>
      <c r="F21" s="80">
        <f t="shared" si="1"/>
        <v>-2.2189660735476048E-2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58472497</v>
      </c>
      <c r="D24" s="76">
        <v>56702977</v>
      </c>
      <c r="E24" s="76">
        <f t="shared" ref="E24:E33" si="2">D24-C24</f>
        <v>-1769520</v>
      </c>
      <c r="F24" s="77">
        <f t="shared" ref="F24:F33" si="3">IF(C24=0,0,E24/C24)</f>
        <v>-3.0262432609984142E-2</v>
      </c>
    </row>
    <row r="25" spans="1:7" ht="23.1" customHeight="1" x14ac:dyDescent="0.2">
      <c r="A25" s="74">
        <v>2</v>
      </c>
      <c r="B25" s="75" t="s">
        <v>83</v>
      </c>
      <c r="C25" s="76">
        <v>16209800</v>
      </c>
      <c r="D25" s="76">
        <v>14032091</v>
      </c>
      <c r="E25" s="76">
        <f t="shared" si="2"/>
        <v>-2177709</v>
      </c>
      <c r="F25" s="77">
        <f t="shared" si="3"/>
        <v>-0.13434521092178806</v>
      </c>
    </row>
    <row r="26" spans="1:7" ht="23.1" customHeight="1" x14ac:dyDescent="0.2">
      <c r="A26" s="74">
        <v>3</v>
      </c>
      <c r="B26" s="75" t="s">
        <v>84</v>
      </c>
      <c r="C26" s="76">
        <v>4669548</v>
      </c>
      <c r="D26" s="76">
        <v>4330528</v>
      </c>
      <c r="E26" s="76">
        <f t="shared" si="2"/>
        <v>-339020</v>
      </c>
      <c r="F26" s="77">
        <f t="shared" si="3"/>
        <v>-7.2602316112822918E-2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12520721</v>
      </c>
      <c r="D27" s="76">
        <v>11619961</v>
      </c>
      <c r="E27" s="76">
        <f t="shared" si="2"/>
        <v>-900760</v>
      </c>
      <c r="F27" s="77">
        <f t="shared" si="3"/>
        <v>-7.1941543941439159E-2</v>
      </c>
    </row>
    <row r="28" spans="1:7" ht="23.1" customHeight="1" x14ac:dyDescent="0.2">
      <c r="A28" s="74">
        <v>5</v>
      </c>
      <c r="B28" s="75" t="s">
        <v>86</v>
      </c>
      <c r="C28" s="76">
        <v>6050075</v>
      </c>
      <c r="D28" s="76">
        <v>5899420</v>
      </c>
      <c r="E28" s="76">
        <f t="shared" si="2"/>
        <v>-150655</v>
      </c>
      <c r="F28" s="77">
        <f t="shared" si="3"/>
        <v>-2.4901344198212418E-2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250825</v>
      </c>
      <c r="D30" s="76">
        <v>15651</v>
      </c>
      <c r="E30" s="76">
        <f t="shared" si="2"/>
        <v>-235174</v>
      </c>
      <c r="F30" s="77">
        <f t="shared" si="3"/>
        <v>-0.93760191368484003</v>
      </c>
    </row>
    <row r="31" spans="1:7" ht="23.1" customHeight="1" x14ac:dyDescent="0.2">
      <c r="A31" s="74">
        <v>8</v>
      </c>
      <c r="B31" s="75" t="s">
        <v>89</v>
      </c>
      <c r="C31" s="76">
        <v>1842449</v>
      </c>
      <c r="D31" s="76">
        <v>1701301</v>
      </c>
      <c r="E31" s="76">
        <f t="shared" si="2"/>
        <v>-141148</v>
      </c>
      <c r="F31" s="77">
        <f t="shared" si="3"/>
        <v>-7.6608904778368361E-2</v>
      </c>
    </row>
    <row r="32" spans="1:7" ht="23.1" customHeight="1" x14ac:dyDescent="0.2">
      <c r="A32" s="74">
        <v>9</v>
      </c>
      <c r="B32" s="75" t="s">
        <v>90</v>
      </c>
      <c r="C32" s="76">
        <v>24884070</v>
      </c>
      <c r="D32" s="76">
        <v>27696902</v>
      </c>
      <c r="E32" s="76">
        <f t="shared" si="2"/>
        <v>2812832</v>
      </c>
      <c r="F32" s="77">
        <f t="shared" si="3"/>
        <v>0.11303745729697755</v>
      </c>
    </row>
    <row r="33" spans="1:6" ht="23.1" customHeight="1" x14ac:dyDescent="0.25">
      <c r="A33" s="71"/>
      <c r="B33" s="78" t="s">
        <v>91</v>
      </c>
      <c r="C33" s="79">
        <f>SUM(C24:C32)</f>
        <v>124899985</v>
      </c>
      <c r="D33" s="79">
        <f>SUM(D24:D32)</f>
        <v>121998831</v>
      </c>
      <c r="E33" s="79">
        <f t="shared" si="2"/>
        <v>-2901154</v>
      </c>
      <c r="F33" s="80">
        <f t="shared" si="3"/>
        <v>-2.3227817040970822E-2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28108</v>
      </c>
      <c r="D35" s="79">
        <f>+D21-D33</f>
        <v>157150</v>
      </c>
      <c r="E35" s="79">
        <f>D35-C35</f>
        <v>129042</v>
      </c>
      <c r="F35" s="80">
        <f>IF(C35=0,0,E35/C35)</f>
        <v>4.5909349651344815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2298212</v>
      </c>
      <c r="D38" s="76">
        <v>2689094</v>
      </c>
      <c r="E38" s="76">
        <f>D38-C38</f>
        <v>390882</v>
      </c>
      <c r="F38" s="77">
        <f>IF(C38=0,0,E38/C38)</f>
        <v>0.17008091507658998</v>
      </c>
    </row>
    <row r="39" spans="1:6" ht="23.1" customHeight="1" x14ac:dyDescent="0.2">
      <c r="A39" s="85">
        <v>2</v>
      </c>
      <c r="B39" s="75" t="s">
        <v>95</v>
      </c>
      <c r="C39" s="76">
        <v>273527</v>
      </c>
      <c r="D39" s="76">
        <v>110807</v>
      </c>
      <c r="E39" s="76">
        <f>D39-C39</f>
        <v>-162720</v>
      </c>
      <c r="F39" s="77">
        <f>IF(C39=0,0,E39/C39)</f>
        <v>-0.59489556789640508</v>
      </c>
    </row>
    <row r="40" spans="1:6" ht="23.1" customHeight="1" x14ac:dyDescent="0.2">
      <c r="A40" s="85">
        <v>3</v>
      </c>
      <c r="B40" s="75" t="s">
        <v>96</v>
      </c>
      <c r="C40" s="76">
        <v>93073</v>
      </c>
      <c r="D40" s="76">
        <v>65999</v>
      </c>
      <c r="E40" s="76">
        <f>D40-C40</f>
        <v>-27074</v>
      </c>
      <c r="F40" s="77">
        <f>IF(C40=0,0,E40/C40)</f>
        <v>-0.2908899466010551</v>
      </c>
    </row>
    <row r="41" spans="1:6" ht="23.1" customHeight="1" x14ac:dyDescent="0.25">
      <c r="A41" s="83"/>
      <c r="B41" s="78" t="s">
        <v>97</v>
      </c>
      <c r="C41" s="79">
        <f>SUM(C38:C40)</f>
        <v>2664812</v>
      </c>
      <c r="D41" s="79">
        <f>SUM(D38:D40)</f>
        <v>2865900</v>
      </c>
      <c r="E41" s="79">
        <f>D41-C41</f>
        <v>201088</v>
      </c>
      <c r="F41" s="80">
        <f>IF(C41=0,0,E41/C41)</f>
        <v>7.5460482765763587E-2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2692920</v>
      </c>
      <c r="D43" s="79">
        <f>D35+D41</f>
        <v>3023050</v>
      </c>
      <c r="E43" s="79">
        <f>D43-C43</f>
        <v>330130</v>
      </c>
      <c r="F43" s="80">
        <f>IF(C43=0,0,E43/C43)</f>
        <v>0.12259183340017528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2692920</v>
      </c>
      <c r="D50" s="79">
        <f>D43+D48</f>
        <v>3023050</v>
      </c>
      <c r="E50" s="79">
        <f>D50-C50</f>
        <v>330130</v>
      </c>
      <c r="F50" s="80">
        <f>IF(C50=0,0,E50/C50)</f>
        <v>0.12259183340017528</v>
      </c>
    </row>
    <row r="51" spans="1:6" ht="23.1" customHeight="1" x14ac:dyDescent="0.2">
      <c r="A51" s="85"/>
      <c r="B51" s="75" t="s">
        <v>104</v>
      </c>
      <c r="C51" s="76">
        <v>1401998</v>
      </c>
      <c r="D51" s="76">
        <v>3219468</v>
      </c>
      <c r="E51" s="76">
        <f>D51-C51</f>
        <v>1817470</v>
      </c>
      <c r="F51" s="77">
        <f>IF(C51=0,0,E51/C51)</f>
        <v>1.2963427907885745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FILING&amp;RCHARLOTTE HUNGERFORD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54904987</v>
      </c>
      <c r="D14" s="113">
        <v>52245048</v>
      </c>
      <c r="E14" s="113">
        <f t="shared" ref="E14:E25" si="0">D14-C14</f>
        <v>-2659939</v>
      </c>
      <c r="F14" s="114">
        <f t="shared" ref="F14:F25" si="1">IF(C14=0,0,E14/C14)</f>
        <v>-4.8446218555702421E-2</v>
      </c>
    </row>
    <row r="15" spans="1:6" x14ac:dyDescent="0.2">
      <c r="A15" s="115">
        <v>2</v>
      </c>
      <c r="B15" s="116" t="s">
        <v>114</v>
      </c>
      <c r="C15" s="113">
        <v>7113981</v>
      </c>
      <c r="D15" s="113">
        <v>9318141</v>
      </c>
      <c r="E15" s="113">
        <f t="shared" si="0"/>
        <v>2204160</v>
      </c>
      <c r="F15" s="114">
        <f t="shared" si="1"/>
        <v>0.30983495738883754</v>
      </c>
    </row>
    <row r="16" spans="1:6" x14ac:dyDescent="0.2">
      <c r="A16" s="115">
        <v>3</v>
      </c>
      <c r="B16" s="116" t="s">
        <v>115</v>
      </c>
      <c r="C16" s="113">
        <v>14098153</v>
      </c>
      <c r="D16" s="113">
        <v>15720382</v>
      </c>
      <c r="E16" s="113">
        <f t="shared" si="0"/>
        <v>1622229</v>
      </c>
      <c r="F16" s="114">
        <f t="shared" si="1"/>
        <v>0.1150667750591159</v>
      </c>
    </row>
    <row r="17" spans="1:6" x14ac:dyDescent="0.2">
      <c r="A17" s="115">
        <v>4</v>
      </c>
      <c r="B17" s="116" t="s">
        <v>116</v>
      </c>
      <c r="C17" s="113">
        <v>437891</v>
      </c>
      <c r="D17" s="113">
        <v>0</v>
      </c>
      <c r="E17" s="113">
        <f t="shared" si="0"/>
        <v>-437891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353945</v>
      </c>
      <c r="D18" s="113">
        <v>434960</v>
      </c>
      <c r="E18" s="113">
        <f t="shared" si="0"/>
        <v>81015</v>
      </c>
      <c r="F18" s="114">
        <f t="shared" si="1"/>
        <v>0.22889149444122675</v>
      </c>
    </row>
    <row r="19" spans="1:6" x14ac:dyDescent="0.2">
      <c r="A19" s="115">
        <v>6</v>
      </c>
      <c r="B19" s="116" t="s">
        <v>118</v>
      </c>
      <c r="C19" s="113">
        <v>2608785</v>
      </c>
      <c r="D19" s="113">
        <v>2486570</v>
      </c>
      <c r="E19" s="113">
        <f t="shared" si="0"/>
        <v>-122215</v>
      </c>
      <c r="F19" s="114">
        <f t="shared" si="1"/>
        <v>-4.6847478807184186E-2</v>
      </c>
    </row>
    <row r="20" spans="1:6" x14ac:dyDescent="0.2">
      <c r="A20" s="115">
        <v>7</v>
      </c>
      <c r="B20" s="116" t="s">
        <v>119</v>
      </c>
      <c r="C20" s="113">
        <v>19441893</v>
      </c>
      <c r="D20" s="113">
        <v>18179052</v>
      </c>
      <c r="E20" s="113">
        <f t="shared" si="0"/>
        <v>-1262841</v>
      </c>
      <c r="F20" s="114">
        <f t="shared" si="1"/>
        <v>-6.4954631732619866E-2</v>
      </c>
    </row>
    <row r="21" spans="1:6" x14ac:dyDescent="0.2">
      <c r="A21" s="115">
        <v>8</v>
      </c>
      <c r="B21" s="116" t="s">
        <v>120</v>
      </c>
      <c r="C21" s="113">
        <v>859081</v>
      </c>
      <c r="D21" s="113">
        <v>337555</v>
      </c>
      <c r="E21" s="113">
        <f t="shared" si="0"/>
        <v>-521526</v>
      </c>
      <c r="F21" s="114">
        <f t="shared" si="1"/>
        <v>-0.60707430382001226</v>
      </c>
    </row>
    <row r="22" spans="1:6" x14ac:dyDescent="0.2">
      <c r="A22" s="115">
        <v>9</v>
      </c>
      <c r="B22" s="116" t="s">
        <v>121</v>
      </c>
      <c r="C22" s="113">
        <v>1590204</v>
      </c>
      <c r="D22" s="113">
        <v>1554063</v>
      </c>
      <c r="E22" s="113">
        <f t="shared" si="0"/>
        <v>-36141</v>
      </c>
      <c r="F22" s="114">
        <f t="shared" si="1"/>
        <v>-2.2727272727272728E-2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20290</v>
      </c>
      <c r="D24" s="113">
        <v>154236</v>
      </c>
      <c r="E24" s="113">
        <f t="shared" si="0"/>
        <v>133946</v>
      </c>
      <c r="F24" s="114">
        <f t="shared" si="1"/>
        <v>6.6015771315919176</v>
      </c>
    </row>
    <row r="25" spans="1:6" ht="15.75" x14ac:dyDescent="0.25">
      <c r="A25" s="117"/>
      <c r="B25" s="118" t="s">
        <v>124</v>
      </c>
      <c r="C25" s="119">
        <f>SUM(C14:C24)</f>
        <v>101429210</v>
      </c>
      <c r="D25" s="119">
        <f>SUM(D14:D24)</f>
        <v>100430007</v>
      </c>
      <c r="E25" s="119">
        <f t="shared" si="0"/>
        <v>-999203</v>
      </c>
      <c r="F25" s="120">
        <f t="shared" si="1"/>
        <v>-9.8512351619420083E-3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51138290</v>
      </c>
      <c r="D27" s="113">
        <v>53101756</v>
      </c>
      <c r="E27" s="113">
        <f t="shared" ref="E27:E38" si="2">D27-C27</f>
        <v>1963466</v>
      </c>
      <c r="F27" s="114">
        <f t="shared" ref="F27:F38" si="3">IF(C27=0,0,E27/C27)</f>
        <v>3.8395222053768323E-2</v>
      </c>
    </row>
    <row r="28" spans="1:6" x14ac:dyDescent="0.2">
      <c r="A28" s="115">
        <v>2</v>
      </c>
      <c r="B28" s="116" t="s">
        <v>114</v>
      </c>
      <c r="C28" s="113">
        <v>9659403</v>
      </c>
      <c r="D28" s="113">
        <v>11342642</v>
      </c>
      <c r="E28" s="113">
        <f t="shared" si="2"/>
        <v>1683239</v>
      </c>
      <c r="F28" s="114">
        <f t="shared" si="3"/>
        <v>0.17425911311496167</v>
      </c>
    </row>
    <row r="29" spans="1:6" x14ac:dyDescent="0.2">
      <c r="A29" s="115">
        <v>3</v>
      </c>
      <c r="B29" s="116" t="s">
        <v>115</v>
      </c>
      <c r="C29" s="113">
        <v>32529315</v>
      </c>
      <c r="D29" s="113">
        <v>38108911</v>
      </c>
      <c r="E29" s="113">
        <f t="shared" si="2"/>
        <v>5579596</v>
      </c>
      <c r="F29" s="114">
        <f t="shared" si="3"/>
        <v>0.17152516122764958</v>
      </c>
    </row>
    <row r="30" spans="1:6" x14ac:dyDescent="0.2">
      <c r="A30" s="115">
        <v>4</v>
      </c>
      <c r="B30" s="116" t="s">
        <v>116</v>
      </c>
      <c r="C30" s="113">
        <v>1128215</v>
      </c>
      <c r="D30" s="113">
        <v>0</v>
      </c>
      <c r="E30" s="113">
        <f t="shared" si="2"/>
        <v>-1128215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620095</v>
      </c>
      <c r="D31" s="113">
        <v>708431</v>
      </c>
      <c r="E31" s="113">
        <f t="shared" si="2"/>
        <v>88336</v>
      </c>
      <c r="F31" s="114">
        <f t="shared" si="3"/>
        <v>0.14245559148195033</v>
      </c>
    </row>
    <row r="32" spans="1:6" x14ac:dyDescent="0.2">
      <c r="A32" s="115">
        <v>6</v>
      </c>
      <c r="B32" s="116" t="s">
        <v>118</v>
      </c>
      <c r="C32" s="113">
        <v>5540715</v>
      </c>
      <c r="D32" s="113">
        <v>5877399</v>
      </c>
      <c r="E32" s="113">
        <f t="shared" si="2"/>
        <v>336684</v>
      </c>
      <c r="F32" s="114">
        <f t="shared" si="3"/>
        <v>6.0765442727157053E-2</v>
      </c>
    </row>
    <row r="33" spans="1:6" x14ac:dyDescent="0.2">
      <c r="A33" s="115">
        <v>7</v>
      </c>
      <c r="B33" s="116" t="s">
        <v>119</v>
      </c>
      <c r="C33" s="113">
        <v>50761334</v>
      </c>
      <c r="D33" s="113">
        <v>52764219</v>
      </c>
      <c r="E33" s="113">
        <f t="shared" si="2"/>
        <v>2002885</v>
      </c>
      <c r="F33" s="114">
        <f t="shared" si="3"/>
        <v>3.9456902373763467E-2</v>
      </c>
    </row>
    <row r="34" spans="1:6" x14ac:dyDescent="0.2">
      <c r="A34" s="115">
        <v>8</v>
      </c>
      <c r="B34" s="116" t="s">
        <v>120</v>
      </c>
      <c r="C34" s="113">
        <v>1465316</v>
      </c>
      <c r="D34" s="113">
        <v>1281544</v>
      </c>
      <c r="E34" s="113">
        <f t="shared" si="2"/>
        <v>-183772</v>
      </c>
      <c r="F34" s="114">
        <f t="shared" si="3"/>
        <v>-0.12541458634178565</v>
      </c>
    </row>
    <row r="35" spans="1:6" x14ac:dyDescent="0.2">
      <c r="A35" s="115">
        <v>9</v>
      </c>
      <c r="B35" s="116" t="s">
        <v>121</v>
      </c>
      <c r="C35" s="113">
        <v>5513269</v>
      </c>
      <c r="D35" s="113">
        <v>4301269</v>
      </c>
      <c r="E35" s="113">
        <f t="shared" si="2"/>
        <v>-1212000</v>
      </c>
      <c r="F35" s="114">
        <f t="shared" si="3"/>
        <v>-0.21983327858662438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153409</v>
      </c>
      <c r="D37" s="113">
        <v>121983</v>
      </c>
      <c r="E37" s="113">
        <f t="shared" si="2"/>
        <v>-31426</v>
      </c>
      <c r="F37" s="114">
        <f t="shared" si="3"/>
        <v>-0.20485108435619814</v>
      </c>
    </row>
    <row r="38" spans="1:6" ht="15.75" x14ac:dyDescent="0.25">
      <c r="A38" s="117"/>
      <c r="B38" s="118" t="s">
        <v>126</v>
      </c>
      <c r="C38" s="119">
        <f>SUM(C27:C37)</f>
        <v>158509361</v>
      </c>
      <c r="D38" s="119">
        <f>SUM(D27:D37)</f>
        <v>167608154</v>
      </c>
      <c r="E38" s="119">
        <f t="shared" si="2"/>
        <v>9098793</v>
      </c>
      <c r="F38" s="120">
        <f t="shared" si="3"/>
        <v>5.7402243896497694E-2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106043277</v>
      </c>
      <c r="D41" s="119">
        <f t="shared" si="4"/>
        <v>105346804</v>
      </c>
      <c r="E41" s="123">
        <f t="shared" ref="E41:E52" si="5">D41-C41</f>
        <v>-696473</v>
      </c>
      <c r="F41" s="124">
        <f t="shared" ref="F41:F52" si="6">IF(C41=0,0,E41/C41)</f>
        <v>-6.5678185331824474E-3</v>
      </c>
    </row>
    <row r="42" spans="1:6" ht="15.75" x14ac:dyDescent="0.25">
      <c r="A42" s="121">
        <v>2</v>
      </c>
      <c r="B42" s="122" t="s">
        <v>114</v>
      </c>
      <c r="C42" s="119">
        <f t="shared" si="4"/>
        <v>16773384</v>
      </c>
      <c r="D42" s="119">
        <f t="shared" si="4"/>
        <v>20660783</v>
      </c>
      <c r="E42" s="123">
        <f t="shared" si="5"/>
        <v>3887399</v>
      </c>
      <c r="F42" s="124">
        <f t="shared" si="6"/>
        <v>0.23175997163124626</v>
      </c>
    </row>
    <row r="43" spans="1:6" ht="15.75" x14ac:dyDescent="0.25">
      <c r="A43" s="121">
        <v>3</v>
      </c>
      <c r="B43" s="122" t="s">
        <v>115</v>
      </c>
      <c r="C43" s="119">
        <f t="shared" si="4"/>
        <v>46627468</v>
      </c>
      <c r="D43" s="119">
        <f t="shared" si="4"/>
        <v>53829293</v>
      </c>
      <c r="E43" s="123">
        <f t="shared" si="5"/>
        <v>7201825</v>
      </c>
      <c r="F43" s="124">
        <f t="shared" si="6"/>
        <v>0.15445455884501386</v>
      </c>
    </row>
    <row r="44" spans="1:6" ht="15.75" x14ac:dyDescent="0.25">
      <c r="A44" s="121">
        <v>4</v>
      </c>
      <c r="B44" s="122" t="s">
        <v>116</v>
      </c>
      <c r="C44" s="119">
        <f t="shared" si="4"/>
        <v>1566106</v>
      </c>
      <c r="D44" s="119">
        <f t="shared" si="4"/>
        <v>0</v>
      </c>
      <c r="E44" s="123">
        <f t="shared" si="5"/>
        <v>-1566106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974040</v>
      </c>
      <c r="D45" s="119">
        <f t="shared" si="4"/>
        <v>1143391</v>
      </c>
      <c r="E45" s="123">
        <f t="shared" si="5"/>
        <v>169351</v>
      </c>
      <c r="F45" s="124">
        <f t="shared" si="6"/>
        <v>0.17386452301753522</v>
      </c>
    </row>
    <row r="46" spans="1:6" ht="15.75" x14ac:dyDescent="0.25">
      <c r="A46" s="121">
        <v>6</v>
      </c>
      <c r="B46" s="122" t="s">
        <v>118</v>
      </c>
      <c r="C46" s="119">
        <f t="shared" si="4"/>
        <v>8149500</v>
      </c>
      <c r="D46" s="119">
        <f t="shared" si="4"/>
        <v>8363969</v>
      </c>
      <c r="E46" s="123">
        <f t="shared" si="5"/>
        <v>214469</v>
      </c>
      <c r="F46" s="124">
        <f t="shared" si="6"/>
        <v>2.6316829253328424E-2</v>
      </c>
    </row>
    <row r="47" spans="1:6" ht="15.75" x14ac:dyDescent="0.25">
      <c r="A47" s="121">
        <v>7</v>
      </c>
      <c r="B47" s="122" t="s">
        <v>119</v>
      </c>
      <c r="C47" s="119">
        <f t="shared" si="4"/>
        <v>70203227</v>
      </c>
      <c r="D47" s="119">
        <f t="shared" si="4"/>
        <v>70943271</v>
      </c>
      <c r="E47" s="123">
        <f t="shared" si="5"/>
        <v>740044</v>
      </c>
      <c r="F47" s="124">
        <f t="shared" si="6"/>
        <v>1.0541452745469948E-2</v>
      </c>
    </row>
    <row r="48" spans="1:6" ht="15.75" x14ac:dyDescent="0.25">
      <c r="A48" s="121">
        <v>8</v>
      </c>
      <c r="B48" s="122" t="s">
        <v>120</v>
      </c>
      <c r="C48" s="119">
        <f t="shared" si="4"/>
        <v>2324397</v>
      </c>
      <c r="D48" s="119">
        <f t="shared" si="4"/>
        <v>1619099</v>
      </c>
      <c r="E48" s="123">
        <f t="shared" si="5"/>
        <v>-705298</v>
      </c>
      <c r="F48" s="124">
        <f t="shared" si="6"/>
        <v>-0.30343267522716644</v>
      </c>
    </row>
    <row r="49" spans="1:6" ht="15.75" x14ac:dyDescent="0.25">
      <c r="A49" s="121">
        <v>9</v>
      </c>
      <c r="B49" s="122" t="s">
        <v>121</v>
      </c>
      <c r="C49" s="119">
        <f t="shared" si="4"/>
        <v>7103473</v>
      </c>
      <c r="D49" s="119">
        <f t="shared" si="4"/>
        <v>5855332</v>
      </c>
      <c r="E49" s="123">
        <f t="shared" si="5"/>
        <v>-1248141</v>
      </c>
      <c r="F49" s="124">
        <f t="shared" si="6"/>
        <v>-0.17570855833477511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173699</v>
      </c>
      <c r="D51" s="119">
        <f t="shared" si="4"/>
        <v>276219</v>
      </c>
      <c r="E51" s="123">
        <f t="shared" si="5"/>
        <v>102520</v>
      </c>
      <c r="F51" s="124">
        <f t="shared" si="6"/>
        <v>0.59021640884518622</v>
      </c>
    </row>
    <row r="52" spans="1:6" ht="18.75" customHeight="1" thickBot="1" x14ac:dyDescent="0.3">
      <c r="A52" s="125"/>
      <c r="B52" s="126" t="s">
        <v>128</v>
      </c>
      <c r="C52" s="127">
        <f>SUM(C41:C51)</f>
        <v>259938571</v>
      </c>
      <c r="D52" s="128">
        <f>SUM(D41:D51)</f>
        <v>268038161</v>
      </c>
      <c r="E52" s="127">
        <f t="shared" si="5"/>
        <v>8099590</v>
      </c>
      <c r="F52" s="129">
        <f t="shared" si="6"/>
        <v>3.1159631173012795E-2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30589686</v>
      </c>
      <c r="D57" s="113">
        <v>28623374</v>
      </c>
      <c r="E57" s="113">
        <f t="shared" ref="E57:E68" si="7">D57-C57</f>
        <v>-1966312</v>
      </c>
      <c r="F57" s="114">
        <f t="shared" ref="F57:F68" si="8">IF(C57=0,0,E57/C57)</f>
        <v>-6.4280228309633522E-2</v>
      </c>
    </row>
    <row r="58" spans="1:6" x14ac:dyDescent="0.2">
      <c r="A58" s="115">
        <v>2</v>
      </c>
      <c r="B58" s="116" t="s">
        <v>114</v>
      </c>
      <c r="C58" s="113">
        <v>3963473</v>
      </c>
      <c r="D58" s="113">
        <v>5105109</v>
      </c>
      <c r="E58" s="113">
        <f t="shared" si="7"/>
        <v>1141636</v>
      </c>
      <c r="F58" s="114">
        <f t="shared" si="8"/>
        <v>0.2880393029042963</v>
      </c>
    </row>
    <row r="59" spans="1:6" x14ac:dyDescent="0.2">
      <c r="A59" s="115">
        <v>3</v>
      </c>
      <c r="B59" s="116" t="s">
        <v>115</v>
      </c>
      <c r="C59" s="113">
        <v>4905020</v>
      </c>
      <c r="D59" s="113">
        <v>4645830</v>
      </c>
      <c r="E59" s="113">
        <f t="shared" si="7"/>
        <v>-259190</v>
      </c>
      <c r="F59" s="114">
        <f t="shared" si="8"/>
        <v>-5.2841782500377167E-2</v>
      </c>
    </row>
    <row r="60" spans="1:6" x14ac:dyDescent="0.2">
      <c r="A60" s="115">
        <v>4</v>
      </c>
      <c r="B60" s="116" t="s">
        <v>116</v>
      </c>
      <c r="C60" s="113">
        <v>140182</v>
      </c>
      <c r="D60" s="113">
        <v>0</v>
      </c>
      <c r="E60" s="113">
        <f t="shared" si="7"/>
        <v>-140182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220612</v>
      </c>
      <c r="D61" s="113">
        <v>247000</v>
      </c>
      <c r="E61" s="113">
        <f t="shared" si="7"/>
        <v>26388</v>
      </c>
      <c r="F61" s="114">
        <f t="shared" si="8"/>
        <v>0.1196127137236415</v>
      </c>
    </row>
    <row r="62" spans="1:6" x14ac:dyDescent="0.2">
      <c r="A62" s="115">
        <v>6</v>
      </c>
      <c r="B62" s="116" t="s">
        <v>118</v>
      </c>
      <c r="C62" s="113">
        <v>1699129</v>
      </c>
      <c r="D62" s="113">
        <v>1628242</v>
      </c>
      <c r="E62" s="113">
        <f t="shared" si="7"/>
        <v>-70887</v>
      </c>
      <c r="F62" s="114">
        <f t="shared" si="8"/>
        <v>-4.1719610459241177E-2</v>
      </c>
    </row>
    <row r="63" spans="1:6" x14ac:dyDescent="0.2">
      <c r="A63" s="115">
        <v>7</v>
      </c>
      <c r="B63" s="116" t="s">
        <v>119</v>
      </c>
      <c r="C63" s="113">
        <v>12436823</v>
      </c>
      <c r="D63" s="113">
        <v>11367041</v>
      </c>
      <c r="E63" s="113">
        <f t="shared" si="7"/>
        <v>-1069782</v>
      </c>
      <c r="F63" s="114">
        <f t="shared" si="8"/>
        <v>-8.6017305223367743E-2</v>
      </c>
    </row>
    <row r="64" spans="1:6" x14ac:dyDescent="0.2">
      <c r="A64" s="115">
        <v>8</v>
      </c>
      <c r="B64" s="116" t="s">
        <v>120</v>
      </c>
      <c r="C64" s="113">
        <v>652620</v>
      </c>
      <c r="D64" s="113">
        <v>257368</v>
      </c>
      <c r="E64" s="113">
        <f t="shared" si="7"/>
        <v>-395252</v>
      </c>
      <c r="F64" s="114">
        <f t="shared" si="8"/>
        <v>-0.60563880972081763</v>
      </c>
    </row>
    <row r="65" spans="1:6" x14ac:dyDescent="0.2">
      <c r="A65" s="115">
        <v>9</v>
      </c>
      <c r="B65" s="116" t="s">
        <v>121</v>
      </c>
      <c r="C65" s="113">
        <v>272165</v>
      </c>
      <c r="D65" s="113">
        <v>318975</v>
      </c>
      <c r="E65" s="113">
        <f t="shared" si="7"/>
        <v>46810</v>
      </c>
      <c r="F65" s="114">
        <f t="shared" si="8"/>
        <v>0.17199125530468651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18644</v>
      </c>
      <c r="D67" s="113">
        <v>49026</v>
      </c>
      <c r="E67" s="113">
        <f t="shared" si="7"/>
        <v>30382</v>
      </c>
      <c r="F67" s="114">
        <f t="shared" si="8"/>
        <v>1.6295859257670029</v>
      </c>
    </row>
    <row r="68" spans="1:6" ht="15.75" x14ac:dyDescent="0.25">
      <c r="A68" s="117"/>
      <c r="B68" s="118" t="s">
        <v>131</v>
      </c>
      <c r="C68" s="119">
        <f>SUM(C57:C67)</f>
        <v>54898354</v>
      </c>
      <c r="D68" s="119">
        <f>SUM(D57:D67)</f>
        <v>52241965</v>
      </c>
      <c r="E68" s="119">
        <f t="shared" si="7"/>
        <v>-2656389</v>
      </c>
      <c r="F68" s="120">
        <f t="shared" si="8"/>
        <v>-4.8387407024990219E-2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18505307</v>
      </c>
      <c r="D70" s="113">
        <v>19511066</v>
      </c>
      <c r="E70" s="113">
        <f t="shared" ref="E70:E81" si="9">D70-C70</f>
        <v>1005759</v>
      </c>
      <c r="F70" s="114">
        <f t="shared" ref="F70:F81" si="10">IF(C70=0,0,E70/C70)</f>
        <v>5.434976031470324E-2</v>
      </c>
    </row>
    <row r="71" spans="1:6" x14ac:dyDescent="0.2">
      <c r="A71" s="115">
        <v>2</v>
      </c>
      <c r="B71" s="116" t="s">
        <v>114</v>
      </c>
      <c r="C71" s="113">
        <v>3362046</v>
      </c>
      <c r="D71" s="113">
        <v>3879856</v>
      </c>
      <c r="E71" s="113">
        <f t="shared" si="9"/>
        <v>517810</v>
      </c>
      <c r="F71" s="114">
        <f t="shared" si="10"/>
        <v>0.15401633410131807</v>
      </c>
    </row>
    <row r="72" spans="1:6" x14ac:dyDescent="0.2">
      <c r="A72" s="115">
        <v>3</v>
      </c>
      <c r="B72" s="116" t="s">
        <v>115</v>
      </c>
      <c r="C72" s="113">
        <v>10437386</v>
      </c>
      <c r="D72" s="113">
        <v>9397695</v>
      </c>
      <c r="E72" s="113">
        <f t="shared" si="9"/>
        <v>-1039691</v>
      </c>
      <c r="F72" s="114">
        <f t="shared" si="10"/>
        <v>-9.9612201752431115E-2</v>
      </c>
    </row>
    <row r="73" spans="1:6" x14ac:dyDescent="0.2">
      <c r="A73" s="115">
        <v>4</v>
      </c>
      <c r="B73" s="116" t="s">
        <v>116</v>
      </c>
      <c r="C73" s="113">
        <v>409033</v>
      </c>
      <c r="D73" s="113">
        <v>0</v>
      </c>
      <c r="E73" s="113">
        <f t="shared" si="9"/>
        <v>-409033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228839</v>
      </c>
      <c r="D74" s="113">
        <v>242948</v>
      </c>
      <c r="E74" s="113">
        <f t="shared" si="9"/>
        <v>14109</v>
      </c>
      <c r="F74" s="114">
        <f t="shared" si="10"/>
        <v>6.1654700466266678E-2</v>
      </c>
    </row>
    <row r="75" spans="1:6" x14ac:dyDescent="0.2">
      <c r="A75" s="115">
        <v>6</v>
      </c>
      <c r="B75" s="116" t="s">
        <v>118</v>
      </c>
      <c r="C75" s="113">
        <v>2136171</v>
      </c>
      <c r="D75" s="113">
        <v>2192296</v>
      </c>
      <c r="E75" s="113">
        <f t="shared" si="9"/>
        <v>56125</v>
      </c>
      <c r="F75" s="114">
        <f t="shared" si="10"/>
        <v>2.6273645695967223E-2</v>
      </c>
    </row>
    <row r="76" spans="1:6" x14ac:dyDescent="0.2">
      <c r="A76" s="115">
        <v>7</v>
      </c>
      <c r="B76" s="116" t="s">
        <v>119</v>
      </c>
      <c r="C76" s="113">
        <v>25522388</v>
      </c>
      <c r="D76" s="113">
        <v>26532268</v>
      </c>
      <c r="E76" s="113">
        <f t="shared" si="9"/>
        <v>1009880</v>
      </c>
      <c r="F76" s="114">
        <f t="shared" si="10"/>
        <v>3.9568397753376366E-2</v>
      </c>
    </row>
    <row r="77" spans="1:6" x14ac:dyDescent="0.2">
      <c r="A77" s="115">
        <v>8</v>
      </c>
      <c r="B77" s="116" t="s">
        <v>120</v>
      </c>
      <c r="C77" s="113">
        <v>1008717</v>
      </c>
      <c r="D77" s="113">
        <v>939453</v>
      </c>
      <c r="E77" s="113">
        <f t="shared" si="9"/>
        <v>-69264</v>
      </c>
      <c r="F77" s="114">
        <f t="shared" si="10"/>
        <v>-6.866544333048813E-2</v>
      </c>
    </row>
    <row r="78" spans="1:6" x14ac:dyDescent="0.2">
      <c r="A78" s="115">
        <v>9</v>
      </c>
      <c r="B78" s="116" t="s">
        <v>121</v>
      </c>
      <c r="C78" s="113">
        <v>943602</v>
      </c>
      <c r="D78" s="113">
        <v>882845</v>
      </c>
      <c r="E78" s="113">
        <f t="shared" si="9"/>
        <v>-60757</v>
      </c>
      <c r="F78" s="114">
        <f t="shared" si="10"/>
        <v>-6.4388375607512482E-2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31406</v>
      </c>
      <c r="D80" s="113">
        <v>47662</v>
      </c>
      <c r="E80" s="113">
        <f t="shared" si="9"/>
        <v>16256</v>
      </c>
      <c r="F80" s="114">
        <f t="shared" si="10"/>
        <v>0.51760810036298799</v>
      </c>
    </row>
    <row r="81" spans="1:6" ht="15.75" x14ac:dyDescent="0.25">
      <c r="A81" s="117"/>
      <c r="B81" s="118" t="s">
        <v>133</v>
      </c>
      <c r="C81" s="119">
        <f>SUM(C70:C80)</f>
        <v>62584895</v>
      </c>
      <c r="D81" s="119">
        <f>SUM(D70:D80)</f>
        <v>63626089</v>
      </c>
      <c r="E81" s="119">
        <f t="shared" si="9"/>
        <v>1041194</v>
      </c>
      <c r="F81" s="120">
        <f t="shared" si="10"/>
        <v>1.663650630076155E-2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49094993</v>
      </c>
      <c r="D84" s="119">
        <f t="shared" si="11"/>
        <v>48134440</v>
      </c>
      <c r="E84" s="119">
        <f t="shared" ref="E84:E95" si="12">D84-C84</f>
        <v>-960553</v>
      </c>
      <c r="F84" s="120">
        <f t="shared" ref="F84:F95" si="13">IF(C84=0,0,E84/C84)</f>
        <v>-1.9565192727494636E-2</v>
      </c>
    </row>
    <row r="85" spans="1:6" ht="15.75" x14ac:dyDescent="0.25">
      <c r="A85" s="130">
        <v>2</v>
      </c>
      <c r="B85" s="122" t="s">
        <v>114</v>
      </c>
      <c r="C85" s="119">
        <f t="shared" si="11"/>
        <v>7325519</v>
      </c>
      <c r="D85" s="119">
        <f t="shared" si="11"/>
        <v>8984965</v>
      </c>
      <c r="E85" s="119">
        <f t="shared" si="12"/>
        <v>1659446</v>
      </c>
      <c r="F85" s="120">
        <f t="shared" si="13"/>
        <v>0.22652947866219444</v>
      </c>
    </row>
    <row r="86" spans="1:6" ht="15.75" x14ac:dyDescent="0.25">
      <c r="A86" s="130">
        <v>3</v>
      </c>
      <c r="B86" s="122" t="s">
        <v>115</v>
      </c>
      <c r="C86" s="119">
        <f t="shared" si="11"/>
        <v>15342406</v>
      </c>
      <c r="D86" s="119">
        <f t="shared" si="11"/>
        <v>14043525</v>
      </c>
      <c r="E86" s="119">
        <f t="shared" si="12"/>
        <v>-1298881</v>
      </c>
      <c r="F86" s="120">
        <f t="shared" si="13"/>
        <v>-8.4659537754378289E-2</v>
      </c>
    </row>
    <row r="87" spans="1:6" ht="15.75" x14ac:dyDescent="0.25">
      <c r="A87" s="130">
        <v>4</v>
      </c>
      <c r="B87" s="122" t="s">
        <v>116</v>
      </c>
      <c r="C87" s="119">
        <f t="shared" si="11"/>
        <v>549215</v>
      </c>
      <c r="D87" s="119">
        <f t="shared" si="11"/>
        <v>0</v>
      </c>
      <c r="E87" s="119">
        <f t="shared" si="12"/>
        <v>-549215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449451</v>
      </c>
      <c r="D88" s="119">
        <f t="shared" si="11"/>
        <v>489948</v>
      </c>
      <c r="E88" s="119">
        <f t="shared" si="12"/>
        <v>40497</v>
      </c>
      <c r="F88" s="120">
        <f t="shared" si="13"/>
        <v>9.0103259309691153E-2</v>
      </c>
    </row>
    <row r="89" spans="1:6" ht="15.75" x14ac:dyDescent="0.25">
      <c r="A89" s="130">
        <v>6</v>
      </c>
      <c r="B89" s="122" t="s">
        <v>118</v>
      </c>
      <c r="C89" s="119">
        <f t="shared" si="11"/>
        <v>3835300</v>
      </c>
      <c r="D89" s="119">
        <f t="shared" si="11"/>
        <v>3820538</v>
      </c>
      <c r="E89" s="119">
        <f t="shared" si="12"/>
        <v>-14762</v>
      </c>
      <c r="F89" s="120">
        <f t="shared" si="13"/>
        <v>-3.8489818267149899E-3</v>
      </c>
    </row>
    <row r="90" spans="1:6" ht="15.75" x14ac:dyDescent="0.25">
      <c r="A90" s="130">
        <v>7</v>
      </c>
      <c r="B90" s="122" t="s">
        <v>119</v>
      </c>
      <c r="C90" s="119">
        <f t="shared" si="11"/>
        <v>37959211</v>
      </c>
      <c r="D90" s="119">
        <f t="shared" si="11"/>
        <v>37899309</v>
      </c>
      <c r="E90" s="119">
        <f t="shared" si="12"/>
        <v>-59902</v>
      </c>
      <c r="F90" s="120">
        <f t="shared" si="13"/>
        <v>-1.5780623048250396E-3</v>
      </c>
    </row>
    <row r="91" spans="1:6" ht="15.75" x14ac:dyDescent="0.25">
      <c r="A91" s="130">
        <v>8</v>
      </c>
      <c r="B91" s="122" t="s">
        <v>120</v>
      </c>
      <c r="C91" s="119">
        <f t="shared" si="11"/>
        <v>1661337</v>
      </c>
      <c r="D91" s="119">
        <f t="shared" si="11"/>
        <v>1196821</v>
      </c>
      <c r="E91" s="119">
        <f t="shared" si="12"/>
        <v>-464516</v>
      </c>
      <c r="F91" s="120">
        <f t="shared" si="13"/>
        <v>-0.27960371676547263</v>
      </c>
    </row>
    <row r="92" spans="1:6" ht="15.75" x14ac:dyDescent="0.25">
      <c r="A92" s="130">
        <v>9</v>
      </c>
      <c r="B92" s="122" t="s">
        <v>121</v>
      </c>
      <c r="C92" s="119">
        <f t="shared" si="11"/>
        <v>1215767</v>
      </c>
      <c r="D92" s="119">
        <f t="shared" si="11"/>
        <v>1201820</v>
      </c>
      <c r="E92" s="119">
        <f t="shared" si="12"/>
        <v>-13947</v>
      </c>
      <c r="F92" s="120">
        <f t="shared" si="13"/>
        <v>-1.1471770495497904E-2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50050</v>
      </c>
      <c r="D94" s="119">
        <f t="shared" si="11"/>
        <v>96688</v>
      </c>
      <c r="E94" s="119">
        <f t="shared" si="12"/>
        <v>46638</v>
      </c>
      <c r="F94" s="120">
        <f t="shared" si="13"/>
        <v>0.93182817182817179</v>
      </c>
    </row>
    <row r="95" spans="1:6" ht="18.75" customHeight="1" thickBot="1" x14ac:dyDescent="0.3">
      <c r="A95" s="131"/>
      <c r="B95" s="132" t="s">
        <v>134</v>
      </c>
      <c r="C95" s="128">
        <f>SUM(C84:C94)</f>
        <v>117483249</v>
      </c>
      <c r="D95" s="128">
        <f>SUM(D84:D94)</f>
        <v>115868054</v>
      </c>
      <c r="E95" s="128">
        <f t="shared" si="12"/>
        <v>-1615195</v>
      </c>
      <c r="F95" s="129">
        <f t="shared" si="13"/>
        <v>-1.3748300406639248E-2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3113</v>
      </c>
      <c r="D100" s="133">
        <v>2842</v>
      </c>
      <c r="E100" s="133">
        <f t="shared" ref="E100:E111" si="14">D100-C100</f>
        <v>-271</v>
      </c>
      <c r="F100" s="114">
        <f t="shared" ref="F100:F111" si="15">IF(C100=0,0,E100/C100)</f>
        <v>-8.7054288467716026E-2</v>
      </c>
    </row>
    <row r="101" spans="1:6" x14ac:dyDescent="0.2">
      <c r="A101" s="115">
        <v>2</v>
      </c>
      <c r="B101" s="116" t="s">
        <v>114</v>
      </c>
      <c r="C101" s="133">
        <v>397</v>
      </c>
      <c r="D101" s="133">
        <v>457</v>
      </c>
      <c r="E101" s="133">
        <f t="shared" si="14"/>
        <v>60</v>
      </c>
      <c r="F101" s="114">
        <f t="shared" si="15"/>
        <v>0.15113350125944586</v>
      </c>
    </row>
    <row r="102" spans="1:6" x14ac:dyDescent="0.2">
      <c r="A102" s="115">
        <v>3</v>
      </c>
      <c r="B102" s="116" t="s">
        <v>115</v>
      </c>
      <c r="C102" s="133">
        <v>1136</v>
      </c>
      <c r="D102" s="133">
        <v>1172</v>
      </c>
      <c r="E102" s="133">
        <f t="shared" si="14"/>
        <v>36</v>
      </c>
      <c r="F102" s="114">
        <f t="shared" si="15"/>
        <v>3.1690140845070422E-2</v>
      </c>
    </row>
    <row r="103" spans="1:6" x14ac:dyDescent="0.2">
      <c r="A103" s="115">
        <v>4</v>
      </c>
      <c r="B103" s="116" t="s">
        <v>116</v>
      </c>
      <c r="C103" s="133">
        <v>31</v>
      </c>
      <c r="D103" s="133">
        <v>0</v>
      </c>
      <c r="E103" s="133">
        <f t="shared" si="14"/>
        <v>-31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32</v>
      </c>
      <c r="D104" s="133">
        <v>39</v>
      </c>
      <c r="E104" s="133">
        <f t="shared" si="14"/>
        <v>7</v>
      </c>
      <c r="F104" s="114">
        <f t="shared" si="15"/>
        <v>0.21875</v>
      </c>
    </row>
    <row r="105" spans="1:6" x14ac:dyDescent="0.2">
      <c r="A105" s="115">
        <v>6</v>
      </c>
      <c r="B105" s="116" t="s">
        <v>118</v>
      </c>
      <c r="C105" s="133">
        <v>397</v>
      </c>
      <c r="D105" s="133">
        <v>354</v>
      </c>
      <c r="E105" s="133">
        <f t="shared" si="14"/>
        <v>-43</v>
      </c>
      <c r="F105" s="114">
        <f t="shared" si="15"/>
        <v>-0.10831234256926953</v>
      </c>
    </row>
    <row r="106" spans="1:6" x14ac:dyDescent="0.2">
      <c r="A106" s="115">
        <v>7</v>
      </c>
      <c r="B106" s="116" t="s">
        <v>119</v>
      </c>
      <c r="C106" s="133">
        <v>1192</v>
      </c>
      <c r="D106" s="133">
        <v>1082</v>
      </c>
      <c r="E106" s="133">
        <f t="shared" si="14"/>
        <v>-110</v>
      </c>
      <c r="F106" s="114">
        <f t="shared" si="15"/>
        <v>-9.2281879194630878E-2</v>
      </c>
    </row>
    <row r="107" spans="1:6" x14ac:dyDescent="0.2">
      <c r="A107" s="115">
        <v>8</v>
      </c>
      <c r="B107" s="116" t="s">
        <v>120</v>
      </c>
      <c r="C107" s="133">
        <v>32</v>
      </c>
      <c r="D107" s="133">
        <v>12</v>
      </c>
      <c r="E107" s="133">
        <f t="shared" si="14"/>
        <v>-20</v>
      </c>
      <c r="F107" s="114">
        <f t="shared" si="15"/>
        <v>-0.625</v>
      </c>
    </row>
    <row r="108" spans="1:6" x14ac:dyDescent="0.2">
      <c r="A108" s="115">
        <v>9</v>
      </c>
      <c r="B108" s="116" t="s">
        <v>121</v>
      </c>
      <c r="C108" s="133">
        <v>200</v>
      </c>
      <c r="D108" s="133">
        <v>137</v>
      </c>
      <c r="E108" s="133">
        <f t="shared" si="14"/>
        <v>-63</v>
      </c>
      <c r="F108" s="114">
        <f t="shared" si="15"/>
        <v>-0.315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3</v>
      </c>
      <c r="D110" s="133">
        <v>11</v>
      </c>
      <c r="E110" s="133">
        <f t="shared" si="14"/>
        <v>8</v>
      </c>
      <c r="F110" s="114">
        <f t="shared" si="15"/>
        <v>2.6666666666666665</v>
      </c>
    </row>
    <row r="111" spans="1:6" ht="15.75" x14ac:dyDescent="0.25">
      <c r="A111" s="117"/>
      <c r="B111" s="118" t="s">
        <v>138</v>
      </c>
      <c r="C111" s="134">
        <f>SUM(C100:C110)</f>
        <v>6533</v>
      </c>
      <c r="D111" s="134">
        <f>SUM(D100:D110)</f>
        <v>6106</v>
      </c>
      <c r="E111" s="134">
        <f t="shared" si="14"/>
        <v>-427</v>
      </c>
      <c r="F111" s="120">
        <f t="shared" si="15"/>
        <v>-6.5360477575386502E-2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14227</v>
      </c>
      <c r="D113" s="133">
        <v>13033</v>
      </c>
      <c r="E113" s="133">
        <f t="shared" ref="E113:E124" si="16">D113-C113</f>
        <v>-1194</v>
      </c>
      <c r="F113" s="114">
        <f t="shared" ref="F113:F124" si="17">IF(C113=0,0,E113/C113)</f>
        <v>-8.3924931468334851E-2</v>
      </c>
    </row>
    <row r="114" spans="1:6" x14ac:dyDescent="0.2">
      <c r="A114" s="115">
        <v>2</v>
      </c>
      <c r="B114" s="116" t="s">
        <v>114</v>
      </c>
      <c r="C114" s="133">
        <v>1655</v>
      </c>
      <c r="D114" s="133">
        <v>2237</v>
      </c>
      <c r="E114" s="133">
        <f t="shared" si="16"/>
        <v>582</v>
      </c>
      <c r="F114" s="114">
        <f t="shared" si="17"/>
        <v>0.35166163141993956</v>
      </c>
    </row>
    <row r="115" spans="1:6" x14ac:dyDescent="0.2">
      <c r="A115" s="115">
        <v>3</v>
      </c>
      <c r="B115" s="116" t="s">
        <v>115</v>
      </c>
      <c r="C115" s="133">
        <v>4494</v>
      </c>
      <c r="D115" s="133">
        <v>4662</v>
      </c>
      <c r="E115" s="133">
        <f t="shared" si="16"/>
        <v>168</v>
      </c>
      <c r="F115" s="114">
        <f t="shared" si="17"/>
        <v>3.7383177570093455E-2</v>
      </c>
    </row>
    <row r="116" spans="1:6" x14ac:dyDescent="0.2">
      <c r="A116" s="115">
        <v>4</v>
      </c>
      <c r="B116" s="116" t="s">
        <v>116</v>
      </c>
      <c r="C116" s="133">
        <v>109</v>
      </c>
      <c r="D116" s="133">
        <v>0</v>
      </c>
      <c r="E116" s="133">
        <f t="shared" si="16"/>
        <v>-109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132</v>
      </c>
      <c r="D117" s="133">
        <v>133</v>
      </c>
      <c r="E117" s="133">
        <f t="shared" si="16"/>
        <v>1</v>
      </c>
      <c r="F117" s="114">
        <f t="shared" si="17"/>
        <v>7.575757575757576E-3</v>
      </c>
    </row>
    <row r="118" spans="1:6" x14ac:dyDescent="0.2">
      <c r="A118" s="115">
        <v>6</v>
      </c>
      <c r="B118" s="116" t="s">
        <v>118</v>
      </c>
      <c r="C118" s="133">
        <v>1446</v>
      </c>
      <c r="D118" s="133">
        <v>1224</v>
      </c>
      <c r="E118" s="133">
        <f t="shared" si="16"/>
        <v>-222</v>
      </c>
      <c r="F118" s="114">
        <f t="shared" si="17"/>
        <v>-0.15352697095435686</v>
      </c>
    </row>
    <row r="119" spans="1:6" x14ac:dyDescent="0.2">
      <c r="A119" s="115">
        <v>7</v>
      </c>
      <c r="B119" s="116" t="s">
        <v>119</v>
      </c>
      <c r="C119" s="133">
        <v>3715</v>
      </c>
      <c r="D119" s="133">
        <v>3637</v>
      </c>
      <c r="E119" s="133">
        <f t="shared" si="16"/>
        <v>-78</v>
      </c>
      <c r="F119" s="114">
        <f t="shared" si="17"/>
        <v>-2.0995962314939436E-2</v>
      </c>
    </row>
    <row r="120" spans="1:6" x14ac:dyDescent="0.2">
      <c r="A120" s="115">
        <v>8</v>
      </c>
      <c r="B120" s="116" t="s">
        <v>120</v>
      </c>
      <c r="C120" s="133">
        <v>95</v>
      </c>
      <c r="D120" s="133">
        <v>25</v>
      </c>
      <c r="E120" s="133">
        <f t="shared" si="16"/>
        <v>-70</v>
      </c>
      <c r="F120" s="114">
        <f t="shared" si="17"/>
        <v>-0.73684210526315785</v>
      </c>
    </row>
    <row r="121" spans="1:6" x14ac:dyDescent="0.2">
      <c r="A121" s="115">
        <v>9</v>
      </c>
      <c r="B121" s="116" t="s">
        <v>121</v>
      </c>
      <c r="C121" s="133">
        <v>696</v>
      </c>
      <c r="D121" s="133">
        <v>613</v>
      </c>
      <c r="E121" s="133">
        <f t="shared" si="16"/>
        <v>-83</v>
      </c>
      <c r="F121" s="114">
        <f t="shared" si="17"/>
        <v>-0.11925287356321838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5</v>
      </c>
      <c r="D123" s="133">
        <v>40</v>
      </c>
      <c r="E123" s="133">
        <f t="shared" si="16"/>
        <v>35</v>
      </c>
      <c r="F123" s="114">
        <f t="shared" si="17"/>
        <v>7</v>
      </c>
    </row>
    <row r="124" spans="1:6" ht="15.75" x14ac:dyDescent="0.25">
      <c r="A124" s="117"/>
      <c r="B124" s="118" t="s">
        <v>140</v>
      </c>
      <c r="C124" s="134">
        <f>SUM(C113:C123)</f>
        <v>26574</v>
      </c>
      <c r="D124" s="134">
        <f>SUM(D113:D123)</f>
        <v>25604</v>
      </c>
      <c r="E124" s="134">
        <f t="shared" si="16"/>
        <v>-970</v>
      </c>
      <c r="F124" s="120">
        <f t="shared" si="17"/>
        <v>-3.6501843907578838E-2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77205</v>
      </c>
      <c r="D126" s="133">
        <v>74006</v>
      </c>
      <c r="E126" s="133">
        <f t="shared" ref="E126:E137" si="18">D126-C126</f>
        <v>-3199</v>
      </c>
      <c r="F126" s="114">
        <f t="shared" ref="F126:F137" si="19">IF(C126=0,0,E126/C126)</f>
        <v>-4.1435140211126223E-2</v>
      </c>
    </row>
    <row r="127" spans="1:6" x14ac:dyDescent="0.2">
      <c r="A127" s="115">
        <v>2</v>
      </c>
      <c r="B127" s="116" t="s">
        <v>114</v>
      </c>
      <c r="C127" s="133">
        <v>14176</v>
      </c>
      <c r="D127" s="133">
        <v>15651</v>
      </c>
      <c r="E127" s="133">
        <f t="shared" si="18"/>
        <v>1475</v>
      </c>
      <c r="F127" s="114">
        <f t="shared" si="19"/>
        <v>0.10404909706546275</v>
      </c>
    </row>
    <row r="128" spans="1:6" x14ac:dyDescent="0.2">
      <c r="A128" s="115">
        <v>3</v>
      </c>
      <c r="B128" s="116" t="s">
        <v>115</v>
      </c>
      <c r="C128" s="133">
        <v>40002</v>
      </c>
      <c r="D128" s="133">
        <v>43933</v>
      </c>
      <c r="E128" s="133">
        <f t="shared" si="18"/>
        <v>3931</v>
      </c>
      <c r="F128" s="114">
        <f t="shared" si="19"/>
        <v>9.8270086495675216E-2</v>
      </c>
    </row>
    <row r="129" spans="1:6" x14ac:dyDescent="0.2">
      <c r="A129" s="115">
        <v>4</v>
      </c>
      <c r="B129" s="116" t="s">
        <v>116</v>
      </c>
      <c r="C129" s="133">
        <v>1469</v>
      </c>
      <c r="D129" s="133">
        <v>0</v>
      </c>
      <c r="E129" s="133">
        <f t="shared" si="18"/>
        <v>-1469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742</v>
      </c>
      <c r="D130" s="133">
        <v>688</v>
      </c>
      <c r="E130" s="133">
        <f t="shared" si="18"/>
        <v>-54</v>
      </c>
      <c r="F130" s="114">
        <f t="shared" si="19"/>
        <v>-7.277628032345014E-2</v>
      </c>
    </row>
    <row r="131" spans="1:6" x14ac:dyDescent="0.2">
      <c r="A131" s="115">
        <v>6</v>
      </c>
      <c r="B131" s="116" t="s">
        <v>118</v>
      </c>
      <c r="C131" s="133">
        <v>17781</v>
      </c>
      <c r="D131" s="133">
        <v>17498</v>
      </c>
      <c r="E131" s="133">
        <f t="shared" si="18"/>
        <v>-283</v>
      </c>
      <c r="F131" s="114">
        <f t="shared" si="19"/>
        <v>-1.5915865249423542E-2</v>
      </c>
    </row>
    <row r="132" spans="1:6" x14ac:dyDescent="0.2">
      <c r="A132" s="115">
        <v>7</v>
      </c>
      <c r="B132" s="116" t="s">
        <v>119</v>
      </c>
      <c r="C132" s="133">
        <v>64730</v>
      </c>
      <c r="D132" s="133">
        <v>60783</v>
      </c>
      <c r="E132" s="133">
        <f t="shared" si="18"/>
        <v>-3947</v>
      </c>
      <c r="F132" s="114">
        <f t="shared" si="19"/>
        <v>-6.0976363355476598E-2</v>
      </c>
    </row>
    <row r="133" spans="1:6" x14ac:dyDescent="0.2">
      <c r="A133" s="115">
        <v>8</v>
      </c>
      <c r="B133" s="116" t="s">
        <v>120</v>
      </c>
      <c r="C133" s="133">
        <v>1282</v>
      </c>
      <c r="D133" s="133">
        <v>1249</v>
      </c>
      <c r="E133" s="133">
        <f t="shared" si="18"/>
        <v>-33</v>
      </c>
      <c r="F133" s="114">
        <f t="shared" si="19"/>
        <v>-2.5741029641185648E-2</v>
      </c>
    </row>
    <row r="134" spans="1:6" x14ac:dyDescent="0.2">
      <c r="A134" s="115">
        <v>9</v>
      </c>
      <c r="B134" s="116" t="s">
        <v>121</v>
      </c>
      <c r="C134" s="133">
        <v>11915</v>
      </c>
      <c r="D134" s="133">
        <v>9447</v>
      </c>
      <c r="E134" s="133">
        <f t="shared" si="18"/>
        <v>-2468</v>
      </c>
      <c r="F134" s="114">
        <f t="shared" si="19"/>
        <v>-0.20713386487620647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153</v>
      </c>
      <c r="D136" s="133">
        <v>123</v>
      </c>
      <c r="E136" s="133">
        <f t="shared" si="18"/>
        <v>-30</v>
      </c>
      <c r="F136" s="114">
        <f t="shared" si="19"/>
        <v>-0.19607843137254902</v>
      </c>
    </row>
    <row r="137" spans="1:6" ht="15.75" x14ac:dyDescent="0.25">
      <c r="A137" s="117"/>
      <c r="B137" s="118" t="s">
        <v>142</v>
      </c>
      <c r="C137" s="134">
        <f>SUM(C126:C136)</f>
        <v>229455</v>
      </c>
      <c r="D137" s="134">
        <f>SUM(D126:D136)</f>
        <v>223378</v>
      </c>
      <c r="E137" s="134">
        <f t="shared" si="18"/>
        <v>-6077</v>
      </c>
      <c r="F137" s="120">
        <f t="shared" si="19"/>
        <v>-2.6484495870650018E-2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9763336</v>
      </c>
      <c r="D142" s="113">
        <v>9904048</v>
      </c>
      <c r="E142" s="113">
        <f t="shared" ref="E142:E153" si="20">D142-C142</f>
        <v>140712</v>
      </c>
      <c r="F142" s="114">
        <f t="shared" ref="F142:F153" si="21">IF(C142=0,0,E142/C142)</f>
        <v>1.4412286947821934E-2</v>
      </c>
    </row>
    <row r="143" spans="1:6" x14ac:dyDescent="0.2">
      <c r="A143" s="115">
        <v>2</v>
      </c>
      <c r="B143" s="116" t="s">
        <v>114</v>
      </c>
      <c r="C143" s="113">
        <v>1426960</v>
      </c>
      <c r="D143" s="113">
        <v>1764163</v>
      </c>
      <c r="E143" s="113">
        <f t="shared" si="20"/>
        <v>337203</v>
      </c>
      <c r="F143" s="114">
        <f t="shared" si="21"/>
        <v>0.23630865616415317</v>
      </c>
    </row>
    <row r="144" spans="1:6" x14ac:dyDescent="0.2">
      <c r="A144" s="115">
        <v>3</v>
      </c>
      <c r="B144" s="116" t="s">
        <v>115</v>
      </c>
      <c r="C144" s="113">
        <v>12853422</v>
      </c>
      <c r="D144" s="113">
        <v>14825361</v>
      </c>
      <c r="E144" s="113">
        <f t="shared" si="20"/>
        <v>1971939</v>
      </c>
      <c r="F144" s="114">
        <f t="shared" si="21"/>
        <v>0.15341743233825203</v>
      </c>
    </row>
    <row r="145" spans="1:6" x14ac:dyDescent="0.2">
      <c r="A145" s="115">
        <v>4</v>
      </c>
      <c r="B145" s="116" t="s">
        <v>116</v>
      </c>
      <c r="C145" s="113">
        <v>269400</v>
      </c>
      <c r="D145" s="113">
        <v>0</v>
      </c>
      <c r="E145" s="113">
        <f t="shared" si="20"/>
        <v>-269400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258930</v>
      </c>
      <c r="D146" s="113">
        <v>329437</v>
      </c>
      <c r="E146" s="113">
        <f t="shared" si="20"/>
        <v>70507</v>
      </c>
      <c r="F146" s="114">
        <f t="shared" si="21"/>
        <v>0.27230139419920441</v>
      </c>
    </row>
    <row r="147" spans="1:6" x14ac:dyDescent="0.2">
      <c r="A147" s="115">
        <v>6</v>
      </c>
      <c r="B147" s="116" t="s">
        <v>118</v>
      </c>
      <c r="C147" s="113">
        <v>2696856</v>
      </c>
      <c r="D147" s="113">
        <v>2971151</v>
      </c>
      <c r="E147" s="113">
        <f t="shared" si="20"/>
        <v>274295</v>
      </c>
      <c r="F147" s="114">
        <f t="shared" si="21"/>
        <v>0.10170917542501343</v>
      </c>
    </row>
    <row r="148" spans="1:6" x14ac:dyDescent="0.2">
      <c r="A148" s="115">
        <v>7</v>
      </c>
      <c r="B148" s="116" t="s">
        <v>119</v>
      </c>
      <c r="C148" s="113">
        <v>9351814</v>
      </c>
      <c r="D148" s="113">
        <v>9268709</v>
      </c>
      <c r="E148" s="113">
        <f t="shared" si="20"/>
        <v>-83105</v>
      </c>
      <c r="F148" s="114">
        <f t="shared" si="21"/>
        <v>-8.8865112158988627E-3</v>
      </c>
    </row>
    <row r="149" spans="1:6" x14ac:dyDescent="0.2">
      <c r="A149" s="115">
        <v>8</v>
      </c>
      <c r="B149" s="116" t="s">
        <v>120</v>
      </c>
      <c r="C149" s="113">
        <v>613935</v>
      </c>
      <c r="D149" s="113">
        <v>506763</v>
      </c>
      <c r="E149" s="113">
        <f t="shared" si="20"/>
        <v>-107172</v>
      </c>
      <c r="F149" s="114">
        <f t="shared" si="21"/>
        <v>-0.1745657113538078</v>
      </c>
    </row>
    <row r="150" spans="1:6" x14ac:dyDescent="0.2">
      <c r="A150" s="115">
        <v>9</v>
      </c>
      <c r="B150" s="116" t="s">
        <v>121</v>
      </c>
      <c r="C150" s="113">
        <v>2731280</v>
      </c>
      <c r="D150" s="113">
        <v>2109671</v>
      </c>
      <c r="E150" s="113">
        <f t="shared" si="20"/>
        <v>-621609</v>
      </c>
      <c r="F150" s="114">
        <f t="shared" si="21"/>
        <v>-0.22758889604873905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123102</v>
      </c>
      <c r="D152" s="113">
        <v>98332</v>
      </c>
      <c r="E152" s="113">
        <f t="shared" si="20"/>
        <v>-24770</v>
      </c>
      <c r="F152" s="114">
        <f t="shared" si="21"/>
        <v>-0.20121525239232507</v>
      </c>
    </row>
    <row r="153" spans="1:6" ht="33.75" customHeight="1" x14ac:dyDescent="0.25">
      <c r="A153" s="117"/>
      <c r="B153" s="118" t="s">
        <v>146</v>
      </c>
      <c r="C153" s="119">
        <f>SUM(C142:C152)</f>
        <v>40089035</v>
      </c>
      <c r="D153" s="119">
        <f>SUM(D142:D152)</f>
        <v>41777635</v>
      </c>
      <c r="E153" s="119">
        <f t="shared" si="20"/>
        <v>1688600</v>
      </c>
      <c r="F153" s="120">
        <f t="shared" si="21"/>
        <v>4.2121243377397338E-2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2261948</v>
      </c>
      <c r="D155" s="113">
        <v>2412588</v>
      </c>
      <c r="E155" s="113">
        <f t="shared" ref="E155:E166" si="22">D155-C155</f>
        <v>150640</v>
      </c>
      <c r="F155" s="114">
        <f t="shared" ref="F155:F166" si="23">IF(C155=0,0,E155/C155)</f>
        <v>6.6597463779008187E-2</v>
      </c>
    </row>
    <row r="156" spans="1:6" x14ac:dyDescent="0.2">
      <c r="A156" s="115">
        <v>2</v>
      </c>
      <c r="B156" s="116" t="s">
        <v>114</v>
      </c>
      <c r="C156" s="113">
        <v>358103</v>
      </c>
      <c r="D156" s="113">
        <v>469599</v>
      </c>
      <c r="E156" s="113">
        <f t="shared" si="22"/>
        <v>111496</v>
      </c>
      <c r="F156" s="114">
        <f t="shared" si="23"/>
        <v>0.31135176192324554</v>
      </c>
    </row>
    <row r="157" spans="1:6" x14ac:dyDescent="0.2">
      <c r="A157" s="115">
        <v>3</v>
      </c>
      <c r="B157" s="116" t="s">
        <v>115</v>
      </c>
      <c r="C157" s="113">
        <v>3678697</v>
      </c>
      <c r="D157" s="113">
        <v>3548854</v>
      </c>
      <c r="E157" s="113">
        <f t="shared" si="22"/>
        <v>-129843</v>
      </c>
      <c r="F157" s="114">
        <f t="shared" si="23"/>
        <v>-3.5295921354762297E-2</v>
      </c>
    </row>
    <row r="158" spans="1:6" x14ac:dyDescent="0.2">
      <c r="A158" s="115">
        <v>4</v>
      </c>
      <c r="B158" s="116" t="s">
        <v>116</v>
      </c>
      <c r="C158" s="113">
        <v>72549</v>
      </c>
      <c r="D158" s="113">
        <v>0</v>
      </c>
      <c r="E158" s="113">
        <f t="shared" si="22"/>
        <v>-72549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65920</v>
      </c>
      <c r="D159" s="113">
        <v>80430</v>
      </c>
      <c r="E159" s="113">
        <f t="shared" si="22"/>
        <v>14510</v>
      </c>
      <c r="F159" s="114">
        <f t="shared" si="23"/>
        <v>0.22011529126213591</v>
      </c>
    </row>
    <row r="160" spans="1:6" x14ac:dyDescent="0.2">
      <c r="A160" s="115">
        <v>6</v>
      </c>
      <c r="B160" s="116" t="s">
        <v>118</v>
      </c>
      <c r="C160" s="113">
        <v>1270620</v>
      </c>
      <c r="D160" s="113">
        <v>1353916</v>
      </c>
      <c r="E160" s="113">
        <f t="shared" si="22"/>
        <v>83296</v>
      </c>
      <c r="F160" s="114">
        <f t="shared" si="23"/>
        <v>6.5555398152083236E-2</v>
      </c>
    </row>
    <row r="161" spans="1:6" x14ac:dyDescent="0.2">
      <c r="A161" s="115">
        <v>7</v>
      </c>
      <c r="B161" s="116" t="s">
        <v>119</v>
      </c>
      <c r="C161" s="113">
        <v>3916626</v>
      </c>
      <c r="D161" s="113">
        <v>3750602</v>
      </c>
      <c r="E161" s="113">
        <f t="shared" si="22"/>
        <v>-166024</v>
      </c>
      <c r="F161" s="114">
        <f t="shared" si="23"/>
        <v>-4.2389546512738262E-2</v>
      </c>
    </row>
    <row r="162" spans="1:6" x14ac:dyDescent="0.2">
      <c r="A162" s="115">
        <v>8</v>
      </c>
      <c r="B162" s="116" t="s">
        <v>120</v>
      </c>
      <c r="C162" s="113">
        <v>512680</v>
      </c>
      <c r="D162" s="113">
        <v>432740</v>
      </c>
      <c r="E162" s="113">
        <f t="shared" si="22"/>
        <v>-79940</v>
      </c>
      <c r="F162" s="114">
        <f t="shared" si="23"/>
        <v>-0.15592572364827964</v>
      </c>
    </row>
    <row r="163" spans="1:6" x14ac:dyDescent="0.2">
      <c r="A163" s="115">
        <v>9</v>
      </c>
      <c r="B163" s="116" t="s">
        <v>121</v>
      </c>
      <c r="C163" s="113">
        <v>1593082</v>
      </c>
      <c r="D163" s="113">
        <v>1549465</v>
      </c>
      <c r="E163" s="113">
        <f t="shared" si="22"/>
        <v>-43617</v>
      </c>
      <c r="F163" s="114">
        <f t="shared" si="23"/>
        <v>-2.737900497275093E-2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33743</v>
      </c>
      <c r="D165" s="113">
        <v>30948</v>
      </c>
      <c r="E165" s="113">
        <f t="shared" si="22"/>
        <v>-2795</v>
      </c>
      <c r="F165" s="114">
        <f t="shared" si="23"/>
        <v>-8.2831994784103372E-2</v>
      </c>
    </row>
    <row r="166" spans="1:6" ht="33.75" customHeight="1" x14ac:dyDescent="0.25">
      <c r="A166" s="117"/>
      <c r="B166" s="118" t="s">
        <v>148</v>
      </c>
      <c r="C166" s="119">
        <f>SUM(C155:C165)</f>
        <v>13763968</v>
      </c>
      <c r="D166" s="119">
        <f>SUM(D155:D165)</f>
        <v>13629142</v>
      </c>
      <c r="E166" s="119">
        <f t="shared" si="22"/>
        <v>-134826</v>
      </c>
      <c r="F166" s="120">
        <f t="shared" si="23"/>
        <v>-9.7955763919241896E-3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7816</v>
      </c>
      <c r="D168" s="133">
        <v>7732</v>
      </c>
      <c r="E168" s="133">
        <f t="shared" ref="E168:E179" si="24">D168-C168</f>
        <v>-84</v>
      </c>
      <c r="F168" s="114">
        <f t="shared" ref="F168:F179" si="25">IF(C168=0,0,E168/C168)</f>
        <v>-1.0747185261003071E-2</v>
      </c>
    </row>
    <row r="169" spans="1:6" x14ac:dyDescent="0.2">
      <c r="A169" s="115">
        <v>2</v>
      </c>
      <c r="B169" s="116" t="s">
        <v>114</v>
      </c>
      <c r="C169" s="133">
        <v>1062</v>
      </c>
      <c r="D169" s="133">
        <v>1280</v>
      </c>
      <c r="E169" s="133">
        <f t="shared" si="24"/>
        <v>218</v>
      </c>
      <c r="F169" s="114">
        <f t="shared" si="25"/>
        <v>0.20527306967984935</v>
      </c>
    </row>
    <row r="170" spans="1:6" x14ac:dyDescent="0.2">
      <c r="A170" s="115">
        <v>3</v>
      </c>
      <c r="B170" s="116" t="s">
        <v>115</v>
      </c>
      <c r="C170" s="133">
        <v>11635</v>
      </c>
      <c r="D170" s="133">
        <v>12829</v>
      </c>
      <c r="E170" s="133">
        <f t="shared" si="24"/>
        <v>1194</v>
      </c>
      <c r="F170" s="114">
        <f t="shared" si="25"/>
        <v>0.1026214009454233</v>
      </c>
    </row>
    <row r="171" spans="1:6" x14ac:dyDescent="0.2">
      <c r="A171" s="115">
        <v>4</v>
      </c>
      <c r="B171" s="116" t="s">
        <v>116</v>
      </c>
      <c r="C171" s="133">
        <v>221</v>
      </c>
      <c r="D171" s="133">
        <v>0</v>
      </c>
      <c r="E171" s="133">
        <f t="shared" si="24"/>
        <v>-221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235</v>
      </c>
      <c r="D172" s="133">
        <v>262</v>
      </c>
      <c r="E172" s="133">
        <f t="shared" si="24"/>
        <v>27</v>
      </c>
      <c r="F172" s="114">
        <f t="shared" si="25"/>
        <v>0.1148936170212766</v>
      </c>
    </row>
    <row r="173" spans="1:6" x14ac:dyDescent="0.2">
      <c r="A173" s="115">
        <v>6</v>
      </c>
      <c r="B173" s="116" t="s">
        <v>118</v>
      </c>
      <c r="C173" s="133">
        <v>2382</v>
      </c>
      <c r="D173" s="133">
        <v>2524</v>
      </c>
      <c r="E173" s="133">
        <f t="shared" si="24"/>
        <v>142</v>
      </c>
      <c r="F173" s="114">
        <f t="shared" si="25"/>
        <v>5.9613769941225858E-2</v>
      </c>
    </row>
    <row r="174" spans="1:6" x14ac:dyDescent="0.2">
      <c r="A174" s="115">
        <v>7</v>
      </c>
      <c r="B174" s="116" t="s">
        <v>119</v>
      </c>
      <c r="C174" s="133">
        <v>8439</v>
      </c>
      <c r="D174" s="133">
        <v>7991</v>
      </c>
      <c r="E174" s="133">
        <f t="shared" si="24"/>
        <v>-448</v>
      </c>
      <c r="F174" s="114">
        <f t="shared" si="25"/>
        <v>-5.3086858632539403E-2</v>
      </c>
    </row>
    <row r="175" spans="1:6" x14ac:dyDescent="0.2">
      <c r="A175" s="115">
        <v>8</v>
      </c>
      <c r="B175" s="116" t="s">
        <v>120</v>
      </c>
      <c r="C175" s="133">
        <v>692</v>
      </c>
      <c r="D175" s="133">
        <v>662</v>
      </c>
      <c r="E175" s="133">
        <f t="shared" si="24"/>
        <v>-30</v>
      </c>
      <c r="F175" s="114">
        <f t="shared" si="25"/>
        <v>-4.3352601156069363E-2</v>
      </c>
    </row>
    <row r="176" spans="1:6" x14ac:dyDescent="0.2">
      <c r="A176" s="115">
        <v>9</v>
      </c>
      <c r="B176" s="116" t="s">
        <v>121</v>
      </c>
      <c r="C176" s="133">
        <v>3198</v>
      </c>
      <c r="D176" s="133">
        <v>2486</v>
      </c>
      <c r="E176" s="133">
        <f t="shared" si="24"/>
        <v>-712</v>
      </c>
      <c r="F176" s="114">
        <f t="shared" si="25"/>
        <v>-0.22263914946841776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110</v>
      </c>
      <c r="D178" s="133">
        <v>87</v>
      </c>
      <c r="E178" s="133">
        <f t="shared" si="24"/>
        <v>-23</v>
      </c>
      <c r="F178" s="114">
        <f t="shared" si="25"/>
        <v>-0.20909090909090908</v>
      </c>
    </row>
    <row r="179" spans="1:6" ht="33.75" customHeight="1" x14ac:dyDescent="0.25">
      <c r="A179" s="117"/>
      <c r="B179" s="118" t="s">
        <v>150</v>
      </c>
      <c r="C179" s="134">
        <f>SUM(C168:C178)</f>
        <v>35790</v>
      </c>
      <c r="D179" s="134">
        <f>SUM(D168:D178)</f>
        <v>35853</v>
      </c>
      <c r="E179" s="134">
        <f t="shared" si="24"/>
        <v>63</v>
      </c>
      <c r="F179" s="120">
        <f t="shared" si="25"/>
        <v>1.7602682313495391E-3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FILING&amp;RCHARLOTTE HUNGERFORD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22590903</v>
      </c>
      <c r="D15" s="157">
        <v>22031082</v>
      </c>
      <c r="E15" s="157">
        <f>+D15-C15</f>
        <v>-559821</v>
      </c>
      <c r="F15" s="161">
        <f>IF(C15=0,0,E15/C15)</f>
        <v>-2.4780815534465355E-2</v>
      </c>
    </row>
    <row r="16" spans="1:6" ht="15" customHeight="1" x14ac:dyDescent="0.2">
      <c r="A16" s="147">
        <v>2</v>
      </c>
      <c r="B16" s="160" t="s">
        <v>157</v>
      </c>
      <c r="C16" s="157">
        <v>8984103</v>
      </c>
      <c r="D16" s="157">
        <v>8726511</v>
      </c>
      <c r="E16" s="157">
        <f>+D16-C16</f>
        <v>-257592</v>
      </c>
      <c r="F16" s="161">
        <f>IF(C16=0,0,E16/C16)</f>
        <v>-2.8671977603106288E-2</v>
      </c>
    </row>
    <row r="17" spans="1:6" ht="15" customHeight="1" x14ac:dyDescent="0.2">
      <c r="A17" s="147">
        <v>3</v>
      </c>
      <c r="B17" s="160" t="s">
        <v>158</v>
      </c>
      <c r="C17" s="157">
        <v>26897491</v>
      </c>
      <c r="D17" s="157">
        <v>25945384</v>
      </c>
      <c r="E17" s="157">
        <f>+D17-C17</f>
        <v>-952107</v>
      </c>
      <c r="F17" s="161">
        <f>IF(C17=0,0,E17/C17)</f>
        <v>-3.5397613851790119E-2</v>
      </c>
    </row>
    <row r="18" spans="1:6" ht="15.75" customHeight="1" x14ac:dyDescent="0.25">
      <c r="A18" s="147"/>
      <c r="B18" s="162" t="s">
        <v>159</v>
      </c>
      <c r="C18" s="158">
        <f>SUM(C15:C17)</f>
        <v>58472497</v>
      </c>
      <c r="D18" s="158">
        <f>SUM(D15:D17)</f>
        <v>56702977</v>
      </c>
      <c r="E18" s="158">
        <f>+D18-C18</f>
        <v>-1769520</v>
      </c>
      <c r="F18" s="159">
        <f>IF(C18=0,0,E18/C18)</f>
        <v>-3.0262432609984142E-2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6262671</v>
      </c>
      <c r="D21" s="157">
        <v>5451956</v>
      </c>
      <c r="E21" s="157">
        <f>+D21-C21</f>
        <v>-810715</v>
      </c>
      <c r="F21" s="161">
        <f>IF(C21=0,0,E21/C21)</f>
        <v>-0.12945195428595882</v>
      </c>
    </row>
    <row r="22" spans="1:6" ht="15" customHeight="1" x14ac:dyDescent="0.2">
      <c r="A22" s="147">
        <v>2</v>
      </c>
      <c r="B22" s="160" t="s">
        <v>162</v>
      </c>
      <c r="C22" s="157">
        <v>2490581</v>
      </c>
      <c r="D22" s="157">
        <v>2159520</v>
      </c>
      <c r="E22" s="157">
        <f>+D22-C22</f>
        <v>-331061</v>
      </c>
      <c r="F22" s="161">
        <f>IF(C22=0,0,E22/C22)</f>
        <v>-0.1329252090174943</v>
      </c>
    </row>
    <row r="23" spans="1:6" ht="15" customHeight="1" x14ac:dyDescent="0.2">
      <c r="A23" s="147">
        <v>3</v>
      </c>
      <c r="B23" s="160" t="s">
        <v>163</v>
      </c>
      <c r="C23" s="157">
        <v>7456548</v>
      </c>
      <c r="D23" s="157">
        <v>6420615</v>
      </c>
      <c r="E23" s="157">
        <f>+D23-C23</f>
        <v>-1035933</v>
      </c>
      <c r="F23" s="161">
        <f>IF(C23=0,0,E23/C23)</f>
        <v>-0.13892930079709806</v>
      </c>
    </row>
    <row r="24" spans="1:6" ht="15.75" customHeight="1" x14ac:dyDescent="0.25">
      <c r="A24" s="147"/>
      <c r="B24" s="162" t="s">
        <v>164</v>
      </c>
      <c r="C24" s="158">
        <f>SUM(C21:C23)</f>
        <v>16209800</v>
      </c>
      <c r="D24" s="158">
        <f>SUM(D21:D23)</f>
        <v>14032091</v>
      </c>
      <c r="E24" s="158">
        <f>+D24-C24</f>
        <v>-2177709</v>
      </c>
      <c r="F24" s="159">
        <f>IF(C24=0,0,E24/C24)</f>
        <v>-0.13434521092178806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613655</v>
      </c>
      <c r="D27" s="157">
        <v>372363</v>
      </c>
      <c r="E27" s="157">
        <f>+D27-C27</f>
        <v>-241292</v>
      </c>
      <c r="F27" s="161">
        <f>IF(C27=0,0,E27/C27)</f>
        <v>-0.3932046508217158</v>
      </c>
    </row>
    <row r="28" spans="1:6" ht="15" customHeight="1" x14ac:dyDescent="0.2">
      <c r="A28" s="147">
        <v>2</v>
      </c>
      <c r="B28" s="160" t="s">
        <v>167</v>
      </c>
      <c r="C28" s="157">
        <v>4669548</v>
      </c>
      <c r="D28" s="157">
        <v>4330528</v>
      </c>
      <c r="E28" s="157">
        <f>+D28-C28</f>
        <v>-339020</v>
      </c>
      <c r="F28" s="161">
        <f>IF(C28=0,0,E28/C28)</f>
        <v>-7.2602316112822918E-2</v>
      </c>
    </row>
    <row r="29" spans="1:6" ht="15" customHeight="1" x14ac:dyDescent="0.2">
      <c r="A29" s="147">
        <v>3</v>
      </c>
      <c r="B29" s="160" t="s">
        <v>168</v>
      </c>
      <c r="C29" s="157">
        <v>234519</v>
      </c>
      <c r="D29" s="157">
        <v>665011</v>
      </c>
      <c r="E29" s="157">
        <f>+D29-C29</f>
        <v>430492</v>
      </c>
      <c r="F29" s="161">
        <f>IF(C29=0,0,E29/C29)</f>
        <v>1.8356380506483483</v>
      </c>
    </row>
    <row r="30" spans="1:6" ht="15.75" customHeight="1" x14ac:dyDescent="0.25">
      <c r="A30" s="147"/>
      <c r="B30" s="162" t="s">
        <v>169</v>
      </c>
      <c r="C30" s="158">
        <f>SUM(C27:C29)</f>
        <v>5517722</v>
      </c>
      <c r="D30" s="158">
        <f>SUM(D27:D29)</f>
        <v>5367902</v>
      </c>
      <c r="E30" s="158">
        <f>+D30-C30</f>
        <v>-149820</v>
      </c>
      <c r="F30" s="159">
        <f>IF(C30=0,0,E30/C30)</f>
        <v>-2.7152509677000763E-2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8819965</v>
      </c>
      <c r="D33" s="157">
        <v>7466603</v>
      </c>
      <c r="E33" s="157">
        <f>+D33-C33</f>
        <v>-1353362</v>
      </c>
      <c r="F33" s="161">
        <f>IF(C33=0,0,E33/C33)</f>
        <v>-0.15344301252896128</v>
      </c>
    </row>
    <row r="34" spans="1:6" ht="15" customHeight="1" x14ac:dyDescent="0.2">
      <c r="A34" s="147">
        <v>2</v>
      </c>
      <c r="B34" s="160" t="s">
        <v>173</v>
      </c>
      <c r="C34" s="157">
        <v>3700756</v>
      </c>
      <c r="D34" s="157">
        <v>4153358</v>
      </c>
      <c r="E34" s="157">
        <f>+D34-C34</f>
        <v>452602</v>
      </c>
      <c r="F34" s="161">
        <f>IF(C34=0,0,E34/C34)</f>
        <v>0.12229987602533104</v>
      </c>
    </row>
    <row r="35" spans="1:6" ht="15.75" customHeight="1" x14ac:dyDescent="0.25">
      <c r="A35" s="147"/>
      <c r="B35" s="162" t="s">
        <v>174</v>
      </c>
      <c r="C35" s="158">
        <f>SUM(C33:C34)</f>
        <v>12520721</v>
      </c>
      <c r="D35" s="158">
        <f>SUM(D33:D34)</f>
        <v>11619961</v>
      </c>
      <c r="E35" s="158">
        <f>+D35-C35</f>
        <v>-900760</v>
      </c>
      <c r="F35" s="159">
        <f>IF(C35=0,0,E35/C35)</f>
        <v>-7.1941543941439159E-2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3129852</v>
      </c>
      <c r="D38" s="157">
        <v>3253883</v>
      </c>
      <c r="E38" s="157">
        <f>+D38-C38</f>
        <v>124031</v>
      </c>
      <c r="F38" s="161">
        <f>IF(C38=0,0,E38/C38)</f>
        <v>3.9628391374416427E-2</v>
      </c>
    </row>
    <row r="39" spans="1:6" ht="15" customHeight="1" x14ac:dyDescent="0.2">
      <c r="A39" s="147">
        <v>2</v>
      </c>
      <c r="B39" s="160" t="s">
        <v>178</v>
      </c>
      <c r="C39" s="157">
        <v>2846058</v>
      </c>
      <c r="D39" s="157">
        <v>2607931</v>
      </c>
      <c r="E39" s="157">
        <f>+D39-C39</f>
        <v>-238127</v>
      </c>
      <c r="F39" s="161">
        <f>IF(C39=0,0,E39/C39)</f>
        <v>-8.3669060855400698E-2</v>
      </c>
    </row>
    <row r="40" spans="1:6" ht="15" customHeight="1" x14ac:dyDescent="0.2">
      <c r="A40" s="147">
        <v>3</v>
      </c>
      <c r="B40" s="160" t="s">
        <v>179</v>
      </c>
      <c r="C40" s="157">
        <v>74165</v>
      </c>
      <c r="D40" s="157">
        <v>37606</v>
      </c>
      <c r="E40" s="157">
        <f>+D40-C40</f>
        <v>-36559</v>
      </c>
      <c r="F40" s="161">
        <f>IF(C40=0,0,E40/C40)</f>
        <v>-0.49294141441380707</v>
      </c>
    </row>
    <row r="41" spans="1:6" ht="15.75" customHeight="1" x14ac:dyDescent="0.25">
      <c r="A41" s="147"/>
      <c r="B41" s="162" t="s">
        <v>180</v>
      </c>
      <c r="C41" s="158">
        <f>SUM(C38:C40)</f>
        <v>6050075</v>
      </c>
      <c r="D41" s="158">
        <f>SUM(D38:D40)</f>
        <v>5899420</v>
      </c>
      <c r="E41" s="158">
        <f>+D41-C41</f>
        <v>-150655</v>
      </c>
      <c r="F41" s="159">
        <f>IF(C41=0,0,E41/C41)</f>
        <v>-2.4901344198212418E-2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250825</v>
      </c>
      <c r="D47" s="157">
        <v>15651</v>
      </c>
      <c r="E47" s="157">
        <f>+D47-C47</f>
        <v>-235174</v>
      </c>
      <c r="F47" s="161">
        <f>IF(C47=0,0,E47/C47)</f>
        <v>-0.93760191368484003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1842449</v>
      </c>
      <c r="D50" s="157">
        <v>1701301</v>
      </c>
      <c r="E50" s="157">
        <f>+D50-C50</f>
        <v>-141148</v>
      </c>
      <c r="F50" s="161">
        <f>IF(C50=0,0,E50/C50)</f>
        <v>-7.6608904778368361E-2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58435</v>
      </c>
      <c r="D53" s="157">
        <v>52276</v>
      </c>
      <c r="E53" s="157">
        <f t="shared" ref="E53:E59" si="0">+D53-C53</f>
        <v>-6159</v>
      </c>
      <c r="F53" s="161">
        <f t="shared" ref="F53:F59" si="1">IF(C53=0,0,E53/C53)</f>
        <v>-0.10539916146145289</v>
      </c>
    </row>
    <row r="54" spans="1:6" ht="15" customHeight="1" x14ac:dyDescent="0.2">
      <c r="A54" s="147">
        <v>2</v>
      </c>
      <c r="B54" s="160" t="s">
        <v>189</v>
      </c>
      <c r="C54" s="157">
        <v>474363</v>
      </c>
      <c r="D54" s="157">
        <v>522370</v>
      </c>
      <c r="E54" s="157">
        <f t="shared" si="0"/>
        <v>48007</v>
      </c>
      <c r="F54" s="161">
        <f t="shared" si="1"/>
        <v>0.10120308708731499</v>
      </c>
    </row>
    <row r="55" spans="1:6" ht="15" customHeight="1" x14ac:dyDescent="0.2">
      <c r="A55" s="147">
        <v>3</v>
      </c>
      <c r="B55" s="160" t="s">
        <v>190</v>
      </c>
      <c r="C55" s="157">
        <v>15980</v>
      </c>
      <c r="D55" s="157">
        <v>16892</v>
      </c>
      <c r="E55" s="157">
        <f t="shared" si="0"/>
        <v>912</v>
      </c>
      <c r="F55" s="161">
        <f t="shared" si="1"/>
        <v>5.7071339173967457E-2</v>
      </c>
    </row>
    <row r="56" spans="1:6" ht="15" customHeight="1" x14ac:dyDescent="0.2">
      <c r="A56" s="147">
        <v>4</v>
      </c>
      <c r="B56" s="160" t="s">
        <v>191</v>
      </c>
      <c r="C56" s="157">
        <v>1242732</v>
      </c>
      <c r="D56" s="157">
        <v>1237940</v>
      </c>
      <c r="E56" s="157">
        <f t="shared" si="0"/>
        <v>-4792</v>
      </c>
      <c r="F56" s="161">
        <f t="shared" si="1"/>
        <v>-3.8560204452770187E-3</v>
      </c>
    </row>
    <row r="57" spans="1:6" ht="15" customHeight="1" x14ac:dyDescent="0.2">
      <c r="A57" s="147">
        <v>5</v>
      </c>
      <c r="B57" s="160" t="s">
        <v>192</v>
      </c>
      <c r="C57" s="157">
        <v>233223</v>
      </c>
      <c r="D57" s="157">
        <v>270635</v>
      </c>
      <c r="E57" s="157">
        <f t="shared" si="0"/>
        <v>37412</v>
      </c>
      <c r="F57" s="161">
        <f t="shared" si="1"/>
        <v>0.16041299528777178</v>
      </c>
    </row>
    <row r="58" spans="1:6" ht="15" customHeight="1" x14ac:dyDescent="0.2">
      <c r="A58" s="147">
        <v>6</v>
      </c>
      <c r="B58" s="160" t="s">
        <v>193</v>
      </c>
      <c r="C58" s="157">
        <v>53835</v>
      </c>
      <c r="D58" s="157">
        <v>61543</v>
      </c>
      <c r="E58" s="157">
        <f t="shared" si="0"/>
        <v>7708</v>
      </c>
      <c r="F58" s="161">
        <f t="shared" si="1"/>
        <v>0.14317822977616793</v>
      </c>
    </row>
    <row r="59" spans="1:6" ht="15.75" customHeight="1" x14ac:dyDescent="0.25">
      <c r="A59" s="147"/>
      <c r="B59" s="162" t="s">
        <v>194</v>
      </c>
      <c r="C59" s="158">
        <f>SUM(C53:C58)</f>
        <v>2078568</v>
      </c>
      <c r="D59" s="158">
        <f>SUM(D53:D58)</f>
        <v>2161656</v>
      </c>
      <c r="E59" s="158">
        <f t="shared" si="0"/>
        <v>83088</v>
      </c>
      <c r="F59" s="159">
        <f t="shared" si="1"/>
        <v>3.9973674183380097E-2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109008</v>
      </c>
      <c r="D62" s="157">
        <v>119200</v>
      </c>
      <c r="E62" s="157">
        <f t="shared" ref="E62:E90" si="2">+D62-C62</f>
        <v>10192</v>
      </c>
      <c r="F62" s="161">
        <f t="shared" ref="F62:F90" si="3">IF(C62=0,0,E62/C62)</f>
        <v>9.349772493761925E-2</v>
      </c>
    </row>
    <row r="63" spans="1:6" ht="15" customHeight="1" x14ac:dyDescent="0.2">
      <c r="A63" s="147">
        <v>2</v>
      </c>
      <c r="B63" s="160" t="s">
        <v>198</v>
      </c>
      <c r="C63" s="157">
        <v>253533</v>
      </c>
      <c r="D63" s="157">
        <v>350198</v>
      </c>
      <c r="E63" s="157">
        <f t="shared" si="2"/>
        <v>96665</v>
      </c>
      <c r="F63" s="161">
        <f t="shared" si="3"/>
        <v>0.3812718659898317</v>
      </c>
    </row>
    <row r="64" spans="1:6" ht="15" customHeight="1" x14ac:dyDescent="0.2">
      <c r="A64" s="147">
        <v>3</v>
      </c>
      <c r="B64" s="160" t="s">
        <v>199</v>
      </c>
      <c r="C64" s="157">
        <v>570512</v>
      </c>
      <c r="D64" s="157">
        <v>348303</v>
      </c>
      <c r="E64" s="157">
        <f t="shared" si="2"/>
        <v>-222209</v>
      </c>
      <c r="F64" s="161">
        <f t="shared" si="3"/>
        <v>-0.38949049275037162</v>
      </c>
    </row>
    <row r="65" spans="1:6" ht="15" customHeight="1" x14ac:dyDescent="0.2">
      <c r="A65" s="147">
        <v>4</v>
      </c>
      <c r="B65" s="160" t="s">
        <v>200</v>
      </c>
      <c r="C65" s="157">
        <v>359416</v>
      </c>
      <c r="D65" s="157">
        <v>462298</v>
      </c>
      <c r="E65" s="157">
        <f t="shared" si="2"/>
        <v>102882</v>
      </c>
      <c r="F65" s="161">
        <f t="shared" si="3"/>
        <v>0.2862476906982438</v>
      </c>
    </row>
    <row r="66" spans="1:6" ht="15" customHeight="1" x14ac:dyDescent="0.2">
      <c r="A66" s="147">
        <v>5</v>
      </c>
      <c r="B66" s="160" t="s">
        <v>201</v>
      </c>
      <c r="C66" s="157">
        <v>1297634</v>
      </c>
      <c r="D66" s="157">
        <v>1004686</v>
      </c>
      <c r="E66" s="157">
        <f t="shared" si="2"/>
        <v>-292948</v>
      </c>
      <c r="F66" s="161">
        <f t="shared" si="3"/>
        <v>-0.22575549037710171</v>
      </c>
    </row>
    <row r="67" spans="1:6" ht="15" customHeight="1" x14ac:dyDescent="0.2">
      <c r="A67" s="147">
        <v>6</v>
      </c>
      <c r="B67" s="160" t="s">
        <v>202</v>
      </c>
      <c r="C67" s="157">
        <v>1103507</v>
      </c>
      <c r="D67" s="157">
        <v>1196858</v>
      </c>
      <c r="E67" s="157">
        <f t="shared" si="2"/>
        <v>93351</v>
      </c>
      <c r="F67" s="161">
        <f t="shared" si="3"/>
        <v>8.4594841718267311E-2</v>
      </c>
    </row>
    <row r="68" spans="1:6" ht="15" customHeight="1" x14ac:dyDescent="0.2">
      <c r="A68" s="147">
        <v>7</v>
      </c>
      <c r="B68" s="160" t="s">
        <v>203</v>
      </c>
      <c r="C68" s="157">
        <v>2525670</v>
      </c>
      <c r="D68" s="157">
        <v>2265969</v>
      </c>
      <c r="E68" s="157">
        <f t="shared" si="2"/>
        <v>-259701</v>
      </c>
      <c r="F68" s="161">
        <f t="shared" si="3"/>
        <v>-0.10282459703761775</v>
      </c>
    </row>
    <row r="69" spans="1:6" ht="15" customHeight="1" x14ac:dyDescent="0.2">
      <c r="A69" s="147">
        <v>8</v>
      </c>
      <c r="B69" s="160" t="s">
        <v>204</v>
      </c>
      <c r="C69" s="157">
        <v>283124</v>
      </c>
      <c r="D69" s="157">
        <v>296453</v>
      </c>
      <c r="E69" s="157">
        <f t="shared" si="2"/>
        <v>13329</v>
      </c>
      <c r="F69" s="161">
        <f t="shared" si="3"/>
        <v>4.7078311976377844E-2</v>
      </c>
    </row>
    <row r="70" spans="1:6" ht="15" customHeight="1" x14ac:dyDescent="0.2">
      <c r="A70" s="147">
        <v>9</v>
      </c>
      <c r="B70" s="160" t="s">
        <v>205</v>
      </c>
      <c r="C70" s="157">
        <v>33726</v>
      </c>
      <c r="D70" s="157">
        <v>29278</v>
      </c>
      <c r="E70" s="157">
        <f t="shared" si="2"/>
        <v>-4448</v>
      </c>
      <c r="F70" s="161">
        <f t="shared" si="3"/>
        <v>-0.13188637846172094</v>
      </c>
    </row>
    <row r="71" spans="1:6" ht="15" customHeight="1" x14ac:dyDescent="0.2">
      <c r="A71" s="147">
        <v>10</v>
      </c>
      <c r="B71" s="160" t="s">
        <v>206</v>
      </c>
      <c r="C71" s="157">
        <v>166304</v>
      </c>
      <c r="D71" s="157">
        <v>163477</v>
      </c>
      <c r="E71" s="157">
        <f t="shared" si="2"/>
        <v>-2827</v>
      </c>
      <c r="F71" s="161">
        <f t="shared" si="3"/>
        <v>-1.6998989801808737E-2</v>
      </c>
    </row>
    <row r="72" spans="1:6" ht="15" customHeight="1" x14ac:dyDescent="0.2">
      <c r="A72" s="147">
        <v>11</v>
      </c>
      <c r="B72" s="160" t="s">
        <v>207</v>
      </c>
      <c r="C72" s="157">
        <v>208552</v>
      </c>
      <c r="D72" s="157">
        <v>207646</v>
      </c>
      <c r="E72" s="157">
        <f t="shared" si="2"/>
        <v>-906</v>
      </c>
      <c r="F72" s="161">
        <f t="shared" si="3"/>
        <v>-4.3442402853964479E-3</v>
      </c>
    </row>
    <row r="73" spans="1:6" ht="15" customHeight="1" x14ac:dyDescent="0.2">
      <c r="A73" s="147">
        <v>12</v>
      </c>
      <c r="B73" s="160" t="s">
        <v>208</v>
      </c>
      <c r="C73" s="157">
        <v>736066</v>
      </c>
      <c r="D73" s="157">
        <v>741960</v>
      </c>
      <c r="E73" s="157">
        <f t="shared" si="2"/>
        <v>5894</v>
      </c>
      <c r="F73" s="161">
        <f t="shared" si="3"/>
        <v>8.0074341159624279E-3</v>
      </c>
    </row>
    <row r="74" spans="1:6" ht="15" customHeight="1" x14ac:dyDescent="0.2">
      <c r="A74" s="147">
        <v>13</v>
      </c>
      <c r="B74" s="160" t="s">
        <v>209</v>
      </c>
      <c r="C74" s="157">
        <v>145149</v>
      </c>
      <c r="D74" s="157">
        <v>149780</v>
      </c>
      <c r="E74" s="157">
        <f t="shared" si="2"/>
        <v>4631</v>
      </c>
      <c r="F74" s="161">
        <f t="shared" si="3"/>
        <v>3.1905145746784339E-2</v>
      </c>
    </row>
    <row r="75" spans="1:6" ht="15" customHeight="1" x14ac:dyDescent="0.2">
      <c r="A75" s="147">
        <v>14</v>
      </c>
      <c r="B75" s="160" t="s">
        <v>210</v>
      </c>
      <c r="C75" s="157">
        <v>146736</v>
      </c>
      <c r="D75" s="157">
        <v>132399</v>
      </c>
      <c r="E75" s="157">
        <f t="shared" si="2"/>
        <v>-14337</v>
      </c>
      <c r="F75" s="161">
        <f t="shared" si="3"/>
        <v>-9.7706084396467122E-2</v>
      </c>
    </row>
    <row r="76" spans="1:6" ht="15" customHeight="1" x14ac:dyDescent="0.2">
      <c r="A76" s="147">
        <v>15</v>
      </c>
      <c r="B76" s="160" t="s">
        <v>211</v>
      </c>
      <c r="C76" s="157">
        <v>250728</v>
      </c>
      <c r="D76" s="157">
        <v>224438</v>
      </c>
      <c r="E76" s="157">
        <f t="shared" si="2"/>
        <v>-26290</v>
      </c>
      <c r="F76" s="161">
        <f t="shared" si="3"/>
        <v>-0.10485466322070132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1336296</v>
      </c>
      <c r="D78" s="157">
        <v>1550271</v>
      </c>
      <c r="E78" s="157">
        <f t="shared" si="2"/>
        <v>213975</v>
      </c>
      <c r="F78" s="161">
        <f t="shared" si="3"/>
        <v>0.16012545124732844</v>
      </c>
    </row>
    <row r="79" spans="1:6" ht="15" customHeight="1" x14ac:dyDescent="0.2">
      <c r="A79" s="147">
        <v>18</v>
      </c>
      <c r="B79" s="160" t="s">
        <v>214</v>
      </c>
      <c r="C79" s="157">
        <v>437390</v>
      </c>
      <c r="D79" s="157">
        <v>426459</v>
      </c>
      <c r="E79" s="157">
        <f t="shared" si="2"/>
        <v>-10931</v>
      </c>
      <c r="F79" s="161">
        <f t="shared" si="3"/>
        <v>-2.4991426415784539E-2</v>
      </c>
    </row>
    <row r="80" spans="1:6" ht="15" customHeight="1" x14ac:dyDescent="0.2">
      <c r="A80" s="147">
        <v>19</v>
      </c>
      <c r="B80" s="160" t="s">
        <v>215</v>
      </c>
      <c r="C80" s="157">
        <v>1822885</v>
      </c>
      <c r="D80" s="157">
        <v>1767499</v>
      </c>
      <c r="E80" s="157">
        <f t="shared" si="2"/>
        <v>-55386</v>
      </c>
      <c r="F80" s="161">
        <f t="shared" si="3"/>
        <v>-3.0383704951217439E-2</v>
      </c>
    </row>
    <row r="81" spans="1:6" ht="15" customHeight="1" x14ac:dyDescent="0.2">
      <c r="A81" s="147">
        <v>20</v>
      </c>
      <c r="B81" s="160" t="s">
        <v>216</v>
      </c>
      <c r="C81" s="157">
        <v>2290720</v>
      </c>
      <c r="D81" s="157">
        <v>4259531</v>
      </c>
      <c r="E81" s="157">
        <f t="shared" si="2"/>
        <v>1968811</v>
      </c>
      <c r="F81" s="161">
        <f t="shared" si="3"/>
        <v>0.85947256757700641</v>
      </c>
    </row>
    <row r="82" spans="1:6" ht="15" customHeight="1" x14ac:dyDescent="0.2">
      <c r="A82" s="147">
        <v>21</v>
      </c>
      <c r="B82" s="160" t="s">
        <v>217</v>
      </c>
      <c r="C82" s="157">
        <v>491282</v>
      </c>
      <c r="D82" s="157">
        <v>516923</v>
      </c>
      <c r="E82" s="157">
        <f t="shared" si="2"/>
        <v>25641</v>
      </c>
      <c r="F82" s="161">
        <f t="shared" si="3"/>
        <v>5.2192020061797503E-2</v>
      </c>
    </row>
    <row r="83" spans="1:6" ht="15" customHeight="1" x14ac:dyDescent="0.2">
      <c r="A83" s="147">
        <v>22</v>
      </c>
      <c r="B83" s="160" t="s">
        <v>218</v>
      </c>
      <c r="C83" s="157">
        <v>393613</v>
      </c>
      <c r="D83" s="157">
        <v>411650</v>
      </c>
      <c r="E83" s="157">
        <f t="shared" si="2"/>
        <v>18037</v>
      </c>
      <c r="F83" s="161">
        <f t="shared" si="3"/>
        <v>4.5824197879643203E-2</v>
      </c>
    </row>
    <row r="84" spans="1:6" ht="15" customHeight="1" x14ac:dyDescent="0.2">
      <c r="A84" s="147">
        <v>23</v>
      </c>
      <c r="B84" s="160" t="s">
        <v>219</v>
      </c>
      <c r="C84" s="157">
        <v>519379</v>
      </c>
      <c r="D84" s="157">
        <v>552179</v>
      </c>
      <c r="E84" s="157">
        <f t="shared" si="2"/>
        <v>32800</v>
      </c>
      <c r="F84" s="161">
        <f t="shared" si="3"/>
        <v>6.3152341546346691E-2</v>
      </c>
    </row>
    <row r="85" spans="1:6" ht="15" customHeight="1" x14ac:dyDescent="0.2">
      <c r="A85" s="147">
        <v>24</v>
      </c>
      <c r="B85" s="160" t="s">
        <v>220</v>
      </c>
      <c r="C85" s="157">
        <v>29693</v>
      </c>
      <c r="D85" s="157">
        <v>1268547</v>
      </c>
      <c r="E85" s="157">
        <f t="shared" si="2"/>
        <v>1238854</v>
      </c>
      <c r="F85" s="161">
        <f t="shared" si="3"/>
        <v>41.722089381335671</v>
      </c>
    </row>
    <row r="86" spans="1:6" ht="15" customHeight="1" x14ac:dyDescent="0.2">
      <c r="A86" s="147">
        <v>25</v>
      </c>
      <c r="B86" s="160" t="s">
        <v>221</v>
      </c>
      <c r="C86" s="157">
        <v>154468</v>
      </c>
      <c r="D86" s="157">
        <v>163826</v>
      </c>
      <c r="E86" s="157">
        <f t="shared" si="2"/>
        <v>9358</v>
      </c>
      <c r="F86" s="161">
        <f t="shared" si="3"/>
        <v>6.0582127042494237E-2</v>
      </c>
    </row>
    <row r="87" spans="1:6" ht="15" customHeight="1" x14ac:dyDescent="0.2">
      <c r="A87" s="147">
        <v>26</v>
      </c>
      <c r="B87" s="160" t="s">
        <v>222</v>
      </c>
      <c r="C87" s="157">
        <v>1033842</v>
      </c>
      <c r="D87" s="157">
        <v>1086702</v>
      </c>
      <c r="E87" s="157">
        <f t="shared" si="2"/>
        <v>52860</v>
      </c>
      <c r="F87" s="161">
        <f t="shared" si="3"/>
        <v>5.1129669717422971E-2</v>
      </c>
    </row>
    <row r="88" spans="1:6" ht="15" customHeight="1" x14ac:dyDescent="0.2">
      <c r="A88" s="147">
        <v>27</v>
      </c>
      <c r="B88" s="160" t="s">
        <v>223</v>
      </c>
      <c r="C88" s="157">
        <v>4124487</v>
      </c>
      <c r="D88" s="157">
        <v>3949666</v>
      </c>
      <c r="E88" s="157">
        <f t="shared" si="2"/>
        <v>-174821</v>
      </c>
      <c r="F88" s="161">
        <f t="shared" si="3"/>
        <v>-4.2386119776835277E-2</v>
      </c>
    </row>
    <row r="89" spans="1:6" ht="15" customHeight="1" x14ac:dyDescent="0.2">
      <c r="A89" s="147">
        <v>28</v>
      </c>
      <c r="B89" s="160" t="s">
        <v>224</v>
      </c>
      <c r="C89" s="157">
        <v>1110989</v>
      </c>
      <c r="D89" s="157">
        <v>850822</v>
      </c>
      <c r="E89" s="157">
        <f t="shared" si="2"/>
        <v>-260167</v>
      </c>
      <c r="F89" s="161">
        <f t="shared" si="3"/>
        <v>-0.2341760359463505</v>
      </c>
    </row>
    <row r="90" spans="1:6" ht="15.75" customHeight="1" x14ac:dyDescent="0.25">
      <c r="A90" s="147"/>
      <c r="B90" s="162" t="s">
        <v>225</v>
      </c>
      <c r="C90" s="158">
        <f>SUM(C62:C89)</f>
        <v>21934709</v>
      </c>
      <c r="D90" s="158">
        <f>SUM(D62:D89)</f>
        <v>24497018</v>
      </c>
      <c r="E90" s="158">
        <f t="shared" si="2"/>
        <v>2562309</v>
      </c>
      <c r="F90" s="159">
        <f t="shared" si="3"/>
        <v>0.1168152720877218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22619</v>
      </c>
      <c r="D93" s="157">
        <v>854</v>
      </c>
      <c r="E93" s="157">
        <f>+D93-C93</f>
        <v>-21765</v>
      </c>
      <c r="F93" s="161">
        <f>IF(C93=0,0,E93/C93)</f>
        <v>-0.96224413104027584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124899985</v>
      </c>
      <c r="D95" s="158">
        <f>+D93+D90+D59+D50+D47+D44+D41+D35+D30+D24+D18</f>
        <v>121998831</v>
      </c>
      <c r="E95" s="158">
        <f>+D95-C95</f>
        <v>-2901154</v>
      </c>
      <c r="F95" s="159">
        <f>IF(C95=0,0,E95/C95)</f>
        <v>-2.3227817040970822E-2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29263477</v>
      </c>
      <c r="D103" s="157">
        <v>26573883</v>
      </c>
      <c r="E103" s="157">
        <f t="shared" ref="E103:E121" si="4">D103-C103</f>
        <v>-2689594</v>
      </c>
      <c r="F103" s="161">
        <f t="shared" ref="F103:F121" si="5">IF(C103=0,0,E103/C103)</f>
        <v>-9.1909584086675683E-2</v>
      </c>
    </row>
    <row r="104" spans="1:6" ht="15" customHeight="1" x14ac:dyDescent="0.2">
      <c r="A104" s="147">
        <v>2</v>
      </c>
      <c r="B104" s="169" t="s">
        <v>234</v>
      </c>
      <c r="C104" s="157">
        <v>877749</v>
      </c>
      <c r="D104" s="157">
        <v>898613</v>
      </c>
      <c r="E104" s="157">
        <f t="shared" si="4"/>
        <v>20864</v>
      </c>
      <c r="F104" s="161">
        <f t="shared" si="5"/>
        <v>2.3769893215486431E-2</v>
      </c>
    </row>
    <row r="105" spans="1:6" ht="15" customHeight="1" x14ac:dyDescent="0.2">
      <c r="A105" s="147">
        <v>3</v>
      </c>
      <c r="B105" s="169" t="s">
        <v>235</v>
      </c>
      <c r="C105" s="157">
        <v>1176951</v>
      </c>
      <c r="D105" s="157">
        <v>1207033</v>
      </c>
      <c r="E105" s="157">
        <f t="shared" si="4"/>
        <v>30082</v>
      </c>
      <c r="F105" s="161">
        <f t="shared" si="5"/>
        <v>2.5559262875004991E-2</v>
      </c>
    </row>
    <row r="106" spans="1:6" ht="15" customHeight="1" x14ac:dyDescent="0.2">
      <c r="A106" s="147">
        <v>4</v>
      </c>
      <c r="B106" s="169" t="s">
        <v>236</v>
      </c>
      <c r="C106" s="157">
        <v>1207135</v>
      </c>
      <c r="D106" s="157">
        <v>1067535</v>
      </c>
      <c r="E106" s="157">
        <f t="shared" si="4"/>
        <v>-139600</v>
      </c>
      <c r="F106" s="161">
        <f t="shared" si="5"/>
        <v>-0.11564572313784291</v>
      </c>
    </row>
    <row r="107" spans="1:6" ht="15" customHeight="1" x14ac:dyDescent="0.2">
      <c r="A107" s="147">
        <v>5</v>
      </c>
      <c r="B107" s="169" t="s">
        <v>237</v>
      </c>
      <c r="C107" s="157">
        <v>3340256</v>
      </c>
      <c r="D107" s="157">
        <v>3854412</v>
      </c>
      <c r="E107" s="157">
        <f t="shared" si="4"/>
        <v>514156</v>
      </c>
      <c r="F107" s="161">
        <f t="shared" si="5"/>
        <v>0.15392712414856827</v>
      </c>
    </row>
    <row r="108" spans="1:6" ht="15" customHeight="1" x14ac:dyDescent="0.2">
      <c r="A108" s="147">
        <v>6</v>
      </c>
      <c r="B108" s="169" t="s">
        <v>238</v>
      </c>
      <c r="C108" s="157">
        <v>289800</v>
      </c>
      <c r="D108" s="157">
        <v>315092</v>
      </c>
      <c r="E108" s="157">
        <f t="shared" si="4"/>
        <v>25292</v>
      </c>
      <c r="F108" s="161">
        <f t="shared" si="5"/>
        <v>8.7273982056590746E-2</v>
      </c>
    </row>
    <row r="109" spans="1:6" ht="15" customHeight="1" x14ac:dyDescent="0.2">
      <c r="A109" s="147">
        <v>7</v>
      </c>
      <c r="B109" s="169" t="s">
        <v>239</v>
      </c>
      <c r="C109" s="157">
        <v>1048041</v>
      </c>
      <c r="D109" s="157">
        <v>941799</v>
      </c>
      <c r="E109" s="157">
        <f t="shared" si="4"/>
        <v>-106242</v>
      </c>
      <c r="F109" s="161">
        <f t="shared" si="5"/>
        <v>-0.10137198830961766</v>
      </c>
    </row>
    <row r="110" spans="1:6" ht="15" customHeight="1" x14ac:dyDescent="0.2">
      <c r="A110" s="147">
        <v>8</v>
      </c>
      <c r="B110" s="169" t="s">
        <v>240</v>
      </c>
      <c r="C110" s="157">
        <v>459022</v>
      </c>
      <c r="D110" s="157">
        <v>483765</v>
      </c>
      <c r="E110" s="157">
        <f t="shared" si="4"/>
        <v>24743</v>
      </c>
      <c r="F110" s="161">
        <f t="shared" si="5"/>
        <v>5.3903734461529074E-2</v>
      </c>
    </row>
    <row r="111" spans="1:6" ht="15" customHeight="1" x14ac:dyDescent="0.2">
      <c r="A111" s="147">
        <v>9</v>
      </c>
      <c r="B111" s="169" t="s">
        <v>241</v>
      </c>
      <c r="C111" s="157">
        <v>765511</v>
      </c>
      <c r="D111" s="157">
        <v>780961</v>
      </c>
      <c r="E111" s="157">
        <f t="shared" si="4"/>
        <v>15450</v>
      </c>
      <c r="F111" s="161">
        <f t="shared" si="5"/>
        <v>2.0182596984236672E-2</v>
      </c>
    </row>
    <row r="112" spans="1:6" ht="15" customHeight="1" x14ac:dyDescent="0.2">
      <c r="A112" s="147">
        <v>10</v>
      </c>
      <c r="B112" s="169" t="s">
        <v>242</v>
      </c>
      <c r="C112" s="157">
        <v>1610770</v>
      </c>
      <c r="D112" s="157">
        <v>1603117</v>
      </c>
      <c r="E112" s="157">
        <f t="shared" si="4"/>
        <v>-7653</v>
      </c>
      <c r="F112" s="161">
        <f t="shared" si="5"/>
        <v>-4.7511438628730362E-3</v>
      </c>
    </row>
    <row r="113" spans="1:6" ht="15" customHeight="1" x14ac:dyDescent="0.2">
      <c r="A113" s="147">
        <v>11</v>
      </c>
      <c r="B113" s="169" t="s">
        <v>243</v>
      </c>
      <c r="C113" s="157">
        <v>1512537</v>
      </c>
      <c r="D113" s="157">
        <v>1490492</v>
      </c>
      <c r="E113" s="157">
        <f t="shared" si="4"/>
        <v>-22045</v>
      </c>
      <c r="F113" s="161">
        <f t="shared" si="5"/>
        <v>-1.4574850069783417E-2</v>
      </c>
    </row>
    <row r="114" spans="1:6" ht="15" customHeight="1" x14ac:dyDescent="0.2">
      <c r="A114" s="147">
        <v>12</v>
      </c>
      <c r="B114" s="169" t="s">
        <v>244</v>
      </c>
      <c r="C114" s="157">
        <v>529202</v>
      </c>
      <c r="D114" s="157">
        <v>553111</v>
      </c>
      <c r="E114" s="157">
        <f t="shared" si="4"/>
        <v>23909</v>
      </c>
      <c r="F114" s="161">
        <f t="shared" si="5"/>
        <v>4.5179345505119026E-2</v>
      </c>
    </row>
    <row r="115" spans="1:6" ht="15" customHeight="1" x14ac:dyDescent="0.2">
      <c r="A115" s="147">
        <v>13</v>
      </c>
      <c r="B115" s="169" t="s">
        <v>245</v>
      </c>
      <c r="C115" s="157">
        <v>1983474</v>
      </c>
      <c r="D115" s="157">
        <v>1981853</v>
      </c>
      <c r="E115" s="157">
        <f t="shared" si="4"/>
        <v>-1621</v>
      </c>
      <c r="F115" s="161">
        <f t="shared" si="5"/>
        <v>-8.1725296121854885E-4</v>
      </c>
    </row>
    <row r="116" spans="1:6" ht="15" customHeight="1" x14ac:dyDescent="0.2">
      <c r="A116" s="147">
        <v>14</v>
      </c>
      <c r="B116" s="169" t="s">
        <v>246</v>
      </c>
      <c r="C116" s="157">
        <v>309577</v>
      </c>
      <c r="D116" s="157">
        <v>373194</v>
      </c>
      <c r="E116" s="157">
        <f t="shared" si="4"/>
        <v>63617</v>
      </c>
      <c r="F116" s="161">
        <f t="shared" si="5"/>
        <v>0.20549653236513049</v>
      </c>
    </row>
    <row r="117" spans="1:6" ht="15" customHeight="1" x14ac:dyDescent="0.2">
      <c r="A117" s="147">
        <v>15</v>
      </c>
      <c r="B117" s="169" t="s">
        <v>203</v>
      </c>
      <c r="C117" s="157">
        <v>880372</v>
      </c>
      <c r="D117" s="157">
        <v>951061</v>
      </c>
      <c r="E117" s="157">
        <f t="shared" si="4"/>
        <v>70689</v>
      </c>
      <c r="F117" s="161">
        <f t="shared" si="5"/>
        <v>8.0294466430100006E-2</v>
      </c>
    </row>
    <row r="118" spans="1:6" ht="15" customHeight="1" x14ac:dyDescent="0.2">
      <c r="A118" s="147">
        <v>16</v>
      </c>
      <c r="B118" s="169" t="s">
        <v>247</v>
      </c>
      <c r="C118" s="157">
        <v>422444</v>
      </c>
      <c r="D118" s="157">
        <v>456310</v>
      </c>
      <c r="E118" s="157">
        <f t="shared" si="4"/>
        <v>33866</v>
      </c>
      <c r="F118" s="161">
        <f t="shared" si="5"/>
        <v>8.016683868157673E-2</v>
      </c>
    </row>
    <row r="119" spans="1:6" ht="15" customHeight="1" x14ac:dyDescent="0.2">
      <c r="A119" s="147">
        <v>17</v>
      </c>
      <c r="B119" s="169" t="s">
        <v>248</v>
      </c>
      <c r="C119" s="157">
        <v>4873185</v>
      </c>
      <c r="D119" s="157">
        <v>5330371</v>
      </c>
      <c r="E119" s="157">
        <f t="shared" si="4"/>
        <v>457186</v>
      </c>
      <c r="F119" s="161">
        <f t="shared" si="5"/>
        <v>9.3816672258492134E-2</v>
      </c>
    </row>
    <row r="120" spans="1:6" ht="15" customHeight="1" x14ac:dyDescent="0.2">
      <c r="A120" s="147">
        <v>18</v>
      </c>
      <c r="B120" s="169" t="s">
        <v>249</v>
      </c>
      <c r="C120" s="157">
        <v>0</v>
      </c>
      <c r="D120" s="157">
        <v>0</v>
      </c>
      <c r="E120" s="157">
        <f t="shared" si="4"/>
        <v>0</v>
      </c>
      <c r="F120" s="161">
        <f t="shared" si="5"/>
        <v>0</v>
      </c>
    </row>
    <row r="121" spans="1:6" ht="15.75" customHeight="1" x14ac:dyDescent="0.25">
      <c r="A121" s="147"/>
      <c r="B121" s="165" t="s">
        <v>250</v>
      </c>
      <c r="C121" s="158">
        <f>SUM(C103:C120)</f>
        <v>50549503</v>
      </c>
      <c r="D121" s="158">
        <f>SUM(D103:D120)</f>
        <v>48862602</v>
      </c>
      <c r="E121" s="158">
        <f t="shared" si="4"/>
        <v>-1686901</v>
      </c>
      <c r="F121" s="159">
        <f t="shared" si="5"/>
        <v>-3.337126776498673E-2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683458</v>
      </c>
      <c r="D124" s="157">
        <v>789939</v>
      </c>
      <c r="E124" s="157">
        <f t="shared" ref="E124:E130" si="6">D124-C124</f>
        <v>106481</v>
      </c>
      <c r="F124" s="161">
        <f t="shared" ref="F124:F130" si="7">IF(C124=0,0,E124/C124)</f>
        <v>0.15579743012738165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1350351</v>
      </c>
      <c r="D126" s="157">
        <v>1504562</v>
      </c>
      <c r="E126" s="157">
        <f t="shared" si="6"/>
        <v>154211</v>
      </c>
      <c r="F126" s="161">
        <f t="shared" si="7"/>
        <v>0.11420067819403992</v>
      </c>
    </row>
    <row r="127" spans="1:6" ht="15" customHeight="1" x14ac:dyDescent="0.2">
      <c r="A127" s="147">
        <v>4</v>
      </c>
      <c r="B127" s="169" t="s">
        <v>255</v>
      </c>
      <c r="C127" s="157">
        <v>1996826</v>
      </c>
      <c r="D127" s="157">
        <v>1849687</v>
      </c>
      <c r="E127" s="157">
        <f t="shared" si="6"/>
        <v>-147139</v>
      </c>
      <c r="F127" s="161">
        <f t="shared" si="7"/>
        <v>-7.3686440380884469E-2</v>
      </c>
    </row>
    <row r="128" spans="1:6" ht="15" customHeight="1" x14ac:dyDescent="0.2">
      <c r="A128" s="147">
        <v>5</v>
      </c>
      <c r="B128" s="169" t="s">
        <v>256</v>
      </c>
      <c r="C128" s="157">
        <v>1490296</v>
      </c>
      <c r="D128" s="157">
        <v>1471257</v>
      </c>
      <c r="E128" s="157">
        <f t="shared" si="6"/>
        <v>-19039</v>
      </c>
      <c r="F128" s="161">
        <f t="shared" si="7"/>
        <v>-1.2775314434179518E-2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5520931</v>
      </c>
      <c r="D130" s="158">
        <f>SUM(D124:D129)</f>
        <v>5615445</v>
      </c>
      <c r="E130" s="158">
        <f t="shared" si="6"/>
        <v>94514</v>
      </c>
      <c r="F130" s="159">
        <f t="shared" si="7"/>
        <v>1.7119214132543949E-2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6935832</v>
      </c>
      <c r="D133" s="157">
        <v>6297890</v>
      </c>
      <c r="E133" s="157">
        <f t="shared" ref="E133:E167" si="8">D133-C133</f>
        <v>-637942</v>
      </c>
      <c r="F133" s="161">
        <f t="shared" ref="F133:F167" si="9">IF(C133=0,0,E133/C133)</f>
        <v>-9.1977718030079161E-2</v>
      </c>
    </row>
    <row r="134" spans="1:6" ht="15" customHeight="1" x14ac:dyDescent="0.2">
      <c r="A134" s="147">
        <v>2</v>
      </c>
      <c r="B134" s="169" t="s">
        <v>261</v>
      </c>
      <c r="C134" s="157">
        <v>674796</v>
      </c>
      <c r="D134" s="157">
        <v>528626</v>
      </c>
      <c r="E134" s="157">
        <f t="shared" si="8"/>
        <v>-146170</v>
      </c>
      <c r="F134" s="161">
        <f t="shared" si="9"/>
        <v>-0.21661361359581266</v>
      </c>
    </row>
    <row r="135" spans="1:6" ht="15" customHeight="1" x14ac:dyDescent="0.2">
      <c r="A135" s="147">
        <v>3</v>
      </c>
      <c r="B135" s="169" t="s">
        <v>262</v>
      </c>
      <c r="C135" s="157">
        <v>213591</v>
      </c>
      <c r="D135" s="157">
        <v>212071</v>
      </c>
      <c r="E135" s="157">
        <f t="shared" si="8"/>
        <v>-1520</v>
      </c>
      <c r="F135" s="161">
        <f t="shared" si="9"/>
        <v>-7.116404717427232E-3</v>
      </c>
    </row>
    <row r="136" spans="1:6" ht="15" customHeight="1" x14ac:dyDescent="0.2">
      <c r="A136" s="147">
        <v>4</v>
      </c>
      <c r="B136" s="169" t="s">
        <v>263</v>
      </c>
      <c r="C136" s="157">
        <v>695595</v>
      </c>
      <c r="D136" s="157">
        <v>562944</v>
      </c>
      <c r="E136" s="157">
        <f t="shared" si="8"/>
        <v>-132651</v>
      </c>
      <c r="F136" s="161">
        <f t="shared" si="9"/>
        <v>-0.19070148577836241</v>
      </c>
    </row>
    <row r="137" spans="1:6" ht="15" customHeight="1" x14ac:dyDescent="0.2">
      <c r="A137" s="147">
        <v>5</v>
      </c>
      <c r="B137" s="169" t="s">
        <v>264</v>
      </c>
      <c r="C137" s="157">
        <v>2941459</v>
      </c>
      <c r="D137" s="157">
        <v>2882688</v>
      </c>
      <c r="E137" s="157">
        <f t="shared" si="8"/>
        <v>-58771</v>
      </c>
      <c r="F137" s="161">
        <f t="shared" si="9"/>
        <v>-1.9980220699999558E-2</v>
      </c>
    </row>
    <row r="138" spans="1:6" ht="15" customHeight="1" x14ac:dyDescent="0.2">
      <c r="A138" s="147">
        <v>6</v>
      </c>
      <c r="B138" s="169" t="s">
        <v>265</v>
      </c>
      <c r="C138" s="157">
        <v>417796</v>
      </c>
      <c r="D138" s="157">
        <v>408632</v>
      </c>
      <c r="E138" s="157">
        <f t="shared" si="8"/>
        <v>-9164</v>
      </c>
      <c r="F138" s="161">
        <f t="shared" si="9"/>
        <v>-2.1934149680705416E-2</v>
      </c>
    </row>
    <row r="139" spans="1:6" ht="15" customHeight="1" x14ac:dyDescent="0.2">
      <c r="A139" s="147">
        <v>7</v>
      </c>
      <c r="B139" s="169" t="s">
        <v>266</v>
      </c>
      <c r="C139" s="157">
        <v>1867292</v>
      </c>
      <c r="D139" s="157">
        <v>1637682</v>
      </c>
      <c r="E139" s="157">
        <f t="shared" si="8"/>
        <v>-229610</v>
      </c>
      <c r="F139" s="161">
        <f t="shared" si="9"/>
        <v>-0.12296416414786761</v>
      </c>
    </row>
    <row r="140" spans="1:6" ht="15" customHeight="1" x14ac:dyDescent="0.2">
      <c r="A140" s="147">
        <v>8</v>
      </c>
      <c r="B140" s="169" t="s">
        <v>267</v>
      </c>
      <c r="C140" s="157">
        <v>375872</v>
      </c>
      <c r="D140" s="157">
        <v>345691</v>
      </c>
      <c r="E140" s="157">
        <f t="shared" si="8"/>
        <v>-30181</v>
      </c>
      <c r="F140" s="161">
        <f t="shared" si="9"/>
        <v>-8.0295951813383282E-2</v>
      </c>
    </row>
    <row r="141" spans="1:6" ht="15" customHeight="1" x14ac:dyDescent="0.2">
      <c r="A141" s="147">
        <v>9</v>
      </c>
      <c r="B141" s="169" t="s">
        <v>268</v>
      </c>
      <c r="C141" s="157">
        <v>754602</v>
      </c>
      <c r="D141" s="157">
        <v>645400</v>
      </c>
      <c r="E141" s="157">
        <f t="shared" si="8"/>
        <v>-109202</v>
      </c>
      <c r="F141" s="161">
        <f t="shared" si="9"/>
        <v>-0.14471469728413125</v>
      </c>
    </row>
    <row r="142" spans="1:6" ht="15" customHeight="1" x14ac:dyDescent="0.2">
      <c r="A142" s="147">
        <v>10</v>
      </c>
      <c r="B142" s="169" t="s">
        <v>269</v>
      </c>
      <c r="C142" s="157">
        <v>6201518</v>
      </c>
      <c r="D142" s="157">
        <v>5564933</v>
      </c>
      <c r="E142" s="157">
        <f t="shared" si="8"/>
        <v>-636585</v>
      </c>
      <c r="F142" s="161">
        <f t="shared" si="9"/>
        <v>-0.10264986733893218</v>
      </c>
    </row>
    <row r="143" spans="1:6" ht="15" customHeight="1" x14ac:dyDescent="0.2">
      <c r="A143" s="147">
        <v>11</v>
      </c>
      <c r="B143" s="169" t="s">
        <v>270</v>
      </c>
      <c r="C143" s="157">
        <v>1085406</v>
      </c>
      <c r="D143" s="157">
        <v>921046</v>
      </c>
      <c r="E143" s="157">
        <f t="shared" si="8"/>
        <v>-164360</v>
      </c>
      <c r="F143" s="161">
        <f t="shared" si="9"/>
        <v>-0.15142720788350167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246648</v>
      </c>
      <c r="D145" s="157">
        <v>222700</v>
      </c>
      <c r="E145" s="157">
        <f t="shared" si="8"/>
        <v>-23948</v>
      </c>
      <c r="F145" s="161">
        <f t="shared" si="9"/>
        <v>-9.7093834127988068E-2</v>
      </c>
    </row>
    <row r="146" spans="1:6" ht="15" customHeight="1" x14ac:dyDescent="0.2">
      <c r="A146" s="147">
        <v>14</v>
      </c>
      <c r="B146" s="169" t="s">
        <v>273</v>
      </c>
      <c r="C146" s="157">
        <v>12863</v>
      </c>
      <c r="D146" s="157">
        <v>13026</v>
      </c>
      <c r="E146" s="157">
        <f t="shared" si="8"/>
        <v>163</v>
      </c>
      <c r="F146" s="161">
        <f t="shared" si="9"/>
        <v>1.2672004975511157E-2</v>
      </c>
    </row>
    <row r="147" spans="1:6" ht="15" customHeight="1" x14ac:dyDescent="0.2">
      <c r="A147" s="147">
        <v>15</v>
      </c>
      <c r="B147" s="169" t="s">
        <v>274</v>
      </c>
      <c r="C147" s="157">
        <v>96076</v>
      </c>
      <c r="D147" s="157">
        <v>27564</v>
      </c>
      <c r="E147" s="157">
        <f t="shared" si="8"/>
        <v>-68512</v>
      </c>
      <c r="F147" s="161">
        <f t="shared" si="9"/>
        <v>-0.71310212748240975</v>
      </c>
    </row>
    <row r="148" spans="1:6" ht="15" customHeight="1" x14ac:dyDescent="0.2">
      <c r="A148" s="147">
        <v>16</v>
      </c>
      <c r="B148" s="169" t="s">
        <v>275</v>
      </c>
      <c r="C148" s="157">
        <v>62629</v>
      </c>
      <c r="D148" s="157">
        <v>79050</v>
      </c>
      <c r="E148" s="157">
        <f t="shared" si="8"/>
        <v>16421</v>
      </c>
      <c r="F148" s="161">
        <f t="shared" si="9"/>
        <v>0.26219482987114595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894513</v>
      </c>
      <c r="D150" s="157">
        <v>923882</v>
      </c>
      <c r="E150" s="157">
        <f t="shared" si="8"/>
        <v>29369</v>
      </c>
      <c r="F150" s="161">
        <f t="shared" si="9"/>
        <v>3.2832390362130009E-2</v>
      </c>
    </row>
    <row r="151" spans="1:6" ht="15" customHeight="1" x14ac:dyDescent="0.2">
      <c r="A151" s="147">
        <v>19</v>
      </c>
      <c r="B151" s="169" t="s">
        <v>278</v>
      </c>
      <c r="C151" s="157">
        <v>247358</v>
      </c>
      <c r="D151" s="157">
        <v>250745</v>
      </c>
      <c r="E151" s="157">
        <f t="shared" si="8"/>
        <v>3387</v>
      </c>
      <c r="F151" s="161">
        <f t="shared" si="9"/>
        <v>1.3692704501168346E-2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5071382</v>
      </c>
      <c r="D154" s="157">
        <v>4994599</v>
      </c>
      <c r="E154" s="157">
        <f t="shared" si="8"/>
        <v>-76783</v>
      </c>
      <c r="F154" s="161">
        <f t="shared" si="9"/>
        <v>-1.5140448895389857E-2</v>
      </c>
    </row>
    <row r="155" spans="1:6" ht="15" customHeight="1" x14ac:dyDescent="0.2">
      <c r="A155" s="147">
        <v>23</v>
      </c>
      <c r="B155" s="169" t="s">
        <v>282</v>
      </c>
      <c r="C155" s="157">
        <v>179437</v>
      </c>
      <c r="D155" s="157">
        <v>154448</v>
      </c>
      <c r="E155" s="157">
        <f t="shared" si="8"/>
        <v>-24989</v>
      </c>
      <c r="F155" s="161">
        <f t="shared" si="9"/>
        <v>-0.13926336262866632</v>
      </c>
    </row>
    <row r="156" spans="1:6" ht="15" customHeight="1" x14ac:dyDescent="0.2">
      <c r="A156" s="147">
        <v>24</v>
      </c>
      <c r="B156" s="169" t="s">
        <v>283</v>
      </c>
      <c r="C156" s="157">
        <v>6729539</v>
      </c>
      <c r="D156" s="157">
        <v>6602777</v>
      </c>
      <c r="E156" s="157">
        <f t="shared" si="8"/>
        <v>-126762</v>
      </c>
      <c r="F156" s="161">
        <f t="shared" si="9"/>
        <v>-1.8836654338432395E-2</v>
      </c>
    </row>
    <row r="157" spans="1:6" ht="15" customHeight="1" x14ac:dyDescent="0.2">
      <c r="A157" s="147">
        <v>25</v>
      </c>
      <c r="B157" s="169" t="s">
        <v>284</v>
      </c>
      <c r="C157" s="157">
        <v>281375</v>
      </c>
      <c r="D157" s="157">
        <v>354502</v>
      </c>
      <c r="E157" s="157">
        <f t="shared" si="8"/>
        <v>73127</v>
      </c>
      <c r="F157" s="161">
        <f t="shared" si="9"/>
        <v>0.2598916037316748</v>
      </c>
    </row>
    <row r="158" spans="1:6" ht="15" customHeight="1" x14ac:dyDescent="0.2">
      <c r="A158" s="147">
        <v>26</v>
      </c>
      <c r="B158" s="169" t="s">
        <v>285</v>
      </c>
      <c r="C158" s="157">
        <v>182813</v>
      </c>
      <c r="D158" s="157">
        <v>159771</v>
      </c>
      <c r="E158" s="157">
        <f t="shared" si="8"/>
        <v>-23042</v>
      </c>
      <c r="F158" s="161">
        <f t="shared" si="9"/>
        <v>-0.12604136467319063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389648</v>
      </c>
      <c r="D160" s="157">
        <v>338979</v>
      </c>
      <c r="E160" s="157">
        <f t="shared" si="8"/>
        <v>-50669</v>
      </c>
      <c r="F160" s="161">
        <f t="shared" si="9"/>
        <v>-0.1300378803432842</v>
      </c>
    </row>
    <row r="161" spans="1:6" ht="15" customHeight="1" x14ac:dyDescent="0.2">
      <c r="A161" s="147">
        <v>29</v>
      </c>
      <c r="B161" s="169" t="s">
        <v>288</v>
      </c>
      <c r="C161" s="157">
        <v>527035</v>
      </c>
      <c r="D161" s="157">
        <v>485559</v>
      </c>
      <c r="E161" s="157">
        <f t="shared" si="8"/>
        <v>-41476</v>
      </c>
      <c r="F161" s="161">
        <f t="shared" si="9"/>
        <v>-7.8696860739799063E-2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349241</v>
      </c>
      <c r="D163" s="157">
        <v>334595</v>
      </c>
      <c r="E163" s="157">
        <f t="shared" si="8"/>
        <v>-14646</v>
      </c>
      <c r="F163" s="161">
        <f t="shared" si="9"/>
        <v>-4.193665692172454E-2</v>
      </c>
    </row>
    <row r="164" spans="1:6" ht="15" customHeight="1" x14ac:dyDescent="0.2">
      <c r="A164" s="147">
        <v>32</v>
      </c>
      <c r="B164" s="169" t="s">
        <v>291</v>
      </c>
      <c r="C164" s="157">
        <v>963081</v>
      </c>
      <c r="D164" s="157">
        <v>1193648</v>
      </c>
      <c r="E164" s="157">
        <f t="shared" si="8"/>
        <v>230567</v>
      </c>
      <c r="F164" s="161">
        <f t="shared" si="9"/>
        <v>0.23940561593469292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113269</v>
      </c>
      <c r="D166" s="157">
        <v>118895</v>
      </c>
      <c r="E166" s="157">
        <f t="shared" si="8"/>
        <v>5626</v>
      </c>
      <c r="F166" s="161">
        <f t="shared" si="9"/>
        <v>4.9669371143031188E-2</v>
      </c>
    </row>
    <row r="167" spans="1:6" ht="15.75" customHeight="1" x14ac:dyDescent="0.25">
      <c r="A167" s="147"/>
      <c r="B167" s="165" t="s">
        <v>294</v>
      </c>
      <c r="C167" s="158">
        <f>SUM(C133:C166)</f>
        <v>38510666</v>
      </c>
      <c r="D167" s="158">
        <f>SUM(D133:D166)</f>
        <v>36262343</v>
      </c>
      <c r="E167" s="158">
        <f t="shared" si="8"/>
        <v>-2248323</v>
      </c>
      <c r="F167" s="159">
        <f t="shared" si="9"/>
        <v>-5.8381825959592598E-2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7474652</v>
      </c>
      <c r="D170" s="157">
        <v>7440820</v>
      </c>
      <c r="E170" s="157">
        <f t="shared" ref="E170:E183" si="10">D170-C170</f>
        <v>-33832</v>
      </c>
      <c r="F170" s="161">
        <f t="shared" ref="F170:F183" si="11">IF(C170=0,0,E170/C170)</f>
        <v>-4.5262307863964775E-3</v>
      </c>
    </row>
    <row r="171" spans="1:6" ht="15" customHeight="1" x14ac:dyDescent="0.2">
      <c r="A171" s="147">
        <v>2</v>
      </c>
      <c r="B171" s="169" t="s">
        <v>297</v>
      </c>
      <c r="C171" s="157">
        <v>2552372</v>
      </c>
      <c r="D171" s="157">
        <v>2681953</v>
      </c>
      <c r="E171" s="157">
        <f t="shared" si="10"/>
        <v>129581</v>
      </c>
      <c r="F171" s="161">
        <f t="shared" si="11"/>
        <v>5.0768853442993422E-2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2854438</v>
      </c>
      <c r="D173" s="157">
        <v>2647412</v>
      </c>
      <c r="E173" s="157">
        <f t="shared" si="10"/>
        <v>-207026</v>
      </c>
      <c r="F173" s="161">
        <f t="shared" si="11"/>
        <v>-7.2527762032315993E-2</v>
      </c>
    </row>
    <row r="174" spans="1:6" ht="15" customHeight="1" x14ac:dyDescent="0.2">
      <c r="A174" s="147">
        <v>5</v>
      </c>
      <c r="B174" s="169" t="s">
        <v>300</v>
      </c>
      <c r="C174" s="157">
        <v>963633</v>
      </c>
      <c r="D174" s="157">
        <v>780535</v>
      </c>
      <c r="E174" s="157">
        <f t="shared" si="10"/>
        <v>-183098</v>
      </c>
      <c r="F174" s="161">
        <f t="shared" si="11"/>
        <v>-0.19000802172611359</v>
      </c>
    </row>
    <row r="175" spans="1:6" ht="15" customHeight="1" x14ac:dyDescent="0.2">
      <c r="A175" s="147">
        <v>6</v>
      </c>
      <c r="B175" s="169" t="s">
        <v>301</v>
      </c>
      <c r="C175" s="157">
        <v>846042</v>
      </c>
      <c r="D175" s="157">
        <v>775089</v>
      </c>
      <c r="E175" s="157">
        <f t="shared" si="10"/>
        <v>-70953</v>
      </c>
      <c r="F175" s="161">
        <f t="shared" si="11"/>
        <v>-8.3864630833930226E-2</v>
      </c>
    </row>
    <row r="176" spans="1:6" ht="15" customHeight="1" x14ac:dyDescent="0.2">
      <c r="A176" s="147">
        <v>7</v>
      </c>
      <c r="B176" s="169" t="s">
        <v>302</v>
      </c>
      <c r="C176" s="157">
        <v>327067</v>
      </c>
      <c r="D176" s="157">
        <v>415278</v>
      </c>
      <c r="E176" s="157">
        <f t="shared" si="10"/>
        <v>88211</v>
      </c>
      <c r="F176" s="161">
        <f t="shared" si="11"/>
        <v>0.26970314950759322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610049</v>
      </c>
      <c r="D179" s="157">
        <v>707320</v>
      </c>
      <c r="E179" s="157">
        <f t="shared" si="10"/>
        <v>97271</v>
      </c>
      <c r="F179" s="161">
        <f t="shared" si="11"/>
        <v>0.15944784763191153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12498989</v>
      </c>
      <c r="D181" s="157">
        <v>13236947</v>
      </c>
      <c r="E181" s="157">
        <f t="shared" si="10"/>
        <v>737958</v>
      </c>
      <c r="F181" s="161">
        <f t="shared" si="11"/>
        <v>5.9041415269667011E-2</v>
      </c>
    </row>
    <row r="182" spans="1:6" ht="15" customHeight="1" x14ac:dyDescent="0.2">
      <c r="A182" s="147">
        <v>13</v>
      </c>
      <c r="B182" s="169" t="s">
        <v>308</v>
      </c>
      <c r="C182" s="157">
        <v>1913976</v>
      </c>
      <c r="D182" s="157">
        <v>2272565</v>
      </c>
      <c r="E182" s="157">
        <f t="shared" si="10"/>
        <v>358589</v>
      </c>
      <c r="F182" s="161">
        <f t="shared" si="11"/>
        <v>0.18735292396560876</v>
      </c>
    </row>
    <row r="183" spans="1:6" ht="15.75" customHeight="1" x14ac:dyDescent="0.25">
      <c r="A183" s="147"/>
      <c r="B183" s="165" t="s">
        <v>309</v>
      </c>
      <c r="C183" s="158">
        <f>SUM(C170:C182)</f>
        <v>30041218</v>
      </c>
      <c r="D183" s="158">
        <f>SUM(D170:D182)</f>
        <v>30957919</v>
      </c>
      <c r="E183" s="158">
        <f t="shared" si="10"/>
        <v>916701</v>
      </c>
      <c r="F183" s="159">
        <f t="shared" si="11"/>
        <v>3.0514774733834026E-2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277667</v>
      </c>
      <c r="D186" s="157">
        <v>300522</v>
      </c>
      <c r="E186" s="157">
        <f>D186-C186</f>
        <v>22855</v>
      </c>
      <c r="F186" s="161">
        <f>IF(C186=0,0,E186/C186)</f>
        <v>8.2310825557232223E-2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124899985</v>
      </c>
      <c r="D188" s="158">
        <f>+D186+D183+D167+D130+D121</f>
        <v>121998831</v>
      </c>
      <c r="E188" s="158">
        <f>D188-C188</f>
        <v>-2901154</v>
      </c>
      <c r="F188" s="159">
        <f>IF(C188=0,0,E188/C188)</f>
        <v>-2.3227817040970822E-2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FILING&amp;RCHARLOTTE HUNGERFORD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116313832</v>
      </c>
      <c r="D11" s="183">
        <v>116677548</v>
      </c>
      <c r="E11" s="76">
        <v>114622054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5735128</v>
      </c>
      <c r="D12" s="185">
        <v>8250545</v>
      </c>
      <c r="E12" s="185">
        <v>7533927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122048960</v>
      </c>
      <c r="D13" s="76">
        <f>+D11+D12</f>
        <v>124928093</v>
      </c>
      <c r="E13" s="76">
        <f>+E11+E12</f>
        <v>122155981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121882681</v>
      </c>
      <c r="D14" s="185">
        <v>124899985</v>
      </c>
      <c r="E14" s="185">
        <v>121998831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166279</v>
      </c>
      <c r="D15" s="76">
        <f>+D13-D14</f>
        <v>28108</v>
      </c>
      <c r="E15" s="76">
        <f>+E13-E14</f>
        <v>157150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2249345</v>
      </c>
      <c r="D16" s="185">
        <v>2664812</v>
      </c>
      <c r="E16" s="185">
        <v>2865900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2415624</v>
      </c>
      <c r="D17" s="76">
        <f>D15+D16</f>
        <v>2692920</v>
      </c>
      <c r="E17" s="76">
        <f>E15+E16</f>
        <v>3023050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1.3377414921305645E-3</v>
      </c>
      <c r="D20" s="189">
        <f>IF(+D27=0,0,+D24/+D27)</f>
        <v>2.2029438078864964E-4</v>
      </c>
      <c r="E20" s="189">
        <f>IF(+E27=0,0,+E24/+E27)</f>
        <v>1.2569799681705317E-3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1.8096344917977764E-2</v>
      </c>
      <c r="D21" s="189">
        <f>IF(D27=0,0,+D26/D27)</f>
        <v>2.088526787598417E-2</v>
      </c>
      <c r="E21" s="189">
        <f>IF(E27=0,0,+E26/E27)</f>
        <v>2.2923187341902174E-2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1.9434086410108329E-2</v>
      </c>
      <c r="D22" s="189">
        <f>IF(D27=0,0,+D28/D27)</f>
        <v>2.110556225677282E-2</v>
      </c>
      <c r="E22" s="189">
        <f>IF(E27=0,0,+E28/E27)</f>
        <v>2.4180167310072706E-2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166279</v>
      </c>
      <c r="D24" s="76">
        <f>+D15</f>
        <v>28108</v>
      </c>
      <c r="E24" s="76">
        <f>+E15</f>
        <v>157150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122048960</v>
      </c>
      <c r="D25" s="76">
        <f>+D13</f>
        <v>124928093</v>
      </c>
      <c r="E25" s="76">
        <f>+E13</f>
        <v>122155981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2249345</v>
      </c>
      <c r="D26" s="76">
        <f>+D16</f>
        <v>2664812</v>
      </c>
      <c r="E26" s="76">
        <f>+E16</f>
        <v>2865900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124298305</v>
      </c>
      <c r="D27" s="76">
        <f>+D25+D26</f>
        <v>127592905</v>
      </c>
      <c r="E27" s="76">
        <f>+E25+E26</f>
        <v>125021881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2415624</v>
      </c>
      <c r="D28" s="76">
        <f>+D17</f>
        <v>2692920</v>
      </c>
      <c r="E28" s="76">
        <f>+E17</f>
        <v>3023050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40934207</v>
      </c>
      <c r="D31" s="76">
        <v>61139349</v>
      </c>
      <c r="E31" s="76">
        <v>59368912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61791679</v>
      </c>
      <c r="D32" s="76">
        <v>84555779</v>
      </c>
      <c r="E32" s="76">
        <v>84518833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-4194171</v>
      </c>
      <c r="D33" s="76">
        <f>+D32-C32</f>
        <v>22764100</v>
      </c>
      <c r="E33" s="76">
        <f>+E32-D32</f>
        <v>-36946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0.93640000000000001</v>
      </c>
      <c r="D34" s="193">
        <f>IF(C32=0,0,+D33/C32)</f>
        <v>0.36840073563950254</v>
      </c>
      <c r="E34" s="193">
        <f>IF(D32=0,0,+E33/D32)</f>
        <v>-4.3694234074763834E-4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0.50197857703216731</v>
      </c>
      <c r="D38" s="195">
        <f>IF((D40+D41)=0,0,+D39/(D40+D41))</f>
        <v>0.46571608446630625</v>
      </c>
      <c r="E38" s="195">
        <f>IF((E40+E41)=0,0,+E39/(E40+E41))</f>
        <v>0.44271113190534739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121882681</v>
      </c>
      <c r="D39" s="76">
        <v>124899985</v>
      </c>
      <c r="E39" s="196">
        <v>121998831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237069419</v>
      </c>
      <c r="D40" s="76">
        <v>259938571</v>
      </c>
      <c r="E40" s="196">
        <v>268038161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5735128</v>
      </c>
      <c r="D41" s="76">
        <v>8250545</v>
      </c>
      <c r="E41" s="196">
        <v>7533927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1.090646913392896</v>
      </c>
      <c r="D43" s="197">
        <f>IF(D38=0,0,IF((D46-D47)=0,0,((+D44-D45)/(D46-D47)/D38)))</f>
        <v>1.1565824120417338</v>
      </c>
      <c r="E43" s="197">
        <f>IF(E38=0,0,IF((E46-E47)=0,0,((+E44-E45)/(E46-E47)/E38)))</f>
        <v>1.1978864714795645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44202249</v>
      </c>
      <c r="D44" s="76">
        <v>44671615</v>
      </c>
      <c r="E44" s="196">
        <v>44118488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1657845</v>
      </c>
      <c r="D45" s="76">
        <v>1215767</v>
      </c>
      <c r="E45" s="196">
        <v>1201820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84219906</v>
      </c>
      <c r="D46" s="76">
        <v>87780597</v>
      </c>
      <c r="E46" s="196">
        <v>86781671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6510590</v>
      </c>
      <c r="D47" s="76">
        <v>7103473</v>
      </c>
      <c r="E47" s="76">
        <v>5855332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0.97142204380113417</v>
      </c>
      <c r="D49" s="198">
        <f>IF(D38=0,0,IF(D51=0,0,(D50/D51)/D38))</f>
        <v>0.98641234624275764</v>
      </c>
      <c r="E49" s="198">
        <f>IF(E38=0,0,IF(E51=0,0,(E50/E51)/E38))</f>
        <v>1.0239212055618196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53362838</v>
      </c>
      <c r="D50" s="199">
        <v>56420512</v>
      </c>
      <c r="E50" s="199">
        <v>57119405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109432364</v>
      </c>
      <c r="D51" s="199">
        <v>122816661</v>
      </c>
      <c r="E51" s="199">
        <v>126007587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0.70345074627415727</v>
      </c>
      <c r="D53" s="198">
        <f>IF(D38=0,0,IF(D55=0,0,(D54/D55)/D38))</f>
        <v>0.7080400549201723</v>
      </c>
      <c r="E53" s="198">
        <f>IF(E38=0,0,IF(E55=0,0,(E54/E55)/E38))</f>
        <v>0.58930077677470427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14878229</v>
      </c>
      <c r="D54" s="199">
        <v>15891621</v>
      </c>
      <c r="E54" s="199">
        <v>14043525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42133968</v>
      </c>
      <c r="D55" s="199">
        <v>48193574</v>
      </c>
      <c r="E55" s="199">
        <v>53829293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2455853.8873861698</v>
      </c>
      <c r="D57" s="88">
        <f>+D60*D38</f>
        <v>3070270.0784147969</v>
      </c>
      <c r="E57" s="88">
        <f>+E60*E38</f>
        <v>2494624.5456619356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1766984</v>
      </c>
      <c r="D58" s="199">
        <v>3214518</v>
      </c>
      <c r="E58" s="199">
        <v>2935378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3125364</v>
      </c>
      <c r="D59" s="199">
        <v>3378061</v>
      </c>
      <c r="E59" s="199">
        <v>2699503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4892348</v>
      </c>
      <c r="D60" s="76">
        <v>6592579</v>
      </c>
      <c r="E60" s="201">
        <v>5634881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2.0149326116203251E-2</v>
      </c>
      <c r="D62" s="202">
        <f>IF(D63=0,0,+D57/D63)</f>
        <v>2.4581829040370155E-2</v>
      </c>
      <c r="E62" s="202">
        <f>IF(E63=0,0,+E57/E63)</f>
        <v>2.0447938109029385E-2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121882681</v>
      </c>
      <c r="D63" s="199">
        <v>124899985</v>
      </c>
      <c r="E63" s="199">
        <v>121998831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1.3944350943107457</v>
      </c>
      <c r="D67" s="203">
        <f>IF(D69=0,0,D68/D69)</f>
        <v>1.3238456306600204</v>
      </c>
      <c r="E67" s="203">
        <f>IF(E69=0,0,E68/E69)</f>
        <v>1.3146416335507054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28025839</v>
      </c>
      <c r="D68" s="204">
        <v>28110276</v>
      </c>
      <c r="E68" s="204">
        <v>26971569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20098346</v>
      </c>
      <c r="D69" s="204">
        <v>21233802</v>
      </c>
      <c r="E69" s="204">
        <v>20516290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31.10732917531735</v>
      </c>
      <c r="D71" s="203">
        <f>IF((D77/365)=0,0,+D74/(D77/365))</f>
        <v>27.482374113703575</v>
      </c>
      <c r="E71" s="203">
        <f>IF((E77/365)=0,0,+E74/(E77/365))</f>
        <v>22.709182822641541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9871014</v>
      </c>
      <c r="D72" s="183">
        <v>8948706</v>
      </c>
      <c r="E72" s="183">
        <v>7223350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9871014</v>
      </c>
      <c r="D74" s="204">
        <f>+D72+D73</f>
        <v>8948706</v>
      </c>
      <c r="E74" s="204">
        <f>+E72+E73</f>
        <v>7223350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121882681</v>
      </c>
      <c r="D75" s="204">
        <f>+D14</f>
        <v>124899985</v>
      </c>
      <c r="E75" s="204">
        <f>+E14</f>
        <v>121998831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6060455</v>
      </c>
      <c r="D76" s="204">
        <v>6050075</v>
      </c>
      <c r="E76" s="204">
        <v>5899420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115822226</v>
      </c>
      <c r="D77" s="204">
        <f>+D75-D76</f>
        <v>118849910</v>
      </c>
      <c r="E77" s="204">
        <f>+E75-E76</f>
        <v>116099411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39.211633144371</v>
      </c>
      <c r="D79" s="203">
        <f>IF((D84/365)=0,0,+D83/(D84/365))</f>
        <v>37.151311578813775</v>
      </c>
      <c r="E79" s="203">
        <f>IF((E84/365)=0,0,+E83/(E84/365))</f>
        <v>35.904516769521507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13441101</v>
      </c>
      <c r="D80" s="212">
        <v>13504471</v>
      </c>
      <c r="E80" s="212">
        <v>13152579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971585</v>
      </c>
      <c r="D81" s="212">
        <v>840007</v>
      </c>
      <c r="E81" s="212">
        <v>2471609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1917192</v>
      </c>
      <c r="D82" s="212">
        <v>2468522</v>
      </c>
      <c r="E82" s="212">
        <v>4348984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12495494</v>
      </c>
      <c r="D83" s="212">
        <f>+D80+D81-D82</f>
        <v>11875956</v>
      </c>
      <c r="E83" s="212">
        <f>+E80+E81-E82</f>
        <v>11275204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116313832</v>
      </c>
      <c r="D84" s="204">
        <f>+D11</f>
        <v>116677548</v>
      </c>
      <c r="E84" s="204">
        <f>+E11</f>
        <v>114622054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63.337552241484289</v>
      </c>
      <c r="D86" s="203">
        <f>IF((D90/365)=0,0,+D87/(D90/365))</f>
        <v>65.211136718572178</v>
      </c>
      <c r="E86" s="203">
        <f>IF((E90/365)=0,0,+E87/(E90/365))</f>
        <v>64.500291478653594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20098346</v>
      </c>
      <c r="D87" s="76">
        <f>+D69</f>
        <v>21233802</v>
      </c>
      <c r="E87" s="76">
        <f>+E69</f>
        <v>20516290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121882681</v>
      </c>
      <c r="D88" s="76">
        <f t="shared" si="0"/>
        <v>124899985</v>
      </c>
      <c r="E88" s="76">
        <f t="shared" si="0"/>
        <v>121998831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6060455</v>
      </c>
      <c r="D89" s="201">
        <f t="shared" si="0"/>
        <v>6050075</v>
      </c>
      <c r="E89" s="201">
        <f t="shared" si="0"/>
        <v>5899420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115822226</v>
      </c>
      <c r="D90" s="76">
        <f>+D88-D89</f>
        <v>118849910</v>
      </c>
      <c r="E90" s="76">
        <f>+E88-E89</f>
        <v>116099411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48.836733349323595</v>
      </c>
      <c r="D94" s="214">
        <f>IF(D96=0,0,(D95/D96)*100)</f>
        <v>63.839860948996254</v>
      </c>
      <c r="E94" s="214">
        <f>IF(E96=0,0,(E95/E96)*100)</f>
        <v>61.750429970337684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61791679</v>
      </c>
      <c r="D95" s="76">
        <f>+D32</f>
        <v>84555779</v>
      </c>
      <c r="E95" s="76">
        <f>+E32</f>
        <v>84518833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126527052</v>
      </c>
      <c r="D96" s="76">
        <v>132449817</v>
      </c>
      <c r="E96" s="76">
        <v>136871651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36.344154322804435</v>
      </c>
      <c r="D98" s="214">
        <f>IF(D104=0,0,(D101/D104)*100)</f>
        <v>41.17489180694065</v>
      </c>
      <c r="E98" s="214">
        <f>IF(E104=0,0,(E101/E104)*100)</f>
        <v>43.489685513316488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2415624</v>
      </c>
      <c r="D99" s="76">
        <f>+D28</f>
        <v>2692920</v>
      </c>
      <c r="E99" s="76">
        <f>+E28</f>
        <v>3023050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6060455</v>
      </c>
      <c r="D100" s="201">
        <f>+D76</f>
        <v>6050075</v>
      </c>
      <c r="E100" s="201">
        <f>+E76</f>
        <v>5899420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8476079</v>
      </c>
      <c r="D101" s="76">
        <f>+D99+D100</f>
        <v>8742995</v>
      </c>
      <c r="E101" s="76">
        <f>+E99+E100</f>
        <v>8922470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20098346</v>
      </c>
      <c r="D102" s="204">
        <f>+D69</f>
        <v>21233802</v>
      </c>
      <c r="E102" s="204">
        <f>+E69</f>
        <v>20516290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3223366</v>
      </c>
      <c r="D103" s="216">
        <v>0</v>
      </c>
      <c r="E103" s="216">
        <v>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23321712</v>
      </c>
      <c r="D104" s="204">
        <f>+D102+D103</f>
        <v>21233802</v>
      </c>
      <c r="E104" s="204">
        <f>+E102+E103</f>
        <v>20516290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4.9578770575333753</v>
      </c>
      <c r="D106" s="214">
        <f>IF(D109=0,0,(D107/D109)*100)</f>
        <v>0</v>
      </c>
      <c r="E106" s="214">
        <f>IF(E109=0,0,(E107/E109)*100)</f>
        <v>0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3223366</v>
      </c>
      <c r="D107" s="204">
        <f>+D103</f>
        <v>0</v>
      </c>
      <c r="E107" s="204">
        <f>+E103</f>
        <v>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61791679</v>
      </c>
      <c r="D108" s="204">
        <f>+D32</f>
        <v>84555779</v>
      </c>
      <c r="E108" s="204">
        <f>+E32</f>
        <v>84518833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65015045</v>
      </c>
      <c r="D109" s="204">
        <f>+D107+D108</f>
        <v>84555779</v>
      </c>
      <c r="E109" s="204">
        <f>+E107+E108</f>
        <v>84518833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5.4347376223094415</v>
      </c>
      <c r="D111" s="214">
        <f>IF((+D113+D115)=0,0,((+D112+D113+D114)/(+D113+D115)))</f>
        <v>5.4414901051110736</v>
      </c>
      <c r="E111" s="214">
        <f>IF((+E113+E115)=0,0,((+E112+E113+E114)/(+E113+E115)))</f>
        <v>2.7628414905294054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2415624</v>
      </c>
      <c r="D112" s="76">
        <f>+D17</f>
        <v>2692920</v>
      </c>
      <c r="E112" s="76">
        <f>+E17</f>
        <v>3023050</v>
      </c>
    </row>
    <row r="113" spans="1:8" ht="24" customHeight="1" x14ac:dyDescent="0.2">
      <c r="A113" s="85">
        <v>17</v>
      </c>
      <c r="B113" s="75" t="s">
        <v>88</v>
      </c>
      <c r="C113" s="218">
        <v>264153</v>
      </c>
      <c r="D113" s="76">
        <v>250825</v>
      </c>
      <c r="E113" s="76">
        <v>15651</v>
      </c>
    </row>
    <row r="114" spans="1:8" ht="24" customHeight="1" x14ac:dyDescent="0.2">
      <c r="A114" s="85">
        <v>18</v>
      </c>
      <c r="B114" s="75" t="s">
        <v>374</v>
      </c>
      <c r="C114" s="218">
        <v>6060455</v>
      </c>
      <c r="D114" s="76">
        <v>6050075</v>
      </c>
      <c r="E114" s="76">
        <v>5899420</v>
      </c>
    </row>
    <row r="115" spans="1:8" ht="24" customHeight="1" x14ac:dyDescent="0.2">
      <c r="A115" s="85">
        <v>19</v>
      </c>
      <c r="B115" s="75" t="s">
        <v>104</v>
      </c>
      <c r="C115" s="218">
        <v>1344063</v>
      </c>
      <c r="D115" s="76">
        <v>1401998</v>
      </c>
      <c r="E115" s="76">
        <v>3219468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17.605111167395847</v>
      </c>
      <c r="D119" s="214">
        <f>IF(+D121=0,0,(+D120)/(+D121))</f>
        <v>18.616493018681588</v>
      </c>
      <c r="E119" s="214">
        <f>IF(+E121=0,0,(+E120)/(+E121))</f>
        <v>19.727646277091647</v>
      </c>
    </row>
    <row r="120" spans="1:8" ht="24" customHeight="1" x14ac:dyDescent="0.2">
      <c r="A120" s="85">
        <v>21</v>
      </c>
      <c r="B120" s="75" t="s">
        <v>378</v>
      </c>
      <c r="C120" s="218">
        <v>106694984</v>
      </c>
      <c r="D120" s="218">
        <v>112631179</v>
      </c>
      <c r="E120" s="218">
        <v>116381671</v>
      </c>
    </row>
    <row r="121" spans="1:8" ht="24" customHeight="1" x14ac:dyDescent="0.2">
      <c r="A121" s="85">
        <v>22</v>
      </c>
      <c r="B121" s="75" t="s">
        <v>374</v>
      </c>
      <c r="C121" s="218">
        <v>6060455</v>
      </c>
      <c r="D121" s="218">
        <v>6050075</v>
      </c>
      <c r="E121" s="218">
        <v>5899420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25249</v>
      </c>
      <c r="D124" s="218">
        <v>26574</v>
      </c>
      <c r="E124" s="218">
        <v>25604</v>
      </c>
    </row>
    <row r="125" spans="1:8" ht="24" customHeight="1" x14ac:dyDescent="0.2">
      <c r="A125" s="85">
        <v>2</v>
      </c>
      <c r="B125" s="75" t="s">
        <v>381</v>
      </c>
      <c r="C125" s="218">
        <v>6338</v>
      </c>
      <c r="D125" s="218">
        <v>6533</v>
      </c>
      <c r="E125" s="218">
        <v>6106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3.9837488166614072</v>
      </c>
      <c r="D126" s="219">
        <f>IF(D125=0,0,D124/D125)</f>
        <v>4.0676565130874023</v>
      </c>
      <c r="E126" s="219">
        <f>IF(E125=0,0,E124/E125)</f>
        <v>4.1932525384867345</v>
      </c>
    </row>
    <row r="127" spans="1:8" ht="24" customHeight="1" x14ac:dyDescent="0.2">
      <c r="A127" s="85">
        <v>4</v>
      </c>
      <c r="B127" s="75" t="s">
        <v>383</v>
      </c>
      <c r="C127" s="218">
        <v>75</v>
      </c>
      <c r="D127" s="218">
        <v>77</v>
      </c>
      <c r="E127" s="218">
        <v>76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122</v>
      </c>
      <c r="E128" s="218">
        <v>122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122</v>
      </c>
      <c r="D129" s="218">
        <v>122</v>
      </c>
      <c r="E129" s="218">
        <v>122</v>
      </c>
    </row>
    <row r="130" spans="1:7" ht="24" customHeight="1" x14ac:dyDescent="0.2">
      <c r="A130" s="85">
        <v>7</v>
      </c>
      <c r="B130" s="75" t="s">
        <v>386</v>
      </c>
      <c r="C130" s="193">
        <v>0.92230000000000001</v>
      </c>
      <c r="D130" s="193">
        <v>0.94550000000000001</v>
      </c>
      <c r="E130" s="193">
        <v>0.92290000000000005</v>
      </c>
    </row>
    <row r="131" spans="1:7" ht="24" customHeight="1" x14ac:dyDescent="0.2">
      <c r="A131" s="85">
        <v>8</v>
      </c>
      <c r="B131" s="75" t="s">
        <v>387</v>
      </c>
      <c r="C131" s="193">
        <v>0.56699999999999995</v>
      </c>
      <c r="D131" s="193">
        <v>0.59670000000000001</v>
      </c>
      <c r="E131" s="193">
        <v>0.57489999999999997</v>
      </c>
    </row>
    <row r="132" spans="1:7" ht="24" customHeight="1" x14ac:dyDescent="0.2">
      <c r="A132" s="85">
        <v>9</v>
      </c>
      <c r="B132" s="75" t="s">
        <v>388</v>
      </c>
      <c r="C132" s="219">
        <v>768.4</v>
      </c>
      <c r="D132" s="219">
        <v>789</v>
      </c>
      <c r="E132" s="219">
        <v>767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0.32779139683132225</v>
      </c>
      <c r="D135" s="227">
        <f>IF(D149=0,0,D143/D149)</f>
        <v>0.31036996044730891</v>
      </c>
      <c r="E135" s="227">
        <f>IF(E149=0,0,E143/E149)</f>
        <v>0.30192096042622829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0.46160472515436501</v>
      </c>
      <c r="D136" s="227">
        <f>IF(D149=0,0,D144/D149)</f>
        <v>0.47248340455022353</v>
      </c>
      <c r="E136" s="227">
        <f>IF(E149=0,0,E144/E149)</f>
        <v>0.47011062353916089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0.17772839777364957</v>
      </c>
      <c r="D137" s="227">
        <f>IF(D149=0,0,D145/D149)</f>
        <v>0.1854037044775475</v>
      </c>
      <c r="E137" s="227">
        <f>IF(E149=0,0,E145/E149)</f>
        <v>0.20082697478289294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1.1657091883285038E-3</v>
      </c>
      <c r="D138" s="227">
        <f>IF(D149=0,0,D146/D149)</f>
        <v>6.682309567670894E-4</v>
      </c>
      <c r="E138" s="227">
        <f>IF(E149=0,0,E146/E149)</f>
        <v>1.0305211726922719E-3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2.7462799830795553E-2</v>
      </c>
      <c r="D139" s="227">
        <f>IF(D149=0,0,D147/D149)</f>
        <v>2.7327506543844162E-2</v>
      </c>
      <c r="E139" s="227">
        <f>IF(E149=0,0,E147/E149)</f>
        <v>2.1845143162282775E-2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4.2469712215391225E-3</v>
      </c>
      <c r="D140" s="227">
        <f>IF(D149=0,0,D148/D149)</f>
        <v>3.7471930243088087E-3</v>
      </c>
      <c r="E140" s="227">
        <f>IF(E149=0,0,E148/E149)</f>
        <v>4.2657769167428368E-3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77709316</v>
      </c>
      <c r="D143" s="229">
        <f>+D46-D147</f>
        <v>80677124</v>
      </c>
      <c r="E143" s="229">
        <f>+E46-E147</f>
        <v>80926339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109432364</v>
      </c>
      <c r="D144" s="229">
        <f>+D51</f>
        <v>122816661</v>
      </c>
      <c r="E144" s="229">
        <f>+E51</f>
        <v>126007587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42133968</v>
      </c>
      <c r="D145" s="229">
        <f>+D55</f>
        <v>48193574</v>
      </c>
      <c r="E145" s="229">
        <f>+E55</f>
        <v>53829293</v>
      </c>
    </row>
    <row r="146" spans="1:7" ht="20.100000000000001" customHeight="1" x14ac:dyDescent="0.2">
      <c r="A146" s="226">
        <v>11</v>
      </c>
      <c r="B146" s="224" t="s">
        <v>400</v>
      </c>
      <c r="C146" s="228">
        <v>276354</v>
      </c>
      <c r="D146" s="229">
        <v>173699</v>
      </c>
      <c r="E146" s="229">
        <v>276219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6510590</v>
      </c>
      <c r="D147" s="229">
        <f>+D47</f>
        <v>7103473</v>
      </c>
      <c r="E147" s="229">
        <f>+E47</f>
        <v>5855332</v>
      </c>
    </row>
    <row r="148" spans="1:7" ht="20.100000000000001" customHeight="1" x14ac:dyDescent="0.2">
      <c r="A148" s="226">
        <v>13</v>
      </c>
      <c r="B148" s="224" t="s">
        <v>402</v>
      </c>
      <c r="C148" s="230">
        <v>1006827</v>
      </c>
      <c r="D148" s="229">
        <v>974040</v>
      </c>
      <c r="E148" s="229">
        <v>1143391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237069419</v>
      </c>
      <c r="D149" s="229">
        <f>SUM(D143:D148)</f>
        <v>259938571</v>
      </c>
      <c r="E149" s="229">
        <f>SUM(E143:E148)</f>
        <v>268038161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0.37655394070701864</v>
      </c>
      <c r="D152" s="227">
        <f>IF(D166=0,0,D160/D166)</f>
        <v>0.36988973636573502</v>
      </c>
      <c r="E152" s="227">
        <f>IF(E166=0,0,E160/E166)</f>
        <v>0.37039258465495589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0.47230622707066811</v>
      </c>
      <c r="D153" s="227">
        <f>IF(D166=0,0,D161/D166)</f>
        <v>0.48024303447719596</v>
      </c>
      <c r="E153" s="227">
        <f>IF(E166=0,0,E161/E166)</f>
        <v>0.49296939948607404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0.13168490409905484</v>
      </c>
      <c r="D154" s="227">
        <f>IF(D166=0,0,D162/D166)</f>
        <v>0.13526712220905637</v>
      </c>
      <c r="E154" s="227">
        <f>IF(E166=0,0,E162/E166)</f>
        <v>0.12120273462088178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6.0363650434871238E-4</v>
      </c>
      <c r="D155" s="227">
        <f>IF(D166=0,0,D163/D166)</f>
        <v>4.260181806854865E-4</v>
      </c>
      <c r="E155" s="227">
        <f>IF(E166=0,0,E163/E166)</f>
        <v>8.3446641815525789E-4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1.4673329724666664E-2</v>
      </c>
      <c r="D156" s="227">
        <f>IF(D166=0,0,D164/D166)</f>
        <v>1.0348428481067968E-2</v>
      </c>
      <c r="E156" s="227">
        <f>IF(E166=0,0,E164/E166)</f>
        <v>1.0372315392472199E-2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4.1779618942430546E-3</v>
      </c>
      <c r="D157" s="227">
        <f>IF(D166=0,0,D165/D166)</f>
        <v>3.8256602862591924E-3</v>
      </c>
      <c r="E157" s="227">
        <f>IF(E166=0,0,E165/E166)</f>
        <v>4.2284994274608256E-3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0.99999999999999989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42544404</v>
      </c>
      <c r="D160" s="229">
        <f>+D44-D164</f>
        <v>43455848</v>
      </c>
      <c r="E160" s="229">
        <f>+E44-E164</f>
        <v>42916668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53362838</v>
      </c>
      <c r="D161" s="229">
        <f>+D50</f>
        <v>56420512</v>
      </c>
      <c r="E161" s="229">
        <f>+E50</f>
        <v>57119405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14878229</v>
      </c>
      <c r="D162" s="229">
        <f>+D54</f>
        <v>15891621</v>
      </c>
      <c r="E162" s="229">
        <f>+E54</f>
        <v>14043525</v>
      </c>
    </row>
    <row r="163" spans="1:6" ht="20.100000000000001" customHeight="1" x14ac:dyDescent="0.2">
      <c r="A163" s="226">
        <v>11</v>
      </c>
      <c r="B163" s="224" t="s">
        <v>415</v>
      </c>
      <c r="C163" s="228">
        <v>68201</v>
      </c>
      <c r="D163" s="229">
        <v>50050</v>
      </c>
      <c r="E163" s="229">
        <v>96688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1657845</v>
      </c>
      <c r="D164" s="229">
        <f>+D45</f>
        <v>1215767</v>
      </c>
      <c r="E164" s="229">
        <f>+E45</f>
        <v>1201820</v>
      </c>
    </row>
    <row r="165" spans="1:6" ht="20.100000000000001" customHeight="1" x14ac:dyDescent="0.2">
      <c r="A165" s="226">
        <v>13</v>
      </c>
      <c r="B165" s="224" t="s">
        <v>417</v>
      </c>
      <c r="C165" s="230">
        <v>472041</v>
      </c>
      <c r="D165" s="229">
        <v>449451</v>
      </c>
      <c r="E165" s="229">
        <v>489948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112983558</v>
      </c>
      <c r="D166" s="229">
        <f>SUM(D160:D165)</f>
        <v>117483249</v>
      </c>
      <c r="E166" s="229">
        <f>SUM(E160:E165)</f>
        <v>115868054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1720</v>
      </c>
      <c r="D169" s="218">
        <v>1821</v>
      </c>
      <c r="E169" s="218">
        <v>1585</v>
      </c>
    </row>
    <row r="170" spans="1:6" ht="20.100000000000001" customHeight="1" x14ac:dyDescent="0.2">
      <c r="A170" s="226">
        <v>2</v>
      </c>
      <c r="B170" s="224" t="s">
        <v>420</v>
      </c>
      <c r="C170" s="218">
        <v>3482</v>
      </c>
      <c r="D170" s="218">
        <v>3510</v>
      </c>
      <c r="E170" s="218">
        <v>3299</v>
      </c>
    </row>
    <row r="171" spans="1:6" ht="20.100000000000001" customHeight="1" x14ac:dyDescent="0.2">
      <c r="A171" s="226">
        <v>3</v>
      </c>
      <c r="B171" s="224" t="s">
        <v>421</v>
      </c>
      <c r="C171" s="218">
        <v>1105</v>
      </c>
      <c r="D171" s="218">
        <v>1170</v>
      </c>
      <c r="E171" s="218">
        <v>1183</v>
      </c>
    </row>
    <row r="172" spans="1:6" ht="20.100000000000001" customHeight="1" x14ac:dyDescent="0.2">
      <c r="A172" s="226">
        <v>4</v>
      </c>
      <c r="B172" s="224" t="s">
        <v>422</v>
      </c>
      <c r="C172" s="218">
        <v>1103</v>
      </c>
      <c r="D172" s="218">
        <v>1167</v>
      </c>
      <c r="E172" s="218">
        <v>1172</v>
      </c>
    </row>
    <row r="173" spans="1:6" ht="20.100000000000001" customHeight="1" x14ac:dyDescent="0.2">
      <c r="A173" s="226">
        <v>5</v>
      </c>
      <c r="B173" s="224" t="s">
        <v>423</v>
      </c>
      <c r="C173" s="218">
        <v>2</v>
      </c>
      <c r="D173" s="218">
        <v>3</v>
      </c>
      <c r="E173" s="218">
        <v>11</v>
      </c>
    </row>
    <row r="174" spans="1:6" ht="20.100000000000001" customHeight="1" x14ac:dyDescent="0.2">
      <c r="A174" s="226">
        <v>6</v>
      </c>
      <c r="B174" s="224" t="s">
        <v>424</v>
      </c>
      <c r="C174" s="218">
        <v>31</v>
      </c>
      <c r="D174" s="218">
        <v>32</v>
      </c>
      <c r="E174" s="218">
        <v>39</v>
      </c>
    </row>
    <row r="175" spans="1:6" ht="20.100000000000001" customHeight="1" x14ac:dyDescent="0.2">
      <c r="A175" s="226">
        <v>7</v>
      </c>
      <c r="B175" s="224" t="s">
        <v>425</v>
      </c>
      <c r="C175" s="218">
        <v>114</v>
      </c>
      <c r="D175" s="218">
        <v>200</v>
      </c>
      <c r="E175" s="218">
        <v>137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6338</v>
      </c>
      <c r="D176" s="218">
        <f>+D169+D170+D171+D174</f>
        <v>6533</v>
      </c>
      <c r="E176" s="218">
        <f>+E169+E170+E171+E174</f>
        <v>6106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1.1603000000000001</v>
      </c>
      <c r="D179" s="231">
        <v>1.0895999999999999</v>
      </c>
      <c r="E179" s="231">
        <v>1.1468</v>
      </c>
    </row>
    <row r="180" spans="1:6" ht="20.100000000000001" customHeight="1" x14ac:dyDescent="0.2">
      <c r="A180" s="226">
        <v>2</v>
      </c>
      <c r="B180" s="224" t="s">
        <v>420</v>
      </c>
      <c r="C180" s="231">
        <v>1.3565</v>
      </c>
      <c r="D180" s="231">
        <v>1.4476</v>
      </c>
      <c r="E180" s="231">
        <v>1.391</v>
      </c>
    </row>
    <row r="181" spans="1:6" ht="20.100000000000001" customHeight="1" x14ac:dyDescent="0.2">
      <c r="A181" s="226">
        <v>3</v>
      </c>
      <c r="B181" s="224" t="s">
        <v>421</v>
      </c>
      <c r="C181" s="231">
        <v>1.008313</v>
      </c>
      <c r="D181" s="231">
        <v>1.0481929999999999</v>
      </c>
      <c r="E181" s="231">
        <v>1.0128779999999999</v>
      </c>
    </row>
    <row r="182" spans="1:6" ht="20.100000000000001" customHeight="1" x14ac:dyDescent="0.2">
      <c r="A182" s="226">
        <v>4</v>
      </c>
      <c r="B182" s="224" t="s">
        <v>422</v>
      </c>
      <c r="C182" s="231">
        <v>1.0074000000000001</v>
      </c>
      <c r="D182" s="231">
        <v>1.048</v>
      </c>
      <c r="E182" s="231">
        <v>1.0141</v>
      </c>
    </row>
    <row r="183" spans="1:6" ht="20.100000000000001" customHeight="1" x14ac:dyDescent="0.2">
      <c r="A183" s="226">
        <v>5</v>
      </c>
      <c r="B183" s="224" t="s">
        <v>423</v>
      </c>
      <c r="C183" s="231">
        <v>1.512</v>
      </c>
      <c r="D183" s="231">
        <v>1.1234999999999999</v>
      </c>
      <c r="E183" s="231">
        <v>0.88270000000000004</v>
      </c>
    </row>
    <row r="184" spans="1:6" ht="20.100000000000001" customHeight="1" x14ac:dyDescent="0.2">
      <c r="A184" s="226">
        <v>6</v>
      </c>
      <c r="B184" s="224" t="s">
        <v>424</v>
      </c>
      <c r="C184" s="231">
        <v>1.0644</v>
      </c>
      <c r="D184" s="231">
        <v>1.0033000000000001</v>
      </c>
      <c r="E184" s="231">
        <v>0.95299999999999996</v>
      </c>
    </row>
    <row r="185" spans="1:6" ht="20.100000000000001" customHeight="1" x14ac:dyDescent="0.2">
      <c r="A185" s="226">
        <v>7</v>
      </c>
      <c r="B185" s="224" t="s">
        <v>425</v>
      </c>
      <c r="C185" s="231">
        <v>1.0903</v>
      </c>
      <c r="D185" s="231">
        <v>1.0268999999999999</v>
      </c>
      <c r="E185" s="231">
        <v>1.0423</v>
      </c>
    </row>
    <row r="186" spans="1:6" ht="20.100000000000001" customHeight="1" x14ac:dyDescent="0.2">
      <c r="A186" s="226">
        <v>8</v>
      </c>
      <c r="B186" s="224" t="s">
        <v>429</v>
      </c>
      <c r="C186" s="231">
        <v>1.2411220000000001</v>
      </c>
      <c r="D186" s="231">
        <v>1.274105</v>
      </c>
      <c r="E186" s="231">
        <v>1.2515540000000001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5066</v>
      </c>
      <c r="D189" s="218">
        <v>5182</v>
      </c>
      <c r="E189" s="218">
        <v>4871</v>
      </c>
    </row>
    <row r="190" spans="1:6" ht="20.100000000000001" customHeight="1" x14ac:dyDescent="0.2">
      <c r="A190" s="226">
        <v>2</v>
      </c>
      <c r="B190" s="224" t="s">
        <v>433</v>
      </c>
      <c r="C190" s="218">
        <v>35812</v>
      </c>
      <c r="D190" s="218">
        <v>35790</v>
      </c>
      <c r="E190" s="218">
        <v>35853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40878</v>
      </c>
      <c r="D191" s="218">
        <f>+D190+D189</f>
        <v>40972</v>
      </c>
      <c r="E191" s="218">
        <f>+E190+E189</f>
        <v>40724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FILING&amp;RCHARLOTTE HUNGERFORD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439418</v>
      </c>
      <c r="D14" s="258">
        <v>128530</v>
      </c>
      <c r="E14" s="258">
        <f t="shared" ref="E14:E24" si="0">D14-C14</f>
        <v>-310888</v>
      </c>
      <c r="F14" s="259">
        <f t="shared" ref="F14:F24" si="1">IF(C14=0,0,E14/C14)</f>
        <v>-0.7074994652016986</v>
      </c>
    </row>
    <row r="15" spans="1:7" ht="20.25" customHeight="1" x14ac:dyDescent="0.3">
      <c r="A15" s="256">
        <v>2</v>
      </c>
      <c r="B15" s="257" t="s">
        <v>442</v>
      </c>
      <c r="C15" s="258">
        <v>205951</v>
      </c>
      <c r="D15" s="258">
        <v>92343</v>
      </c>
      <c r="E15" s="258">
        <f t="shared" si="0"/>
        <v>-113608</v>
      </c>
      <c r="F15" s="259">
        <f t="shared" si="1"/>
        <v>-0.55162635772586688</v>
      </c>
    </row>
    <row r="16" spans="1:7" ht="20.25" customHeight="1" x14ac:dyDescent="0.3">
      <c r="A16" s="256">
        <v>3</v>
      </c>
      <c r="B16" s="257" t="s">
        <v>443</v>
      </c>
      <c r="C16" s="258">
        <v>537003</v>
      </c>
      <c r="D16" s="258">
        <v>272656</v>
      </c>
      <c r="E16" s="258">
        <f t="shared" si="0"/>
        <v>-264347</v>
      </c>
      <c r="F16" s="259">
        <f t="shared" si="1"/>
        <v>-0.49226354415152246</v>
      </c>
    </row>
    <row r="17" spans="1:6" ht="20.25" customHeight="1" x14ac:dyDescent="0.3">
      <c r="A17" s="256">
        <v>4</v>
      </c>
      <c r="B17" s="257" t="s">
        <v>444</v>
      </c>
      <c r="C17" s="258">
        <v>166622</v>
      </c>
      <c r="D17" s="258">
        <v>121410</v>
      </c>
      <c r="E17" s="258">
        <f t="shared" si="0"/>
        <v>-45212</v>
      </c>
      <c r="F17" s="259">
        <f t="shared" si="1"/>
        <v>-0.27134472038506319</v>
      </c>
    </row>
    <row r="18" spans="1:6" ht="20.25" customHeight="1" x14ac:dyDescent="0.3">
      <c r="A18" s="256">
        <v>5</v>
      </c>
      <c r="B18" s="257" t="s">
        <v>381</v>
      </c>
      <c r="C18" s="260">
        <v>23</v>
      </c>
      <c r="D18" s="260">
        <v>5</v>
      </c>
      <c r="E18" s="260">
        <f t="shared" si="0"/>
        <v>-18</v>
      </c>
      <c r="F18" s="259">
        <f t="shared" si="1"/>
        <v>-0.78260869565217395</v>
      </c>
    </row>
    <row r="19" spans="1:6" ht="20.25" customHeight="1" x14ac:dyDescent="0.3">
      <c r="A19" s="256">
        <v>6</v>
      </c>
      <c r="B19" s="257" t="s">
        <v>380</v>
      </c>
      <c r="C19" s="260">
        <v>92</v>
      </c>
      <c r="D19" s="260">
        <v>20</v>
      </c>
      <c r="E19" s="260">
        <f t="shared" si="0"/>
        <v>-72</v>
      </c>
      <c r="F19" s="259">
        <f t="shared" si="1"/>
        <v>-0.78260869565217395</v>
      </c>
    </row>
    <row r="20" spans="1:6" ht="20.25" customHeight="1" x14ac:dyDescent="0.3">
      <c r="A20" s="256">
        <v>7</v>
      </c>
      <c r="B20" s="257" t="s">
        <v>445</v>
      </c>
      <c r="C20" s="260">
        <v>822</v>
      </c>
      <c r="D20" s="260">
        <v>441</v>
      </c>
      <c r="E20" s="260">
        <f t="shared" si="0"/>
        <v>-381</v>
      </c>
      <c r="F20" s="259">
        <f t="shared" si="1"/>
        <v>-0.46350364963503649</v>
      </c>
    </row>
    <row r="21" spans="1:6" ht="20.25" customHeight="1" x14ac:dyDescent="0.3">
      <c r="A21" s="256">
        <v>8</v>
      </c>
      <c r="B21" s="257" t="s">
        <v>446</v>
      </c>
      <c r="C21" s="260">
        <v>71</v>
      </c>
      <c r="D21" s="260">
        <v>32</v>
      </c>
      <c r="E21" s="260">
        <f t="shared" si="0"/>
        <v>-39</v>
      </c>
      <c r="F21" s="259">
        <f t="shared" si="1"/>
        <v>-0.54929577464788737</v>
      </c>
    </row>
    <row r="22" spans="1:6" ht="20.25" customHeight="1" x14ac:dyDescent="0.3">
      <c r="A22" s="256">
        <v>9</v>
      </c>
      <c r="B22" s="257" t="s">
        <v>447</v>
      </c>
      <c r="C22" s="260">
        <v>21</v>
      </c>
      <c r="D22" s="260">
        <v>2</v>
      </c>
      <c r="E22" s="260">
        <f t="shared" si="0"/>
        <v>-19</v>
      </c>
      <c r="F22" s="259">
        <f t="shared" si="1"/>
        <v>-0.90476190476190477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976421</v>
      </c>
      <c r="D23" s="263">
        <f>+D14+D16</f>
        <v>401186</v>
      </c>
      <c r="E23" s="263">
        <f t="shared" si="0"/>
        <v>-575235</v>
      </c>
      <c r="F23" s="264">
        <f t="shared" si="1"/>
        <v>-0.58912600200118592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372573</v>
      </c>
      <c r="D24" s="263">
        <f>+D15+D17</f>
        <v>213753</v>
      </c>
      <c r="E24" s="263">
        <f t="shared" si="0"/>
        <v>-158820</v>
      </c>
      <c r="F24" s="264">
        <f t="shared" si="1"/>
        <v>-0.42627887689124011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2950906</v>
      </c>
      <c r="D40" s="258">
        <v>4254935</v>
      </c>
      <c r="E40" s="258">
        <f t="shared" ref="E40:E50" si="4">D40-C40</f>
        <v>1304029</v>
      </c>
      <c r="F40" s="259">
        <f t="shared" ref="F40:F50" si="5">IF(C40=0,0,E40/C40)</f>
        <v>0.44190801062453361</v>
      </c>
    </row>
    <row r="41" spans="1:6" ht="20.25" customHeight="1" x14ac:dyDescent="0.3">
      <c r="A41" s="256">
        <v>2</v>
      </c>
      <c r="B41" s="257" t="s">
        <v>442</v>
      </c>
      <c r="C41" s="258">
        <v>1703814</v>
      </c>
      <c r="D41" s="258">
        <v>2381111</v>
      </c>
      <c r="E41" s="258">
        <f t="shared" si="4"/>
        <v>677297</v>
      </c>
      <c r="F41" s="259">
        <f t="shared" si="5"/>
        <v>0.39751815632457532</v>
      </c>
    </row>
    <row r="42" spans="1:6" ht="20.25" customHeight="1" x14ac:dyDescent="0.3">
      <c r="A42" s="256">
        <v>3</v>
      </c>
      <c r="B42" s="257" t="s">
        <v>443</v>
      </c>
      <c r="C42" s="258">
        <v>4194625</v>
      </c>
      <c r="D42" s="258">
        <v>4807397</v>
      </c>
      <c r="E42" s="258">
        <f t="shared" si="4"/>
        <v>612772</v>
      </c>
      <c r="F42" s="259">
        <f t="shared" si="5"/>
        <v>0.14608504931906904</v>
      </c>
    </row>
    <row r="43" spans="1:6" ht="20.25" customHeight="1" x14ac:dyDescent="0.3">
      <c r="A43" s="256">
        <v>4</v>
      </c>
      <c r="B43" s="257" t="s">
        <v>444</v>
      </c>
      <c r="C43" s="258">
        <v>1437328</v>
      </c>
      <c r="D43" s="258">
        <v>1673804</v>
      </c>
      <c r="E43" s="258">
        <f t="shared" si="4"/>
        <v>236476</v>
      </c>
      <c r="F43" s="259">
        <f t="shared" si="5"/>
        <v>0.16452472921977446</v>
      </c>
    </row>
    <row r="44" spans="1:6" ht="20.25" customHeight="1" x14ac:dyDescent="0.3">
      <c r="A44" s="256">
        <v>5</v>
      </c>
      <c r="B44" s="257" t="s">
        <v>381</v>
      </c>
      <c r="C44" s="260">
        <v>171</v>
      </c>
      <c r="D44" s="260">
        <v>191</v>
      </c>
      <c r="E44" s="260">
        <f t="shared" si="4"/>
        <v>20</v>
      </c>
      <c r="F44" s="259">
        <f t="shared" si="5"/>
        <v>0.11695906432748537</v>
      </c>
    </row>
    <row r="45" spans="1:6" ht="20.25" customHeight="1" x14ac:dyDescent="0.3">
      <c r="A45" s="256">
        <v>6</v>
      </c>
      <c r="B45" s="257" t="s">
        <v>380</v>
      </c>
      <c r="C45" s="260">
        <v>677</v>
      </c>
      <c r="D45" s="260">
        <v>993</v>
      </c>
      <c r="E45" s="260">
        <f t="shared" si="4"/>
        <v>316</v>
      </c>
      <c r="F45" s="259">
        <f t="shared" si="5"/>
        <v>0.46676514032496308</v>
      </c>
    </row>
    <row r="46" spans="1:6" ht="20.25" customHeight="1" x14ac:dyDescent="0.3">
      <c r="A46" s="256">
        <v>7</v>
      </c>
      <c r="B46" s="257" t="s">
        <v>445</v>
      </c>
      <c r="C46" s="260">
        <v>6018</v>
      </c>
      <c r="D46" s="260">
        <v>6471</v>
      </c>
      <c r="E46" s="260">
        <f t="shared" si="4"/>
        <v>453</v>
      </c>
      <c r="F46" s="259">
        <f t="shared" si="5"/>
        <v>7.5274177467597209E-2</v>
      </c>
    </row>
    <row r="47" spans="1:6" ht="20.25" customHeight="1" x14ac:dyDescent="0.3">
      <c r="A47" s="256">
        <v>8</v>
      </c>
      <c r="B47" s="257" t="s">
        <v>446</v>
      </c>
      <c r="C47" s="260">
        <v>421</v>
      </c>
      <c r="D47" s="260">
        <v>521</v>
      </c>
      <c r="E47" s="260">
        <f t="shared" si="4"/>
        <v>100</v>
      </c>
      <c r="F47" s="259">
        <f t="shared" si="5"/>
        <v>0.23752969121140141</v>
      </c>
    </row>
    <row r="48" spans="1:6" ht="20.25" customHeight="1" x14ac:dyDescent="0.3">
      <c r="A48" s="256">
        <v>9</v>
      </c>
      <c r="B48" s="257" t="s">
        <v>447</v>
      </c>
      <c r="C48" s="260">
        <v>149</v>
      </c>
      <c r="D48" s="260">
        <v>160</v>
      </c>
      <c r="E48" s="260">
        <f t="shared" si="4"/>
        <v>11</v>
      </c>
      <c r="F48" s="259">
        <f t="shared" si="5"/>
        <v>7.3825503355704702E-2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7145531</v>
      </c>
      <c r="D49" s="263">
        <f>+D40+D42</f>
        <v>9062332</v>
      </c>
      <c r="E49" s="263">
        <f t="shared" si="4"/>
        <v>1916801</v>
      </c>
      <c r="F49" s="264">
        <f t="shared" si="5"/>
        <v>0.26825172265014313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3141142</v>
      </c>
      <c r="D50" s="263">
        <f>+D41+D43</f>
        <v>4054915</v>
      </c>
      <c r="E50" s="263">
        <f t="shared" si="4"/>
        <v>913773</v>
      </c>
      <c r="F50" s="264">
        <f t="shared" si="5"/>
        <v>0.29090470917901834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227820</v>
      </c>
      <c r="D66" s="258">
        <v>83232</v>
      </c>
      <c r="E66" s="258">
        <f t="shared" ref="E66:E76" si="8">D66-C66</f>
        <v>-144588</v>
      </c>
      <c r="F66" s="259">
        <f t="shared" ref="F66:F76" si="9">IF(C66=0,0,E66/C66)</f>
        <v>-0.63465894126942324</v>
      </c>
    </row>
    <row r="67" spans="1:6" ht="20.25" customHeight="1" x14ac:dyDescent="0.3">
      <c r="A67" s="256">
        <v>2</v>
      </c>
      <c r="B67" s="257" t="s">
        <v>442</v>
      </c>
      <c r="C67" s="258">
        <v>115019</v>
      </c>
      <c r="D67" s="258">
        <v>33545</v>
      </c>
      <c r="E67" s="258">
        <f t="shared" si="8"/>
        <v>-81474</v>
      </c>
      <c r="F67" s="259">
        <f t="shared" si="9"/>
        <v>-0.70835253305975532</v>
      </c>
    </row>
    <row r="68" spans="1:6" ht="20.25" customHeight="1" x14ac:dyDescent="0.3">
      <c r="A68" s="256">
        <v>3</v>
      </c>
      <c r="B68" s="257" t="s">
        <v>443</v>
      </c>
      <c r="C68" s="258">
        <v>79451</v>
      </c>
      <c r="D68" s="258">
        <v>192798</v>
      </c>
      <c r="E68" s="258">
        <f t="shared" si="8"/>
        <v>113347</v>
      </c>
      <c r="F68" s="259">
        <f t="shared" si="9"/>
        <v>1.4266277328164529</v>
      </c>
    </row>
    <row r="69" spans="1:6" ht="20.25" customHeight="1" x14ac:dyDescent="0.3">
      <c r="A69" s="256">
        <v>4</v>
      </c>
      <c r="B69" s="257" t="s">
        <v>444</v>
      </c>
      <c r="C69" s="258">
        <v>31376</v>
      </c>
      <c r="D69" s="258">
        <v>69368</v>
      </c>
      <c r="E69" s="258">
        <f t="shared" si="8"/>
        <v>37992</v>
      </c>
      <c r="F69" s="259">
        <f t="shared" si="9"/>
        <v>1.2108618052014279</v>
      </c>
    </row>
    <row r="70" spans="1:6" ht="20.25" customHeight="1" x14ac:dyDescent="0.3">
      <c r="A70" s="256">
        <v>5</v>
      </c>
      <c r="B70" s="257" t="s">
        <v>381</v>
      </c>
      <c r="C70" s="260">
        <v>10</v>
      </c>
      <c r="D70" s="260">
        <v>5</v>
      </c>
      <c r="E70" s="260">
        <f t="shared" si="8"/>
        <v>-5</v>
      </c>
      <c r="F70" s="259">
        <f t="shared" si="9"/>
        <v>-0.5</v>
      </c>
    </row>
    <row r="71" spans="1:6" ht="20.25" customHeight="1" x14ac:dyDescent="0.3">
      <c r="A71" s="256">
        <v>6</v>
      </c>
      <c r="B71" s="257" t="s">
        <v>380</v>
      </c>
      <c r="C71" s="260">
        <v>76</v>
      </c>
      <c r="D71" s="260">
        <v>10</v>
      </c>
      <c r="E71" s="260">
        <f t="shared" si="8"/>
        <v>-66</v>
      </c>
      <c r="F71" s="259">
        <f t="shared" si="9"/>
        <v>-0.86842105263157898</v>
      </c>
    </row>
    <row r="72" spans="1:6" ht="20.25" customHeight="1" x14ac:dyDescent="0.3">
      <c r="A72" s="256">
        <v>7</v>
      </c>
      <c r="B72" s="257" t="s">
        <v>445</v>
      </c>
      <c r="C72" s="260">
        <v>91</v>
      </c>
      <c r="D72" s="260">
        <v>95</v>
      </c>
      <c r="E72" s="260">
        <f t="shared" si="8"/>
        <v>4</v>
      </c>
      <c r="F72" s="259">
        <f t="shared" si="9"/>
        <v>4.3956043956043959E-2</v>
      </c>
    </row>
    <row r="73" spans="1:6" ht="20.25" customHeight="1" x14ac:dyDescent="0.3">
      <c r="A73" s="256">
        <v>8</v>
      </c>
      <c r="B73" s="257" t="s">
        <v>446</v>
      </c>
      <c r="C73" s="260">
        <v>28</v>
      </c>
      <c r="D73" s="260">
        <v>27</v>
      </c>
      <c r="E73" s="260">
        <f t="shared" si="8"/>
        <v>-1</v>
      </c>
      <c r="F73" s="259">
        <f t="shared" si="9"/>
        <v>-3.5714285714285712E-2</v>
      </c>
    </row>
    <row r="74" spans="1:6" ht="20.25" customHeight="1" x14ac:dyDescent="0.3">
      <c r="A74" s="256">
        <v>9</v>
      </c>
      <c r="B74" s="257" t="s">
        <v>447</v>
      </c>
      <c r="C74" s="260">
        <v>9</v>
      </c>
      <c r="D74" s="260">
        <v>6</v>
      </c>
      <c r="E74" s="260">
        <f t="shared" si="8"/>
        <v>-3</v>
      </c>
      <c r="F74" s="259">
        <f t="shared" si="9"/>
        <v>-0.33333333333333331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307271</v>
      </c>
      <c r="D75" s="263">
        <f>+D66+D68</f>
        <v>276030</v>
      </c>
      <c r="E75" s="263">
        <f t="shared" si="8"/>
        <v>-31241</v>
      </c>
      <c r="F75" s="264">
        <f t="shared" si="9"/>
        <v>-0.10167246502273238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146395</v>
      </c>
      <c r="D76" s="263">
        <f>+D67+D69</f>
        <v>102913</v>
      </c>
      <c r="E76" s="263">
        <f t="shared" si="8"/>
        <v>-43482</v>
      </c>
      <c r="F76" s="264">
        <f t="shared" si="9"/>
        <v>-0.29701834079032752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1725808</v>
      </c>
      <c r="D92" s="258">
        <v>1569473</v>
      </c>
      <c r="E92" s="258">
        <f t="shared" ref="E92:E102" si="12">D92-C92</f>
        <v>-156335</v>
      </c>
      <c r="F92" s="259">
        <f t="shared" ref="F92:F102" si="13">IF(C92=0,0,E92/C92)</f>
        <v>-9.0586554240100869E-2</v>
      </c>
    </row>
    <row r="93" spans="1:6" ht="20.25" customHeight="1" x14ac:dyDescent="0.3">
      <c r="A93" s="256">
        <v>2</v>
      </c>
      <c r="B93" s="257" t="s">
        <v>442</v>
      </c>
      <c r="C93" s="258">
        <v>955750</v>
      </c>
      <c r="D93" s="258">
        <v>928699</v>
      </c>
      <c r="E93" s="258">
        <f t="shared" si="12"/>
        <v>-27051</v>
      </c>
      <c r="F93" s="259">
        <f t="shared" si="13"/>
        <v>-2.8303426628302382E-2</v>
      </c>
    </row>
    <row r="94" spans="1:6" ht="20.25" customHeight="1" x14ac:dyDescent="0.3">
      <c r="A94" s="256">
        <v>3</v>
      </c>
      <c r="B94" s="257" t="s">
        <v>443</v>
      </c>
      <c r="C94" s="258">
        <v>2494934</v>
      </c>
      <c r="D94" s="258">
        <v>2562716</v>
      </c>
      <c r="E94" s="258">
        <f t="shared" si="12"/>
        <v>67782</v>
      </c>
      <c r="F94" s="259">
        <f t="shared" si="13"/>
        <v>2.7167852937191924E-2</v>
      </c>
    </row>
    <row r="95" spans="1:6" ht="20.25" customHeight="1" x14ac:dyDescent="0.3">
      <c r="A95" s="256">
        <v>4</v>
      </c>
      <c r="B95" s="257" t="s">
        <v>444</v>
      </c>
      <c r="C95" s="258">
        <v>868538</v>
      </c>
      <c r="D95" s="258">
        <v>826639</v>
      </c>
      <c r="E95" s="258">
        <f t="shared" si="12"/>
        <v>-41899</v>
      </c>
      <c r="F95" s="259">
        <f t="shared" si="13"/>
        <v>-4.8240836900630718E-2</v>
      </c>
    </row>
    <row r="96" spans="1:6" ht="20.25" customHeight="1" x14ac:dyDescent="0.3">
      <c r="A96" s="256">
        <v>5</v>
      </c>
      <c r="B96" s="257" t="s">
        <v>381</v>
      </c>
      <c r="C96" s="260">
        <v>100</v>
      </c>
      <c r="D96" s="260">
        <v>90</v>
      </c>
      <c r="E96" s="260">
        <f t="shared" si="12"/>
        <v>-10</v>
      </c>
      <c r="F96" s="259">
        <f t="shared" si="13"/>
        <v>-0.1</v>
      </c>
    </row>
    <row r="97" spans="1:6" ht="20.25" customHeight="1" x14ac:dyDescent="0.3">
      <c r="A97" s="256">
        <v>6</v>
      </c>
      <c r="B97" s="257" t="s">
        <v>380</v>
      </c>
      <c r="C97" s="260">
        <v>394</v>
      </c>
      <c r="D97" s="260">
        <v>425</v>
      </c>
      <c r="E97" s="260">
        <f t="shared" si="12"/>
        <v>31</v>
      </c>
      <c r="F97" s="259">
        <f t="shared" si="13"/>
        <v>7.8680203045685279E-2</v>
      </c>
    </row>
    <row r="98" spans="1:6" ht="20.25" customHeight="1" x14ac:dyDescent="0.3">
      <c r="A98" s="256">
        <v>7</v>
      </c>
      <c r="B98" s="257" t="s">
        <v>445</v>
      </c>
      <c r="C98" s="260">
        <v>2995</v>
      </c>
      <c r="D98" s="260">
        <v>2830</v>
      </c>
      <c r="E98" s="260">
        <f t="shared" si="12"/>
        <v>-165</v>
      </c>
      <c r="F98" s="259">
        <f t="shared" si="13"/>
        <v>-5.5091819699499167E-2</v>
      </c>
    </row>
    <row r="99" spans="1:6" ht="20.25" customHeight="1" x14ac:dyDescent="0.3">
      <c r="A99" s="256">
        <v>8</v>
      </c>
      <c r="B99" s="257" t="s">
        <v>446</v>
      </c>
      <c r="C99" s="260">
        <v>309</v>
      </c>
      <c r="D99" s="260">
        <v>281</v>
      </c>
      <c r="E99" s="260">
        <f t="shared" si="12"/>
        <v>-28</v>
      </c>
      <c r="F99" s="259">
        <f t="shared" si="13"/>
        <v>-9.0614886731391592E-2</v>
      </c>
    </row>
    <row r="100" spans="1:6" ht="20.25" customHeight="1" x14ac:dyDescent="0.3">
      <c r="A100" s="256">
        <v>9</v>
      </c>
      <c r="B100" s="257" t="s">
        <v>447</v>
      </c>
      <c r="C100" s="260">
        <v>86</v>
      </c>
      <c r="D100" s="260">
        <v>78</v>
      </c>
      <c r="E100" s="260">
        <f t="shared" si="12"/>
        <v>-8</v>
      </c>
      <c r="F100" s="259">
        <f t="shared" si="13"/>
        <v>-9.3023255813953487E-2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4220742</v>
      </c>
      <c r="D101" s="263">
        <f>+D92+D94</f>
        <v>4132189</v>
      </c>
      <c r="E101" s="263">
        <f t="shared" si="12"/>
        <v>-88553</v>
      </c>
      <c r="F101" s="264">
        <f t="shared" si="13"/>
        <v>-2.0980434245921688E-2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1824288</v>
      </c>
      <c r="D102" s="263">
        <f>+D93+D95</f>
        <v>1755338</v>
      </c>
      <c r="E102" s="263">
        <f t="shared" si="12"/>
        <v>-68950</v>
      </c>
      <c r="F102" s="264">
        <f t="shared" si="13"/>
        <v>-3.7795567366556156E-2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1770029</v>
      </c>
      <c r="D118" s="258">
        <v>3281971</v>
      </c>
      <c r="E118" s="258">
        <f t="shared" ref="E118:E128" si="16">D118-C118</f>
        <v>1511942</v>
      </c>
      <c r="F118" s="259">
        <f t="shared" ref="F118:F128" si="17">IF(C118=0,0,E118/C118)</f>
        <v>0.85419052456202693</v>
      </c>
    </row>
    <row r="119" spans="1:6" ht="20.25" customHeight="1" x14ac:dyDescent="0.3">
      <c r="A119" s="256">
        <v>2</v>
      </c>
      <c r="B119" s="257" t="s">
        <v>442</v>
      </c>
      <c r="C119" s="258">
        <v>982939</v>
      </c>
      <c r="D119" s="258">
        <v>1669411</v>
      </c>
      <c r="E119" s="258">
        <f t="shared" si="16"/>
        <v>686472</v>
      </c>
      <c r="F119" s="259">
        <f t="shared" si="17"/>
        <v>0.69838718374181918</v>
      </c>
    </row>
    <row r="120" spans="1:6" ht="20.25" customHeight="1" x14ac:dyDescent="0.3">
      <c r="A120" s="256">
        <v>3</v>
      </c>
      <c r="B120" s="257" t="s">
        <v>443</v>
      </c>
      <c r="C120" s="258">
        <v>2353390</v>
      </c>
      <c r="D120" s="258">
        <v>3507075</v>
      </c>
      <c r="E120" s="258">
        <f t="shared" si="16"/>
        <v>1153685</v>
      </c>
      <c r="F120" s="259">
        <f t="shared" si="17"/>
        <v>0.49022261503618186</v>
      </c>
    </row>
    <row r="121" spans="1:6" ht="20.25" customHeight="1" x14ac:dyDescent="0.3">
      <c r="A121" s="256">
        <v>4</v>
      </c>
      <c r="B121" s="257" t="s">
        <v>444</v>
      </c>
      <c r="C121" s="258">
        <v>858182</v>
      </c>
      <c r="D121" s="258">
        <v>1188635</v>
      </c>
      <c r="E121" s="258">
        <f t="shared" si="16"/>
        <v>330453</v>
      </c>
      <c r="F121" s="259">
        <f t="shared" si="17"/>
        <v>0.38506167689371251</v>
      </c>
    </row>
    <row r="122" spans="1:6" ht="20.25" customHeight="1" x14ac:dyDescent="0.3">
      <c r="A122" s="256">
        <v>5</v>
      </c>
      <c r="B122" s="257" t="s">
        <v>381</v>
      </c>
      <c r="C122" s="260">
        <v>93</v>
      </c>
      <c r="D122" s="260">
        <v>166</v>
      </c>
      <c r="E122" s="260">
        <f t="shared" si="16"/>
        <v>73</v>
      </c>
      <c r="F122" s="259">
        <f t="shared" si="17"/>
        <v>0.78494623655913975</v>
      </c>
    </row>
    <row r="123" spans="1:6" ht="20.25" customHeight="1" x14ac:dyDescent="0.3">
      <c r="A123" s="256">
        <v>6</v>
      </c>
      <c r="B123" s="257" t="s">
        <v>380</v>
      </c>
      <c r="C123" s="260">
        <v>416</v>
      </c>
      <c r="D123" s="260">
        <v>789</v>
      </c>
      <c r="E123" s="260">
        <f t="shared" si="16"/>
        <v>373</v>
      </c>
      <c r="F123" s="259">
        <f t="shared" si="17"/>
        <v>0.89663461538461542</v>
      </c>
    </row>
    <row r="124" spans="1:6" ht="20.25" customHeight="1" x14ac:dyDescent="0.3">
      <c r="A124" s="256">
        <v>7</v>
      </c>
      <c r="B124" s="257" t="s">
        <v>445</v>
      </c>
      <c r="C124" s="260">
        <v>3188</v>
      </c>
      <c r="D124" s="260">
        <v>4534</v>
      </c>
      <c r="E124" s="260">
        <f t="shared" si="16"/>
        <v>1346</v>
      </c>
      <c r="F124" s="259">
        <f t="shared" si="17"/>
        <v>0.42220828105395231</v>
      </c>
    </row>
    <row r="125" spans="1:6" ht="20.25" customHeight="1" x14ac:dyDescent="0.3">
      <c r="A125" s="256">
        <v>8</v>
      </c>
      <c r="B125" s="257" t="s">
        <v>446</v>
      </c>
      <c r="C125" s="260">
        <v>233</v>
      </c>
      <c r="D125" s="260">
        <v>419</v>
      </c>
      <c r="E125" s="260">
        <f t="shared" si="16"/>
        <v>186</v>
      </c>
      <c r="F125" s="259">
        <f t="shared" si="17"/>
        <v>0.79828326180257514</v>
      </c>
    </row>
    <row r="126" spans="1:6" ht="20.25" customHeight="1" x14ac:dyDescent="0.3">
      <c r="A126" s="256">
        <v>9</v>
      </c>
      <c r="B126" s="257" t="s">
        <v>447</v>
      </c>
      <c r="C126" s="260">
        <v>70</v>
      </c>
      <c r="D126" s="260">
        <v>147</v>
      </c>
      <c r="E126" s="260">
        <f t="shared" si="16"/>
        <v>77</v>
      </c>
      <c r="F126" s="259">
        <f t="shared" si="17"/>
        <v>1.1000000000000001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4123419</v>
      </c>
      <c r="D127" s="263">
        <f>+D118+D120</f>
        <v>6789046</v>
      </c>
      <c r="E127" s="263">
        <f t="shared" si="16"/>
        <v>2665627</v>
      </c>
      <c r="F127" s="264">
        <f t="shared" si="17"/>
        <v>0.64646037669225465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1841121</v>
      </c>
      <c r="D128" s="263">
        <f>+D119+D121</f>
        <v>2858046</v>
      </c>
      <c r="E128" s="263">
        <f t="shared" si="16"/>
        <v>1016925</v>
      </c>
      <c r="F128" s="264">
        <f t="shared" si="17"/>
        <v>0.55234012321840875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7113981</v>
      </c>
      <c r="D198" s="263">
        <f t="shared" si="28"/>
        <v>9318141</v>
      </c>
      <c r="E198" s="263">
        <f t="shared" ref="E198:E208" si="29">D198-C198</f>
        <v>2204160</v>
      </c>
      <c r="F198" s="273">
        <f t="shared" ref="F198:F208" si="30">IF(C198=0,0,E198/C198)</f>
        <v>0.30983495738883754</v>
      </c>
    </row>
    <row r="199" spans="1:9" ht="20.25" customHeight="1" x14ac:dyDescent="0.3">
      <c r="A199" s="271"/>
      <c r="B199" s="272" t="s">
        <v>466</v>
      </c>
      <c r="C199" s="263">
        <f t="shared" si="28"/>
        <v>3963473</v>
      </c>
      <c r="D199" s="263">
        <f t="shared" si="28"/>
        <v>5105109</v>
      </c>
      <c r="E199" s="263">
        <f t="shared" si="29"/>
        <v>1141636</v>
      </c>
      <c r="F199" s="273">
        <f t="shared" si="30"/>
        <v>0.2880393029042963</v>
      </c>
    </row>
    <row r="200" spans="1:9" ht="20.25" customHeight="1" x14ac:dyDescent="0.3">
      <c r="A200" s="271"/>
      <c r="B200" s="272" t="s">
        <v>467</v>
      </c>
      <c r="C200" s="263">
        <f t="shared" si="28"/>
        <v>9659403</v>
      </c>
      <c r="D200" s="263">
        <f t="shared" si="28"/>
        <v>11342642</v>
      </c>
      <c r="E200" s="263">
        <f t="shared" si="29"/>
        <v>1683239</v>
      </c>
      <c r="F200" s="273">
        <f t="shared" si="30"/>
        <v>0.17425911311496167</v>
      </c>
    </row>
    <row r="201" spans="1:9" ht="20.25" customHeight="1" x14ac:dyDescent="0.3">
      <c r="A201" s="271"/>
      <c r="B201" s="272" t="s">
        <v>468</v>
      </c>
      <c r="C201" s="263">
        <f t="shared" si="28"/>
        <v>3362046</v>
      </c>
      <c r="D201" s="263">
        <f t="shared" si="28"/>
        <v>3879856</v>
      </c>
      <c r="E201" s="263">
        <f t="shared" si="29"/>
        <v>517810</v>
      </c>
      <c r="F201" s="273">
        <f t="shared" si="30"/>
        <v>0.15401633410131807</v>
      </c>
    </row>
    <row r="202" spans="1:9" ht="20.25" customHeight="1" x14ac:dyDescent="0.3">
      <c r="A202" s="271"/>
      <c r="B202" s="272" t="s">
        <v>138</v>
      </c>
      <c r="C202" s="274">
        <f t="shared" si="28"/>
        <v>397</v>
      </c>
      <c r="D202" s="274">
        <f t="shared" si="28"/>
        <v>457</v>
      </c>
      <c r="E202" s="274">
        <f t="shared" si="29"/>
        <v>60</v>
      </c>
      <c r="F202" s="273">
        <f t="shared" si="30"/>
        <v>0.15113350125944586</v>
      </c>
    </row>
    <row r="203" spans="1:9" ht="20.25" customHeight="1" x14ac:dyDescent="0.3">
      <c r="A203" s="271"/>
      <c r="B203" s="272" t="s">
        <v>140</v>
      </c>
      <c r="C203" s="274">
        <f t="shared" si="28"/>
        <v>1655</v>
      </c>
      <c r="D203" s="274">
        <f t="shared" si="28"/>
        <v>2237</v>
      </c>
      <c r="E203" s="274">
        <f t="shared" si="29"/>
        <v>582</v>
      </c>
      <c r="F203" s="273">
        <f t="shared" si="30"/>
        <v>0.35166163141993956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13114</v>
      </c>
      <c r="D204" s="274">
        <f t="shared" si="28"/>
        <v>14371</v>
      </c>
      <c r="E204" s="274">
        <f t="shared" si="29"/>
        <v>1257</v>
      </c>
      <c r="F204" s="273">
        <f t="shared" si="30"/>
        <v>9.585176147628488E-2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1062</v>
      </c>
      <c r="D205" s="274">
        <f t="shared" si="28"/>
        <v>1280</v>
      </c>
      <c r="E205" s="274">
        <f t="shared" si="29"/>
        <v>218</v>
      </c>
      <c r="F205" s="273">
        <f t="shared" si="30"/>
        <v>0.20527306967984935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335</v>
      </c>
      <c r="D206" s="274">
        <f t="shared" si="28"/>
        <v>393</v>
      </c>
      <c r="E206" s="274">
        <f t="shared" si="29"/>
        <v>58</v>
      </c>
      <c r="F206" s="273">
        <f t="shared" si="30"/>
        <v>0.17313432835820897</v>
      </c>
    </row>
    <row r="207" spans="1:9" ht="20.25" customHeight="1" x14ac:dyDescent="0.3">
      <c r="A207" s="271"/>
      <c r="B207" s="262" t="s">
        <v>471</v>
      </c>
      <c r="C207" s="263">
        <f>+C198+C200</f>
        <v>16773384</v>
      </c>
      <c r="D207" s="263">
        <f>+D198+D200</f>
        <v>20660783</v>
      </c>
      <c r="E207" s="263">
        <f t="shared" si="29"/>
        <v>3887399</v>
      </c>
      <c r="F207" s="273">
        <f t="shared" si="30"/>
        <v>0.23175997163124626</v>
      </c>
    </row>
    <row r="208" spans="1:9" ht="20.25" customHeight="1" x14ac:dyDescent="0.3">
      <c r="A208" s="271"/>
      <c r="B208" s="262" t="s">
        <v>472</v>
      </c>
      <c r="C208" s="263">
        <f>+C199+C201</f>
        <v>7325519</v>
      </c>
      <c r="D208" s="263">
        <f>+D199+D201</f>
        <v>8984965</v>
      </c>
      <c r="E208" s="263">
        <f t="shared" si="29"/>
        <v>1659446</v>
      </c>
      <c r="F208" s="273">
        <f t="shared" si="30"/>
        <v>0.22652947866219444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FILING&amp;RCHARLOTTE HUNGERFORD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437891</v>
      </c>
      <c r="D26" s="258">
        <v>0</v>
      </c>
      <c r="E26" s="258">
        <f t="shared" ref="E26:E36" si="2">D26-C26</f>
        <v>-437891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140182</v>
      </c>
      <c r="D27" s="258">
        <v>0</v>
      </c>
      <c r="E27" s="258">
        <f t="shared" si="2"/>
        <v>-140182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1128215</v>
      </c>
      <c r="D28" s="258">
        <v>0</v>
      </c>
      <c r="E28" s="258">
        <f t="shared" si="2"/>
        <v>-1128215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409033</v>
      </c>
      <c r="D29" s="258">
        <v>0</v>
      </c>
      <c r="E29" s="258">
        <f t="shared" si="2"/>
        <v>-409033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31</v>
      </c>
      <c r="D30" s="260">
        <v>0</v>
      </c>
      <c r="E30" s="260">
        <f t="shared" si="2"/>
        <v>-31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109</v>
      </c>
      <c r="D31" s="260">
        <v>0</v>
      </c>
      <c r="E31" s="260">
        <f t="shared" si="2"/>
        <v>-109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1248</v>
      </c>
      <c r="D32" s="260">
        <v>0</v>
      </c>
      <c r="E32" s="260">
        <f t="shared" si="2"/>
        <v>-1248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221</v>
      </c>
      <c r="D33" s="260">
        <v>0</v>
      </c>
      <c r="E33" s="260">
        <f t="shared" si="2"/>
        <v>-221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21</v>
      </c>
      <c r="D34" s="260">
        <v>0</v>
      </c>
      <c r="E34" s="260">
        <f t="shared" si="2"/>
        <v>-21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1566106</v>
      </c>
      <c r="D35" s="263">
        <f>+D26+D28</f>
        <v>0</v>
      </c>
      <c r="E35" s="263">
        <f t="shared" si="2"/>
        <v>-1566106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549215</v>
      </c>
      <c r="D36" s="263">
        <f>+D27+D29</f>
        <v>0</v>
      </c>
      <c r="E36" s="263">
        <f t="shared" si="2"/>
        <v>-549215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437891</v>
      </c>
      <c r="D112" s="263">
        <f t="shared" si="16"/>
        <v>0</v>
      </c>
      <c r="E112" s="263">
        <f t="shared" ref="E112:E122" si="17">D112-C112</f>
        <v>-437891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140182</v>
      </c>
      <c r="D113" s="263">
        <f t="shared" si="16"/>
        <v>0</v>
      </c>
      <c r="E113" s="263">
        <f t="shared" si="17"/>
        <v>-140182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1128215</v>
      </c>
      <c r="D114" s="263">
        <f t="shared" si="16"/>
        <v>0</v>
      </c>
      <c r="E114" s="263">
        <f t="shared" si="17"/>
        <v>-1128215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409033</v>
      </c>
      <c r="D115" s="263">
        <f t="shared" si="16"/>
        <v>0</v>
      </c>
      <c r="E115" s="263">
        <f t="shared" si="17"/>
        <v>-409033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31</v>
      </c>
      <c r="D116" s="287">
        <f t="shared" si="16"/>
        <v>0</v>
      </c>
      <c r="E116" s="287">
        <f t="shared" si="17"/>
        <v>-31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109</v>
      </c>
      <c r="D117" s="287">
        <f t="shared" si="16"/>
        <v>0</v>
      </c>
      <c r="E117" s="287">
        <f t="shared" si="17"/>
        <v>-109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1248</v>
      </c>
      <c r="D118" s="287">
        <f t="shared" si="16"/>
        <v>0</v>
      </c>
      <c r="E118" s="287">
        <f t="shared" si="17"/>
        <v>-1248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221</v>
      </c>
      <c r="D119" s="287">
        <f t="shared" si="16"/>
        <v>0</v>
      </c>
      <c r="E119" s="287">
        <f t="shared" si="17"/>
        <v>-221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21</v>
      </c>
      <c r="D120" s="287">
        <f t="shared" si="16"/>
        <v>0</v>
      </c>
      <c r="E120" s="287">
        <f t="shared" si="17"/>
        <v>-21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1566106</v>
      </c>
      <c r="D121" s="263">
        <f>+D112+D114</f>
        <v>0</v>
      </c>
      <c r="E121" s="263">
        <f t="shared" si="17"/>
        <v>-1566106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549215</v>
      </c>
      <c r="D122" s="263">
        <f>+D113+D115</f>
        <v>0</v>
      </c>
      <c r="E122" s="263">
        <f t="shared" si="17"/>
        <v>-549215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FILING&amp;RCHARLOTTE HUNGERFORD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8948706</v>
      </c>
      <c r="D13" s="22">
        <v>7223350</v>
      </c>
      <c r="E13" s="22">
        <f t="shared" ref="E13:E22" si="0">D13-C13</f>
        <v>-1725356</v>
      </c>
      <c r="F13" s="306">
        <f t="shared" ref="F13:F22" si="1">IF(C13=0,0,E13/C13)</f>
        <v>-0.19280508265664331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13504471</v>
      </c>
      <c r="D15" s="22">
        <v>13152579</v>
      </c>
      <c r="E15" s="22">
        <f t="shared" si="0"/>
        <v>-351892</v>
      </c>
      <c r="F15" s="306">
        <f t="shared" si="1"/>
        <v>-2.6057444234579792E-2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840007</v>
      </c>
      <c r="D18" s="22">
        <v>2471609</v>
      </c>
      <c r="E18" s="22">
        <f t="shared" si="0"/>
        <v>1631602</v>
      </c>
      <c r="F18" s="306">
        <f t="shared" si="1"/>
        <v>1.9423671469404422</v>
      </c>
    </row>
    <row r="19" spans="1:11" ht="24" customHeight="1" x14ac:dyDescent="0.2">
      <c r="A19" s="304">
        <v>7</v>
      </c>
      <c r="B19" s="305" t="s">
        <v>22</v>
      </c>
      <c r="C19" s="22">
        <v>2092246</v>
      </c>
      <c r="D19" s="22">
        <v>1952261</v>
      </c>
      <c r="E19" s="22">
        <f t="shared" si="0"/>
        <v>-139985</v>
      </c>
      <c r="F19" s="306">
        <f t="shared" si="1"/>
        <v>-6.6906568348081438E-2</v>
      </c>
    </row>
    <row r="20" spans="1:11" ht="24" customHeight="1" x14ac:dyDescent="0.2">
      <c r="A20" s="304">
        <v>8</v>
      </c>
      <c r="B20" s="305" t="s">
        <v>23</v>
      </c>
      <c r="C20" s="22">
        <v>0</v>
      </c>
      <c r="D20" s="22">
        <v>0</v>
      </c>
      <c r="E20" s="22">
        <f t="shared" si="0"/>
        <v>0</v>
      </c>
      <c r="F20" s="306">
        <f t="shared" si="1"/>
        <v>0</v>
      </c>
    </row>
    <row r="21" spans="1:11" ht="24" customHeight="1" x14ac:dyDescent="0.2">
      <c r="A21" s="304">
        <v>9</v>
      </c>
      <c r="B21" s="305" t="s">
        <v>24</v>
      </c>
      <c r="C21" s="22">
        <v>2724846</v>
      </c>
      <c r="D21" s="22">
        <v>2171770</v>
      </c>
      <c r="E21" s="22">
        <f t="shared" si="0"/>
        <v>-553076</v>
      </c>
      <c r="F21" s="306">
        <f t="shared" si="1"/>
        <v>-0.20297514061345118</v>
      </c>
    </row>
    <row r="22" spans="1:11" ht="24" customHeight="1" x14ac:dyDescent="0.25">
      <c r="A22" s="307"/>
      <c r="B22" s="308" t="s">
        <v>25</v>
      </c>
      <c r="C22" s="309">
        <f>SUM(C13:C21)</f>
        <v>28110276</v>
      </c>
      <c r="D22" s="309">
        <f>SUM(D13:D21)</f>
        <v>26971569</v>
      </c>
      <c r="E22" s="309">
        <f t="shared" si="0"/>
        <v>-1138707</v>
      </c>
      <c r="F22" s="310">
        <f t="shared" si="1"/>
        <v>-4.0508567045019407E-2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20525079</v>
      </c>
      <c r="D25" s="22">
        <v>22585921</v>
      </c>
      <c r="E25" s="22">
        <f>D25-C25</f>
        <v>2060842</v>
      </c>
      <c r="F25" s="306">
        <f>IF(C25=0,0,E25/C25)</f>
        <v>0.10040604472216648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7067123</v>
      </c>
      <c r="D28" s="22">
        <v>7260499</v>
      </c>
      <c r="E28" s="22">
        <f>D28-C28</f>
        <v>193376</v>
      </c>
      <c r="F28" s="306">
        <f>IF(C28=0,0,E28/C28)</f>
        <v>2.7362761338666386E-2</v>
      </c>
    </row>
    <row r="29" spans="1:11" ht="35.1" customHeight="1" x14ac:dyDescent="0.25">
      <c r="A29" s="307"/>
      <c r="B29" s="308" t="s">
        <v>32</v>
      </c>
      <c r="C29" s="309">
        <f>SUM(C25:C28)</f>
        <v>27592202</v>
      </c>
      <c r="D29" s="309">
        <f>SUM(D25:D28)</f>
        <v>29846420</v>
      </c>
      <c r="E29" s="309">
        <f>D29-C29</f>
        <v>2254218</v>
      </c>
      <c r="F29" s="310">
        <f>IF(C29=0,0,E29/C29)</f>
        <v>8.169764776294404E-2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38742293</v>
      </c>
      <c r="D32" s="22">
        <v>39735759</v>
      </c>
      <c r="E32" s="22">
        <f>D32-C32</f>
        <v>993466</v>
      </c>
      <c r="F32" s="306">
        <f>IF(C32=0,0,E32/C32)</f>
        <v>2.5642932389159309E-2</v>
      </c>
    </row>
    <row r="33" spans="1:8" ht="24" customHeight="1" x14ac:dyDescent="0.2">
      <c r="A33" s="304">
        <v>7</v>
      </c>
      <c r="B33" s="305" t="s">
        <v>35</v>
      </c>
      <c r="C33" s="22">
        <v>1135267</v>
      </c>
      <c r="D33" s="22">
        <v>1077802</v>
      </c>
      <c r="E33" s="22">
        <f>D33-C33</f>
        <v>-57465</v>
      </c>
      <c r="F33" s="306">
        <f>IF(C33=0,0,E33/C33)</f>
        <v>-5.0618048441467951E-2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148532515</v>
      </c>
      <c r="D36" s="22">
        <v>154679979</v>
      </c>
      <c r="E36" s="22">
        <f>D36-C36</f>
        <v>6147464</v>
      </c>
      <c r="F36" s="306">
        <f>IF(C36=0,0,E36/C36)</f>
        <v>4.1388001812263125E-2</v>
      </c>
    </row>
    <row r="37" spans="1:8" ht="24" customHeight="1" x14ac:dyDescent="0.2">
      <c r="A37" s="304">
        <v>2</v>
      </c>
      <c r="B37" s="305" t="s">
        <v>39</v>
      </c>
      <c r="C37" s="22">
        <v>112631179</v>
      </c>
      <c r="D37" s="22">
        <v>116381671</v>
      </c>
      <c r="E37" s="22">
        <f>D37-C37</f>
        <v>3750492</v>
      </c>
      <c r="F37" s="22">
        <f>IF(C37=0,0,E37/C37)</f>
        <v>3.3298878989804416E-2</v>
      </c>
    </row>
    <row r="38" spans="1:8" ht="24" customHeight="1" x14ac:dyDescent="0.25">
      <c r="A38" s="307"/>
      <c r="B38" s="308" t="s">
        <v>40</v>
      </c>
      <c r="C38" s="309">
        <f>C36-C37</f>
        <v>35901336</v>
      </c>
      <c r="D38" s="309">
        <f>D36-D37</f>
        <v>38298308</v>
      </c>
      <c r="E38" s="309">
        <f>D38-C38</f>
        <v>2396972</v>
      </c>
      <c r="F38" s="310">
        <f>IF(C38=0,0,E38/C38)</f>
        <v>6.676553763904497E-2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968443</v>
      </c>
      <c r="D40" s="22">
        <v>941793</v>
      </c>
      <c r="E40" s="22">
        <f>D40-C40</f>
        <v>-26650</v>
      </c>
      <c r="F40" s="306">
        <f>IF(C40=0,0,E40/C40)</f>
        <v>-2.7518398088478103E-2</v>
      </c>
    </row>
    <row r="41" spans="1:8" ht="24" customHeight="1" x14ac:dyDescent="0.25">
      <c r="A41" s="307"/>
      <c r="B41" s="308" t="s">
        <v>42</v>
      </c>
      <c r="C41" s="309">
        <f>+C38+C40</f>
        <v>36869779</v>
      </c>
      <c r="D41" s="309">
        <f>+D38+D40</f>
        <v>39240101</v>
      </c>
      <c r="E41" s="309">
        <f>D41-C41</f>
        <v>2370322</v>
      </c>
      <c r="F41" s="310">
        <f>IF(C41=0,0,E41/C41)</f>
        <v>6.4289021097739693E-2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132449817</v>
      </c>
      <c r="D43" s="309">
        <f>D22+D29+D31+D32+D33+D41</f>
        <v>136871651</v>
      </c>
      <c r="E43" s="309">
        <f>D43-C43</f>
        <v>4421834</v>
      </c>
      <c r="F43" s="310">
        <f>IF(C43=0,0,E43/C43)</f>
        <v>3.3384976288793208E-2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7289342</v>
      </c>
      <c r="D49" s="22">
        <v>7275470</v>
      </c>
      <c r="E49" s="22">
        <f t="shared" ref="E49:E56" si="2">D49-C49</f>
        <v>-13872</v>
      </c>
      <c r="F49" s="306">
        <f t="shared" ref="F49:F56" si="3">IF(C49=0,0,E49/C49)</f>
        <v>-1.9030524291492976E-3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4177672</v>
      </c>
      <c r="D50" s="22">
        <v>4456310</v>
      </c>
      <c r="E50" s="22">
        <f t="shared" si="2"/>
        <v>278638</v>
      </c>
      <c r="F50" s="306">
        <f t="shared" si="3"/>
        <v>6.6696954667575623E-2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2468522</v>
      </c>
      <c r="D51" s="22">
        <v>4348984</v>
      </c>
      <c r="E51" s="22">
        <f t="shared" si="2"/>
        <v>1880462</v>
      </c>
      <c r="F51" s="306">
        <f t="shared" si="3"/>
        <v>0.76177648001516696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0</v>
      </c>
      <c r="D53" s="22">
        <v>0</v>
      </c>
      <c r="E53" s="22">
        <f t="shared" si="2"/>
        <v>0</v>
      </c>
      <c r="F53" s="306">
        <f t="shared" si="3"/>
        <v>0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3219468</v>
      </c>
      <c r="D54" s="22">
        <v>0</v>
      </c>
      <c r="E54" s="22">
        <f t="shared" si="2"/>
        <v>-3219468</v>
      </c>
      <c r="F54" s="306">
        <f t="shared" si="3"/>
        <v>-1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4078798</v>
      </c>
      <c r="D55" s="22">
        <v>4435526</v>
      </c>
      <c r="E55" s="22">
        <f t="shared" si="2"/>
        <v>356728</v>
      </c>
      <c r="F55" s="306">
        <f t="shared" si="3"/>
        <v>8.745909946999092E-2</v>
      </c>
    </row>
    <row r="56" spans="1:6" ht="24" customHeight="1" x14ac:dyDescent="0.25">
      <c r="A56" s="307"/>
      <c r="B56" s="308" t="s">
        <v>54</v>
      </c>
      <c r="C56" s="309">
        <f>SUM(C49:C55)</f>
        <v>21233802</v>
      </c>
      <c r="D56" s="309">
        <f>SUM(D49:D55)</f>
        <v>20516290</v>
      </c>
      <c r="E56" s="309">
        <f t="shared" si="2"/>
        <v>-717512</v>
      </c>
      <c r="F56" s="310">
        <f t="shared" si="3"/>
        <v>-3.3791028097558788E-2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0</v>
      </c>
      <c r="D61" s="309">
        <f>SUM(D59:D60)</f>
        <v>0</v>
      </c>
      <c r="E61" s="309">
        <f>D61-C61</f>
        <v>0</v>
      </c>
      <c r="F61" s="310">
        <f>IF(C61=0,0,E61/C61)</f>
        <v>0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23133018</v>
      </c>
      <c r="D63" s="22">
        <v>27865188</v>
      </c>
      <c r="E63" s="22">
        <f>D63-C63</f>
        <v>4732170</v>
      </c>
      <c r="F63" s="306">
        <f>IF(C63=0,0,E63/C63)</f>
        <v>0.20456345125396089</v>
      </c>
    </row>
    <row r="64" spans="1:6" ht="24" customHeight="1" x14ac:dyDescent="0.2">
      <c r="A64" s="304">
        <v>4</v>
      </c>
      <c r="B64" s="305" t="s">
        <v>60</v>
      </c>
      <c r="C64" s="22">
        <v>3527218</v>
      </c>
      <c r="D64" s="22">
        <v>3971340</v>
      </c>
      <c r="E64" s="22">
        <f>D64-C64</f>
        <v>444122</v>
      </c>
      <c r="F64" s="306">
        <f>IF(C64=0,0,E64/C64)</f>
        <v>0.12591282988462862</v>
      </c>
    </row>
    <row r="65" spans="1:6" ht="24" customHeight="1" x14ac:dyDescent="0.25">
      <c r="A65" s="307"/>
      <c r="B65" s="308" t="s">
        <v>61</v>
      </c>
      <c r="C65" s="309">
        <f>SUM(C61:C64)</f>
        <v>26660236</v>
      </c>
      <c r="D65" s="309">
        <f>SUM(D61:D64)</f>
        <v>31836528</v>
      </c>
      <c r="E65" s="309">
        <f>D65-C65</f>
        <v>5176292</v>
      </c>
      <c r="F65" s="310">
        <f>IF(C65=0,0,E65/C65)</f>
        <v>0.19415777114651198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61139349</v>
      </c>
      <c r="D70" s="22">
        <v>59368912</v>
      </c>
      <c r="E70" s="22">
        <f>D70-C70</f>
        <v>-1770437</v>
      </c>
      <c r="F70" s="306">
        <f>IF(C70=0,0,E70/C70)</f>
        <v>-2.8957406792146249E-2</v>
      </c>
    </row>
    <row r="71" spans="1:6" ht="24" customHeight="1" x14ac:dyDescent="0.2">
      <c r="A71" s="304">
        <v>2</v>
      </c>
      <c r="B71" s="305" t="s">
        <v>65</v>
      </c>
      <c r="C71" s="22">
        <v>3314742</v>
      </c>
      <c r="D71" s="22">
        <v>3508118</v>
      </c>
      <c r="E71" s="22">
        <f>D71-C71</f>
        <v>193376</v>
      </c>
      <c r="F71" s="306">
        <f>IF(C71=0,0,E71/C71)</f>
        <v>5.8338175339136503E-2</v>
      </c>
    </row>
    <row r="72" spans="1:6" ht="24" customHeight="1" x14ac:dyDescent="0.2">
      <c r="A72" s="304">
        <v>3</v>
      </c>
      <c r="B72" s="305" t="s">
        <v>66</v>
      </c>
      <c r="C72" s="22">
        <v>20101688</v>
      </c>
      <c r="D72" s="22">
        <v>21641803</v>
      </c>
      <c r="E72" s="22">
        <f>D72-C72</f>
        <v>1540115</v>
      </c>
      <c r="F72" s="306">
        <f>IF(C72=0,0,E72/C72)</f>
        <v>7.6616202579604262E-2</v>
      </c>
    </row>
    <row r="73" spans="1:6" ht="24" customHeight="1" x14ac:dyDescent="0.25">
      <c r="A73" s="304"/>
      <c r="B73" s="308" t="s">
        <v>67</v>
      </c>
      <c r="C73" s="309">
        <f>SUM(C70:C72)</f>
        <v>84555779</v>
      </c>
      <c r="D73" s="309">
        <f>SUM(D70:D72)</f>
        <v>84518833</v>
      </c>
      <c r="E73" s="309">
        <f>D73-C73</f>
        <v>-36946</v>
      </c>
      <c r="F73" s="310">
        <f>IF(C73=0,0,E73/C73)</f>
        <v>-4.3694234074763834E-4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132449817</v>
      </c>
      <c r="D75" s="309">
        <f>D56+D65+D67+D73</f>
        <v>136871651</v>
      </c>
      <c r="E75" s="309">
        <f>D75-C75</f>
        <v>4421834</v>
      </c>
      <c r="F75" s="310">
        <f>IF(C75=0,0,E75/C75)</f>
        <v>3.3384976288793208E-2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FILING&amp;RTHE CHARLOTTE HUNGERFORD HOSPITAL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259938572</v>
      </c>
      <c r="D11" s="76">
        <v>268038155</v>
      </c>
      <c r="E11" s="76">
        <f t="shared" ref="E11:E20" si="0">D11-C11</f>
        <v>8099583</v>
      </c>
      <c r="F11" s="77">
        <f t="shared" ref="F11:F20" si="1">IF(C11=0,0,E11/C11)</f>
        <v>3.1159604123700425E-2</v>
      </c>
    </row>
    <row r="12" spans="1:7" ht="23.1" customHeight="1" x14ac:dyDescent="0.2">
      <c r="A12" s="74">
        <v>2</v>
      </c>
      <c r="B12" s="75" t="s">
        <v>72</v>
      </c>
      <c r="C12" s="76">
        <v>136668445</v>
      </c>
      <c r="D12" s="76">
        <v>147781220</v>
      </c>
      <c r="E12" s="76">
        <f t="shared" si="0"/>
        <v>11112775</v>
      </c>
      <c r="F12" s="77">
        <f t="shared" si="1"/>
        <v>8.13119297581823E-2</v>
      </c>
    </row>
    <row r="13" spans="1:7" ht="23.1" customHeight="1" x14ac:dyDescent="0.2">
      <c r="A13" s="74">
        <v>3</v>
      </c>
      <c r="B13" s="75" t="s">
        <v>73</v>
      </c>
      <c r="C13" s="76">
        <v>3214518</v>
      </c>
      <c r="D13" s="76">
        <v>2935378</v>
      </c>
      <c r="E13" s="76">
        <f t="shared" si="0"/>
        <v>-279140</v>
      </c>
      <c r="F13" s="77">
        <f t="shared" si="1"/>
        <v>-8.6837280114779258E-2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120055609</v>
      </c>
      <c r="D15" s="79">
        <f>D11-D12-D13-D14</f>
        <v>117321557</v>
      </c>
      <c r="E15" s="79">
        <f t="shared" si="0"/>
        <v>-2734052</v>
      </c>
      <c r="F15" s="80">
        <f t="shared" si="1"/>
        <v>-2.2773213369814315E-2</v>
      </c>
    </row>
    <row r="16" spans="1:7" ht="23.1" customHeight="1" x14ac:dyDescent="0.2">
      <c r="A16" s="74">
        <v>5</v>
      </c>
      <c r="B16" s="75" t="s">
        <v>76</v>
      </c>
      <c r="C16" s="76">
        <v>3378061</v>
      </c>
      <c r="D16" s="76">
        <v>2699503</v>
      </c>
      <c r="E16" s="76">
        <f t="shared" si="0"/>
        <v>-678558</v>
      </c>
      <c r="F16" s="77">
        <f t="shared" si="1"/>
        <v>-0.20087203872280576</v>
      </c>
      <c r="G16" s="65"/>
    </row>
    <row r="17" spans="1:7" ht="31.5" customHeight="1" x14ac:dyDescent="0.25">
      <c r="A17" s="71"/>
      <c r="B17" s="81" t="s">
        <v>77</v>
      </c>
      <c r="C17" s="79">
        <f>C15-C16</f>
        <v>116677548</v>
      </c>
      <c r="D17" s="79">
        <f>D15-D16</f>
        <v>114622054</v>
      </c>
      <c r="E17" s="79">
        <f t="shared" si="0"/>
        <v>-2055494</v>
      </c>
      <c r="F17" s="80">
        <f t="shared" si="1"/>
        <v>-1.7616876899058592E-2</v>
      </c>
    </row>
    <row r="18" spans="1:7" ht="23.1" customHeight="1" x14ac:dyDescent="0.2">
      <c r="A18" s="74">
        <v>6</v>
      </c>
      <c r="B18" s="75" t="s">
        <v>78</v>
      </c>
      <c r="C18" s="76">
        <v>8250545</v>
      </c>
      <c r="D18" s="76">
        <v>7533927</v>
      </c>
      <c r="E18" s="76">
        <f t="shared" si="0"/>
        <v>-716618</v>
      </c>
      <c r="F18" s="77">
        <f t="shared" si="1"/>
        <v>-8.6857050049420972E-2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124928093</v>
      </c>
      <c r="D20" s="79">
        <f>SUM(D17:D19)</f>
        <v>122155981</v>
      </c>
      <c r="E20" s="79">
        <f t="shared" si="0"/>
        <v>-2772112</v>
      </c>
      <c r="F20" s="80">
        <f t="shared" si="1"/>
        <v>-2.2189660735476048E-2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58472497</v>
      </c>
      <c r="D23" s="76">
        <v>59008896</v>
      </c>
      <c r="E23" s="76">
        <f t="shared" ref="E23:E32" si="2">D23-C23</f>
        <v>536399</v>
      </c>
      <c r="F23" s="77">
        <f t="shared" ref="F23:F32" si="3">IF(C23=0,0,E23/C23)</f>
        <v>9.1735264871619909E-3</v>
      </c>
    </row>
    <row r="24" spans="1:7" ht="23.1" customHeight="1" x14ac:dyDescent="0.2">
      <c r="A24" s="74">
        <v>2</v>
      </c>
      <c r="B24" s="75" t="s">
        <v>83</v>
      </c>
      <c r="C24" s="76">
        <v>16209800</v>
      </c>
      <c r="D24" s="76">
        <v>14032091</v>
      </c>
      <c r="E24" s="76">
        <f t="shared" si="2"/>
        <v>-2177709</v>
      </c>
      <c r="F24" s="77">
        <f t="shared" si="3"/>
        <v>-0.13434521092178806</v>
      </c>
    </row>
    <row r="25" spans="1:7" ht="23.1" customHeight="1" x14ac:dyDescent="0.2">
      <c r="A25" s="74">
        <v>3</v>
      </c>
      <c r="B25" s="75" t="s">
        <v>84</v>
      </c>
      <c r="C25" s="76">
        <v>4669548</v>
      </c>
      <c r="D25" s="76">
        <v>4330528</v>
      </c>
      <c r="E25" s="76">
        <f t="shared" si="2"/>
        <v>-339020</v>
      </c>
      <c r="F25" s="77">
        <f t="shared" si="3"/>
        <v>-7.2602316112822918E-2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12510410</v>
      </c>
      <c r="D26" s="76">
        <v>11619961</v>
      </c>
      <c r="E26" s="76">
        <f t="shared" si="2"/>
        <v>-890449</v>
      </c>
      <c r="F26" s="77">
        <f t="shared" si="3"/>
        <v>-7.1176644090801183E-2</v>
      </c>
    </row>
    <row r="27" spans="1:7" ht="23.1" customHeight="1" x14ac:dyDescent="0.2">
      <c r="A27" s="74">
        <v>5</v>
      </c>
      <c r="B27" s="75" t="s">
        <v>86</v>
      </c>
      <c r="C27" s="76">
        <v>6050075</v>
      </c>
      <c r="D27" s="76">
        <v>5899420</v>
      </c>
      <c r="E27" s="76">
        <f t="shared" si="2"/>
        <v>-150655</v>
      </c>
      <c r="F27" s="77">
        <f t="shared" si="3"/>
        <v>-2.4901344198212418E-2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250825</v>
      </c>
      <c r="D29" s="76">
        <v>15651</v>
      </c>
      <c r="E29" s="76">
        <f t="shared" si="2"/>
        <v>-235174</v>
      </c>
      <c r="F29" s="77">
        <f t="shared" si="3"/>
        <v>-0.93760191368484003</v>
      </c>
    </row>
    <row r="30" spans="1:7" ht="23.1" customHeight="1" x14ac:dyDescent="0.2">
      <c r="A30" s="74">
        <v>8</v>
      </c>
      <c r="B30" s="75" t="s">
        <v>89</v>
      </c>
      <c r="C30" s="76">
        <v>1842449</v>
      </c>
      <c r="D30" s="76">
        <v>1701301</v>
      </c>
      <c r="E30" s="76">
        <f t="shared" si="2"/>
        <v>-141148</v>
      </c>
      <c r="F30" s="77">
        <f t="shared" si="3"/>
        <v>-7.6608904778368361E-2</v>
      </c>
    </row>
    <row r="31" spans="1:7" ht="23.1" customHeight="1" x14ac:dyDescent="0.2">
      <c r="A31" s="74">
        <v>9</v>
      </c>
      <c r="B31" s="75" t="s">
        <v>90</v>
      </c>
      <c r="C31" s="76">
        <v>24894381</v>
      </c>
      <c r="D31" s="76">
        <v>25390983</v>
      </c>
      <c r="E31" s="76">
        <f t="shared" si="2"/>
        <v>496602</v>
      </c>
      <c r="F31" s="77">
        <f t="shared" si="3"/>
        <v>1.9948357020807224E-2</v>
      </c>
    </row>
    <row r="32" spans="1:7" ht="23.1" customHeight="1" x14ac:dyDescent="0.25">
      <c r="A32" s="71"/>
      <c r="B32" s="78" t="s">
        <v>91</v>
      </c>
      <c r="C32" s="79">
        <f>SUM(C23:C31)</f>
        <v>124899985</v>
      </c>
      <c r="D32" s="79">
        <f>SUM(D23:D31)</f>
        <v>121998831</v>
      </c>
      <c r="E32" s="79">
        <f t="shared" si="2"/>
        <v>-2901154</v>
      </c>
      <c r="F32" s="80">
        <f t="shared" si="3"/>
        <v>-2.3227817040970822E-2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28108</v>
      </c>
      <c r="D34" s="79">
        <f>+D20-D32</f>
        <v>157150</v>
      </c>
      <c r="E34" s="79">
        <f>D34-C34</f>
        <v>129042</v>
      </c>
      <c r="F34" s="80">
        <f>IF(C34=0,0,E34/C34)</f>
        <v>4.5909349651344815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2298212</v>
      </c>
      <c r="D37" s="76">
        <v>2689094</v>
      </c>
      <c r="E37" s="76">
        <f>D37-C37</f>
        <v>390882</v>
      </c>
      <c r="F37" s="77">
        <f>IF(C37=0,0,E37/C37)</f>
        <v>0.17008091507658998</v>
      </c>
    </row>
    <row r="38" spans="1:6" ht="23.1" customHeight="1" x14ac:dyDescent="0.2">
      <c r="A38" s="85">
        <v>2</v>
      </c>
      <c r="B38" s="75" t="s">
        <v>95</v>
      </c>
      <c r="C38" s="76">
        <v>273527</v>
      </c>
      <c r="D38" s="76">
        <v>110807</v>
      </c>
      <c r="E38" s="76">
        <f>D38-C38</f>
        <v>-162720</v>
      </c>
      <c r="F38" s="77">
        <f>IF(C38=0,0,E38/C38)</f>
        <v>-0.59489556789640508</v>
      </c>
    </row>
    <row r="39" spans="1:6" ht="23.1" customHeight="1" x14ac:dyDescent="0.2">
      <c r="A39" s="85">
        <v>3</v>
      </c>
      <c r="B39" s="75" t="s">
        <v>96</v>
      </c>
      <c r="C39" s="76">
        <v>93073</v>
      </c>
      <c r="D39" s="76">
        <v>65999</v>
      </c>
      <c r="E39" s="76">
        <f>D39-C39</f>
        <v>-27074</v>
      </c>
      <c r="F39" s="77">
        <f>IF(C39=0,0,E39/C39)</f>
        <v>-0.2908899466010551</v>
      </c>
    </row>
    <row r="40" spans="1:6" ht="23.1" customHeight="1" x14ac:dyDescent="0.25">
      <c r="A40" s="83"/>
      <c r="B40" s="78" t="s">
        <v>97</v>
      </c>
      <c r="C40" s="79">
        <f>SUM(C37:C39)</f>
        <v>2664812</v>
      </c>
      <c r="D40" s="79">
        <f>SUM(D37:D39)</f>
        <v>2865900</v>
      </c>
      <c r="E40" s="79">
        <f>D40-C40</f>
        <v>201088</v>
      </c>
      <c r="F40" s="80">
        <f>IF(C40=0,0,E40/C40)</f>
        <v>7.5460482765763587E-2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2692920</v>
      </c>
      <c r="D42" s="79">
        <f>D34+D40</f>
        <v>3023050</v>
      </c>
      <c r="E42" s="79">
        <f>D42-C42</f>
        <v>330130</v>
      </c>
      <c r="F42" s="80">
        <f>IF(C42=0,0,E42/C42)</f>
        <v>0.12259183340017528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2692920</v>
      </c>
      <c r="D49" s="79">
        <f>D42+D47</f>
        <v>3023050</v>
      </c>
      <c r="E49" s="79">
        <f>D49-C49</f>
        <v>330130</v>
      </c>
      <c r="F49" s="80">
        <f>IF(C49=0,0,E49/C49)</f>
        <v>0.12259183340017528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FILING&amp;R&amp;8THE CHARLOTTE HUNGERFORD HOSPITAL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2015-07-06T19:41:57Z</cp:lastPrinted>
  <dcterms:created xsi:type="dcterms:W3CDTF">2015-07-06T19:37:28Z</dcterms:created>
  <dcterms:modified xsi:type="dcterms:W3CDTF">2015-07-06T19:42:08Z</dcterms:modified>
</cp:coreProperties>
</file>