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8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D83" i="19"/>
  <c r="C83" i="19"/>
  <c r="E76" i="19"/>
  <c r="E102" i="19"/>
  <c r="D76" i="19"/>
  <c r="C76" i="19"/>
  <c r="C102" i="19"/>
  <c r="E75" i="19"/>
  <c r="E77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3" i="19"/>
  <c r="E54" i="19"/>
  <c r="D12" i="19"/>
  <c r="D33" i="19"/>
  <c r="C12" i="19"/>
  <c r="C23" i="19"/>
  <c r="D21" i="18"/>
  <c r="E21" i="18"/>
  <c r="F21" i="18"/>
  <c r="C21" i="18"/>
  <c r="D19" i="18"/>
  <c r="E19" i="18"/>
  <c r="F19" i="18"/>
  <c r="C19" i="18"/>
  <c r="F17" i="18"/>
  <c r="E17" i="18"/>
  <c r="F15" i="18"/>
  <c r="E15" i="18"/>
  <c r="D45" i="17"/>
  <c r="E45" i="17"/>
  <c r="C45" i="17"/>
  <c r="F45" i="17"/>
  <c r="D44" i="17"/>
  <c r="E44" i="17"/>
  <c r="C44" i="17"/>
  <c r="F44" i="17"/>
  <c r="D43" i="17"/>
  <c r="D46" i="17"/>
  <c r="C43" i="17"/>
  <c r="D36" i="17"/>
  <c r="D40" i="17"/>
  <c r="C36" i="17"/>
  <c r="F35" i="17"/>
  <c r="E35" i="17"/>
  <c r="F34" i="17"/>
  <c r="E34" i="17"/>
  <c r="F33" i="17"/>
  <c r="E33" i="17"/>
  <c r="E36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E24" i="17"/>
  <c r="F24" i="17"/>
  <c r="E23" i="17"/>
  <c r="F23" i="17"/>
  <c r="E22" i="17"/>
  <c r="F22" i="17"/>
  <c r="D19" i="17"/>
  <c r="D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65" i="16"/>
  <c r="C114" i="16"/>
  <c r="C116" i="16"/>
  <c r="C119" i="16"/>
  <c r="C123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C301" i="15"/>
  <c r="E301" i="15"/>
  <c r="D293" i="15"/>
  <c r="E293" i="15"/>
  <c r="C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E302" i="15"/>
  <c r="C265" i="15"/>
  <c r="C302" i="15"/>
  <c r="C303" i="15"/>
  <c r="C306" i="15"/>
  <c r="C310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E230" i="15"/>
  <c r="C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E220" i="15"/>
  <c r="C220" i="15"/>
  <c r="C244" i="15"/>
  <c r="D219" i="15"/>
  <c r="D243" i="15"/>
  <c r="C219" i="15"/>
  <c r="C243" i="15"/>
  <c r="D218" i="15"/>
  <c r="D242" i="15"/>
  <c r="C218" i="15"/>
  <c r="C217" i="15"/>
  <c r="D216" i="15"/>
  <c r="E216" i="15"/>
  <c r="C216" i="15"/>
  <c r="C240" i="15"/>
  <c r="D215" i="15"/>
  <c r="D239" i="15"/>
  <c r="C215" i="15"/>
  <c r="E209" i="15"/>
  <c r="E208" i="15"/>
  <c r="E207" i="15"/>
  <c r="E206" i="15"/>
  <c r="D205" i="15"/>
  <c r="E205" i="15"/>
  <c r="C205" i="15"/>
  <c r="C210" i="15"/>
  <c r="C234" i="15"/>
  <c r="E204" i="15"/>
  <c r="E203" i="15"/>
  <c r="E197" i="15"/>
  <c r="E196" i="15"/>
  <c r="D195" i="15"/>
  <c r="D260" i="15"/>
  <c r="C195" i="15"/>
  <c r="E195" i="15"/>
  <c r="E194" i="15"/>
  <c r="E193" i="15"/>
  <c r="E192" i="15"/>
  <c r="E191" i="15"/>
  <c r="E190" i="15"/>
  <c r="D188" i="15"/>
  <c r="D189" i="15"/>
  <c r="C188" i="15"/>
  <c r="C261" i="15"/>
  <c r="E186" i="15"/>
  <c r="E185" i="15"/>
  <c r="D179" i="15"/>
  <c r="E179" i="15"/>
  <c r="C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E73" i="15"/>
  <c r="C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2" i="15"/>
  <c r="D21" i="15"/>
  <c r="D283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F329" i="14"/>
  <c r="E329" i="14"/>
  <c r="F316" i="14"/>
  <c r="E316" i="14"/>
  <c r="C311" i="14"/>
  <c r="E311" i="14"/>
  <c r="F308" i="14"/>
  <c r="E308" i="14"/>
  <c r="C307" i="14"/>
  <c r="E307" i="14"/>
  <c r="E299" i="14"/>
  <c r="C299" i="14"/>
  <c r="F299" i="14"/>
  <c r="C298" i="14"/>
  <c r="E298" i="14"/>
  <c r="C297" i="14"/>
  <c r="E297" i="14"/>
  <c r="C296" i="14"/>
  <c r="E296" i="14"/>
  <c r="F296" i="14"/>
  <c r="C295" i="14"/>
  <c r="E295" i="14"/>
  <c r="C294" i="14"/>
  <c r="E294" i="14"/>
  <c r="E250" i="14"/>
  <c r="C250" i="14"/>
  <c r="F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F238" i="14"/>
  <c r="C237" i="14"/>
  <c r="C239" i="14"/>
  <c r="E234" i="14"/>
  <c r="F234" i="14"/>
  <c r="F233" i="14"/>
  <c r="E233" i="14"/>
  <c r="E230" i="14"/>
  <c r="C230" i="14"/>
  <c r="C229" i="14"/>
  <c r="E229" i="14"/>
  <c r="F229" i="14"/>
  <c r="E228" i="14"/>
  <c r="F228" i="14"/>
  <c r="C226" i="14"/>
  <c r="C227" i="14"/>
  <c r="E225" i="14"/>
  <c r="F225" i="14"/>
  <c r="E224" i="14"/>
  <c r="F224" i="14"/>
  <c r="C223" i="14"/>
  <c r="E223" i="14"/>
  <c r="F223" i="14"/>
  <c r="F222" i="14"/>
  <c r="E222" i="14"/>
  <c r="F221" i="14"/>
  <c r="E221" i="14"/>
  <c r="C204" i="14"/>
  <c r="C203" i="14"/>
  <c r="C283" i="14"/>
  <c r="E283" i="14"/>
  <c r="C198" i="14"/>
  <c r="E198" i="14"/>
  <c r="C191" i="14"/>
  <c r="C264" i="14"/>
  <c r="C189" i="14"/>
  <c r="C262" i="14"/>
  <c r="C188" i="14"/>
  <c r="C277" i="14"/>
  <c r="C287" i="14"/>
  <c r="C180" i="14"/>
  <c r="E180" i="14"/>
  <c r="F180" i="14"/>
  <c r="C179" i="14"/>
  <c r="C181" i="14"/>
  <c r="C171" i="14"/>
  <c r="C172" i="14"/>
  <c r="E172" i="14"/>
  <c r="E171" i="14"/>
  <c r="F171" i="14"/>
  <c r="E170" i="14"/>
  <c r="C170" i="14"/>
  <c r="F170" i="14"/>
  <c r="E169" i="14"/>
  <c r="F169" i="14"/>
  <c r="F168" i="14"/>
  <c r="E168" i="14"/>
  <c r="E165" i="14"/>
  <c r="C165" i="14"/>
  <c r="E164" i="14"/>
  <c r="C164" i="14"/>
  <c r="F163" i="14"/>
  <c r="E163" i="14"/>
  <c r="C158" i="14"/>
  <c r="E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E144" i="14"/>
  <c r="C144" i="14"/>
  <c r="C137" i="14"/>
  <c r="C136" i="14"/>
  <c r="E136" i="14"/>
  <c r="F136" i="14"/>
  <c r="C135" i="14"/>
  <c r="E135" i="14"/>
  <c r="F135" i="14"/>
  <c r="E134" i="14"/>
  <c r="F134" i="14"/>
  <c r="E133" i="14"/>
  <c r="F133" i="14"/>
  <c r="C130" i="14"/>
  <c r="E130" i="14"/>
  <c r="C129" i="14"/>
  <c r="F128" i="14"/>
  <c r="E128" i="14"/>
  <c r="C123" i="14"/>
  <c r="C192" i="14"/>
  <c r="E122" i="14"/>
  <c r="F122" i="14"/>
  <c r="E121" i="14"/>
  <c r="F121" i="14"/>
  <c r="C120" i="14"/>
  <c r="E119" i="14"/>
  <c r="F119" i="14"/>
  <c r="E118" i="14"/>
  <c r="F118" i="14"/>
  <c r="C110" i="14"/>
  <c r="E110" i="14"/>
  <c r="C109" i="14"/>
  <c r="C111" i="14"/>
  <c r="C101" i="14"/>
  <c r="E101" i="14"/>
  <c r="C100" i="14"/>
  <c r="E100" i="14"/>
  <c r="F100" i="14"/>
  <c r="F99" i="14"/>
  <c r="E99" i="14"/>
  <c r="F98" i="14"/>
  <c r="E98" i="14"/>
  <c r="C95" i="14"/>
  <c r="C94" i="14"/>
  <c r="E93" i="14"/>
  <c r="F93" i="14"/>
  <c r="C88" i="14"/>
  <c r="E87" i="14"/>
  <c r="F87" i="14"/>
  <c r="E86" i="14"/>
  <c r="F86" i="14"/>
  <c r="C85" i="14"/>
  <c r="E85" i="14"/>
  <c r="E84" i="14"/>
  <c r="F84" i="14"/>
  <c r="E83" i="14"/>
  <c r="F83" i="14"/>
  <c r="C76" i="14"/>
  <c r="E74" i="14"/>
  <c r="F74" i="14"/>
  <c r="E73" i="14"/>
  <c r="F73" i="14"/>
  <c r="C67" i="14"/>
  <c r="E67" i="14"/>
  <c r="F67" i="14"/>
  <c r="C66" i="14"/>
  <c r="C68" i="14"/>
  <c r="C59" i="14"/>
  <c r="E59" i="14"/>
  <c r="C58" i="14"/>
  <c r="E58" i="14"/>
  <c r="E57" i="14"/>
  <c r="F57" i="14"/>
  <c r="E56" i="14"/>
  <c r="F56" i="14"/>
  <c r="C53" i="14"/>
  <c r="C52" i="14"/>
  <c r="E51" i="14"/>
  <c r="F51" i="14"/>
  <c r="C47" i="14"/>
  <c r="E47" i="14"/>
  <c r="E46" i="14"/>
  <c r="F46" i="14"/>
  <c r="E45" i="14"/>
  <c r="F45" i="14"/>
  <c r="C44" i="14"/>
  <c r="E43" i="14"/>
  <c r="F43" i="14"/>
  <c r="E42" i="14"/>
  <c r="F42" i="14"/>
  <c r="C36" i="14"/>
  <c r="E36" i="14"/>
  <c r="C35" i="14"/>
  <c r="E30" i="14"/>
  <c r="C30" i="14"/>
  <c r="C31" i="14"/>
  <c r="F30" i="14"/>
  <c r="C29" i="14"/>
  <c r="E29" i="14"/>
  <c r="E28" i="14"/>
  <c r="F28" i="14"/>
  <c r="E27" i="14"/>
  <c r="F27" i="14"/>
  <c r="C24" i="14"/>
  <c r="E24" i="14"/>
  <c r="F24" i="14"/>
  <c r="C23" i="14"/>
  <c r="E22" i="14"/>
  <c r="F22" i="14"/>
  <c r="C20" i="14"/>
  <c r="E19" i="14"/>
  <c r="F19" i="14"/>
  <c r="E18" i="14"/>
  <c r="F18" i="14"/>
  <c r="E17" i="14"/>
  <c r="C17" i="14"/>
  <c r="F17" i="14"/>
  <c r="E16" i="14"/>
  <c r="F16" i="14"/>
  <c r="E15" i="14"/>
  <c r="F15" i="14"/>
  <c r="D22" i="13"/>
  <c r="C22" i="13"/>
  <c r="E21" i="13"/>
  <c r="F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3" i="12"/>
  <c r="F83" i="12"/>
  <c r="E82" i="12"/>
  <c r="F82" i="12"/>
  <c r="E81" i="12"/>
  <c r="F81" i="12"/>
  <c r="F80" i="12"/>
  <c r="E80" i="12"/>
  <c r="E79" i="12"/>
  <c r="F79" i="12"/>
  <c r="D75" i="12"/>
  <c r="C75" i="12"/>
  <c r="E74" i="12"/>
  <c r="F74" i="12"/>
  <c r="E73" i="12"/>
  <c r="E75" i="12"/>
  <c r="F75" i="12"/>
  <c r="D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C45" i="12"/>
  <c r="E44" i="12"/>
  <c r="F44" i="12"/>
  <c r="E43" i="12"/>
  <c r="F43" i="12"/>
  <c r="D37" i="12"/>
  <c r="E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30" i="12"/>
  <c r="E29" i="12"/>
  <c r="F29" i="12"/>
  <c r="F28" i="12"/>
  <c r="E28" i="12"/>
  <c r="E27" i="12"/>
  <c r="F27" i="12"/>
  <c r="F26" i="12"/>
  <c r="E26" i="12"/>
  <c r="D23" i="12"/>
  <c r="E23" i="12"/>
  <c r="C23" i="12"/>
  <c r="F23" i="12"/>
  <c r="E22" i="12"/>
  <c r="F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F14" i="12"/>
  <c r="E14" i="12"/>
  <c r="F13" i="12"/>
  <c r="E13" i="12"/>
  <c r="F12" i="12"/>
  <c r="E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/>
  <c r="F17" i="11"/>
  <c r="F33" i="11"/>
  <c r="E17" i="11"/>
  <c r="E31" i="11"/>
  <c r="E33" i="11"/>
  <c r="E36" i="11"/>
  <c r="E38" i="11"/>
  <c r="E40" i="11"/>
  <c r="D17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E80" i="10"/>
  <c r="E77" i="10"/>
  <c r="D79" i="10"/>
  <c r="C79" i="10"/>
  <c r="E78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C66" i="10"/>
  <c r="C65" i="10"/>
  <c r="D65" i="10"/>
  <c r="E60" i="10"/>
  <c r="D60" i="10"/>
  <c r="C60" i="10"/>
  <c r="E58" i="10"/>
  <c r="D58" i="10"/>
  <c r="C58" i="10"/>
  <c r="E55" i="10"/>
  <c r="D55" i="10"/>
  <c r="D50" i="10"/>
  <c r="C55" i="10"/>
  <c r="C50" i="10"/>
  <c r="E54" i="10"/>
  <c r="E50" i="10"/>
  <c r="D54" i="10"/>
  <c r="C54" i="10"/>
  <c r="C48" i="10"/>
  <c r="C42" i="10"/>
  <c r="E46" i="10"/>
  <c r="E48" i="10"/>
  <c r="E42" i="10"/>
  <c r="D46" i="10"/>
  <c r="D59" i="10"/>
  <c r="D61" i="10"/>
  <c r="D57" i="10"/>
  <c r="C46" i="10"/>
  <c r="C59" i="10"/>
  <c r="C61" i="10"/>
  <c r="C57" i="10"/>
  <c r="E45" i="10"/>
  <c r="D45" i="10"/>
  <c r="C45" i="10"/>
  <c r="E38" i="10"/>
  <c r="D38" i="10"/>
  <c r="C38" i="10"/>
  <c r="D34" i="10"/>
  <c r="E33" i="10"/>
  <c r="E34" i="10"/>
  <c r="D33" i="10"/>
  <c r="E26" i="10"/>
  <c r="D26" i="10"/>
  <c r="C26" i="10"/>
  <c r="C15" i="10"/>
  <c r="C24" i="10"/>
  <c r="E13" i="10"/>
  <c r="E15" i="10"/>
  <c r="E24" i="10"/>
  <c r="D13" i="10"/>
  <c r="D15" i="10"/>
  <c r="C13" i="10"/>
  <c r="C25" i="10"/>
  <c r="C27" i="10"/>
  <c r="C21" i="10"/>
  <c r="F46" i="9"/>
  <c r="D46" i="9"/>
  <c r="E46" i="9"/>
  <c r="C46" i="9"/>
  <c r="F45" i="9"/>
  <c r="E45" i="9"/>
  <c r="F44" i="9"/>
  <c r="E44" i="9"/>
  <c r="D39" i="9"/>
  <c r="E39" i="9"/>
  <c r="F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D19" i="9"/>
  <c r="C16" i="9"/>
  <c r="C19" i="9"/>
  <c r="C33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F64" i="8"/>
  <c r="E64" i="8"/>
  <c r="F63" i="8"/>
  <c r="E63" i="8"/>
  <c r="D61" i="8"/>
  <c r="D65" i="8"/>
  <c r="E61" i="8"/>
  <c r="F61" i="8"/>
  <c r="C61" i="8"/>
  <c r="C65" i="8"/>
  <c r="E60" i="8"/>
  <c r="F60" i="8"/>
  <c r="E59" i="8"/>
  <c r="F59" i="8"/>
  <c r="D56" i="8"/>
  <c r="C56" i="8"/>
  <c r="E56" i="8"/>
  <c r="E55" i="8"/>
  <c r="F55" i="8"/>
  <c r="E54" i="8"/>
  <c r="F54" i="8"/>
  <c r="E53" i="8"/>
  <c r="F53" i="8"/>
  <c r="F52" i="8"/>
  <c r="E52" i="8"/>
  <c r="F51" i="8"/>
  <c r="E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E38" i="8"/>
  <c r="C38" i="8"/>
  <c r="F38" i="8"/>
  <c r="F37" i="8"/>
  <c r="E37" i="8"/>
  <c r="F36" i="8"/>
  <c r="E36" i="8"/>
  <c r="F33" i="8"/>
  <c r="E33" i="8"/>
  <c r="F32" i="8"/>
  <c r="E32" i="8"/>
  <c r="F31" i="8"/>
  <c r="E31" i="8"/>
  <c r="D29" i="8"/>
  <c r="E29" i="8"/>
  <c r="F29" i="8"/>
  <c r="C29" i="8"/>
  <c r="F28" i="8"/>
  <c r="E28" i="8"/>
  <c r="F27" i="8"/>
  <c r="E27" i="8"/>
  <c r="F26" i="8"/>
  <c r="E26" i="8"/>
  <c r="F25" i="8"/>
  <c r="E25" i="8"/>
  <c r="D22" i="8"/>
  <c r="E22" i="8"/>
  <c r="C22" i="8"/>
  <c r="F22" i="8"/>
  <c r="E21" i="8"/>
  <c r="F21" i="8"/>
  <c r="F20" i="8"/>
  <c r="E20" i="8"/>
  <c r="E19" i="8"/>
  <c r="F19" i="8"/>
  <c r="E18" i="8"/>
  <c r="F18" i="8"/>
  <c r="F17" i="8"/>
  <c r="E17" i="8"/>
  <c r="F16" i="8"/>
  <c r="E16" i="8"/>
  <c r="E15" i="8"/>
  <c r="F15" i="8"/>
  <c r="F14" i="8"/>
  <c r="E14" i="8"/>
  <c r="E13" i="8"/>
  <c r="F13" i="8"/>
  <c r="D120" i="7"/>
  <c r="E120" i="7"/>
  <c r="F120" i="7"/>
  <c r="C120" i="7"/>
  <c r="D119" i="7"/>
  <c r="C119" i="7"/>
  <c r="D118" i="7"/>
  <c r="E118" i="7"/>
  <c r="C118" i="7"/>
  <c r="F118" i="7"/>
  <c r="D117" i="7"/>
  <c r="E117" i="7"/>
  <c r="C117" i="7"/>
  <c r="F117" i="7"/>
  <c r="D116" i="7"/>
  <c r="C116" i="7"/>
  <c r="D115" i="7"/>
  <c r="E115" i="7"/>
  <c r="C115" i="7"/>
  <c r="F115" i="7"/>
  <c r="D114" i="7"/>
  <c r="C114" i="7"/>
  <c r="D113" i="7"/>
  <c r="E113" i="7"/>
  <c r="C113" i="7"/>
  <c r="F113" i="7"/>
  <c r="D112" i="7"/>
  <c r="E112" i="7"/>
  <c r="F112" i="7"/>
  <c r="C112" i="7"/>
  <c r="C121" i="7"/>
  <c r="D108" i="7"/>
  <c r="E108" i="7"/>
  <c r="C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D59" i="7"/>
  <c r="C59" i="7"/>
  <c r="E58" i="7"/>
  <c r="F58" i="7"/>
  <c r="F57" i="7"/>
  <c r="E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F206" i="6"/>
  <c r="D205" i="6"/>
  <c r="C205" i="6"/>
  <c r="E205" i="6"/>
  <c r="D204" i="6"/>
  <c r="E204" i="6"/>
  <c r="C204" i="6"/>
  <c r="F204" i="6"/>
  <c r="D203" i="6"/>
  <c r="C203" i="6"/>
  <c r="E203" i="6"/>
  <c r="D202" i="6"/>
  <c r="E202" i="6"/>
  <c r="C202" i="6"/>
  <c r="F202" i="6"/>
  <c r="D201" i="6"/>
  <c r="C201" i="6"/>
  <c r="E201" i="6"/>
  <c r="D200" i="6"/>
  <c r="E200" i="6"/>
  <c r="C200" i="6"/>
  <c r="F200" i="6"/>
  <c r="D199" i="6"/>
  <c r="C199" i="6"/>
  <c r="E199" i="6"/>
  <c r="D198" i="6"/>
  <c r="E198" i="6"/>
  <c r="F198" i="6"/>
  <c r="C198" i="6"/>
  <c r="C207" i="6"/>
  <c r="D193" i="6"/>
  <c r="C193" i="6"/>
  <c r="E193" i="6"/>
  <c r="D192" i="6"/>
  <c r="E192" i="6"/>
  <c r="C192" i="6"/>
  <c r="F192" i="6"/>
  <c r="F191" i="6"/>
  <c r="E191" i="6"/>
  <c r="E190" i="6"/>
  <c r="F190" i="6"/>
  <c r="E189" i="6"/>
  <c r="F189" i="6"/>
  <c r="F188" i="6"/>
  <c r="E188" i="6"/>
  <c r="F187" i="6"/>
  <c r="E187" i="6"/>
  <c r="E186" i="6"/>
  <c r="F186" i="6"/>
  <c r="E185" i="6"/>
  <c r="F185" i="6"/>
  <c r="F184" i="6"/>
  <c r="E184" i="6"/>
  <c r="F183" i="6"/>
  <c r="E183" i="6"/>
  <c r="D180" i="6"/>
  <c r="C180" i="6"/>
  <c r="E180" i="6"/>
  <c r="D179" i="6"/>
  <c r="E179" i="6"/>
  <c r="C179" i="6"/>
  <c r="F179" i="6"/>
  <c r="F178" i="6"/>
  <c r="E178" i="6"/>
  <c r="E177" i="6"/>
  <c r="F177" i="6"/>
  <c r="E176" i="6"/>
  <c r="F176" i="6"/>
  <c r="F175" i="6"/>
  <c r="E175" i="6"/>
  <c r="F174" i="6"/>
  <c r="E174" i="6"/>
  <c r="E173" i="6"/>
  <c r="F173" i="6"/>
  <c r="E172" i="6"/>
  <c r="F172" i="6"/>
  <c r="F171" i="6"/>
  <c r="E171" i="6"/>
  <c r="F170" i="6"/>
  <c r="E170" i="6"/>
  <c r="D167" i="6"/>
  <c r="C167" i="6"/>
  <c r="E167" i="6"/>
  <c r="D166" i="6"/>
  <c r="E166" i="6"/>
  <c r="C166" i="6"/>
  <c r="F166" i="6"/>
  <c r="F165" i="6"/>
  <c r="E165" i="6"/>
  <c r="F164" i="6"/>
  <c r="E164" i="6"/>
  <c r="E163" i="6"/>
  <c r="F163" i="6"/>
  <c r="F162" i="6"/>
  <c r="E162" i="6"/>
  <c r="F161" i="6"/>
  <c r="E161" i="6"/>
  <c r="E160" i="6"/>
  <c r="F160" i="6"/>
  <c r="E159" i="6"/>
  <c r="F159" i="6"/>
  <c r="F158" i="6"/>
  <c r="E158" i="6"/>
  <c r="F157" i="6"/>
  <c r="E157" i="6"/>
  <c r="D154" i="6"/>
  <c r="C154" i="6"/>
  <c r="E154" i="6"/>
  <c r="D153" i="6"/>
  <c r="E153" i="6"/>
  <c r="C153" i="6"/>
  <c r="E152" i="6"/>
  <c r="F152" i="6"/>
  <c r="E151" i="6"/>
  <c r="F151" i="6"/>
  <c r="E150" i="6"/>
  <c r="F150" i="6"/>
  <c r="E149" i="6"/>
  <c r="F149" i="6"/>
  <c r="E148" i="6"/>
  <c r="F148" i="6"/>
  <c r="E147" i="6"/>
  <c r="F147" i="6"/>
  <c r="E146" i="6"/>
  <c r="F146" i="6"/>
  <c r="E145" i="6"/>
  <c r="F145" i="6"/>
  <c r="E144" i="6"/>
  <c r="F144" i="6"/>
  <c r="D141" i="6"/>
  <c r="C141" i="6"/>
  <c r="E141" i="6"/>
  <c r="D140" i="6"/>
  <c r="E140" i="6"/>
  <c r="C140" i="6"/>
  <c r="F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E128" i="6"/>
  <c r="D127" i="6"/>
  <c r="E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E114" i="6"/>
  <c r="C114" i="6"/>
  <c r="F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E102" i="6"/>
  <c r="D101" i="6"/>
  <c r="E101" i="6"/>
  <c r="C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/>
  <c r="D88" i="6"/>
  <c r="E88" i="6"/>
  <c r="C88" i="6"/>
  <c r="F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E76" i="6"/>
  <c r="D75" i="6"/>
  <c r="E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E62" i="6"/>
  <c r="C62" i="6"/>
  <c r="F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E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D36" i="6"/>
  <c r="E36" i="6"/>
  <c r="C36" i="6"/>
  <c r="F35" i="6"/>
  <c r="E35" i="6"/>
  <c r="F34" i="6"/>
  <c r="E34" i="6"/>
  <c r="E33" i="6"/>
  <c r="F33" i="6"/>
  <c r="F32" i="6"/>
  <c r="E32" i="6"/>
  <c r="F31" i="6"/>
  <c r="E31" i="6"/>
  <c r="E30" i="6"/>
  <c r="F30" i="6"/>
  <c r="E29" i="6"/>
  <c r="F29" i="6"/>
  <c r="F28" i="6"/>
  <c r="E28" i="6"/>
  <c r="F27" i="6"/>
  <c r="E27" i="6"/>
  <c r="D24" i="6"/>
  <c r="E24" i="6"/>
  <c r="C24" i="6"/>
  <c r="D23" i="6"/>
  <c r="E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D147" i="5"/>
  <c r="D143" i="5"/>
  <c r="D149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C84" i="5"/>
  <c r="E83" i="5"/>
  <c r="E79" i="5"/>
  <c r="D83" i="5"/>
  <c r="C83" i="5"/>
  <c r="C79" i="5"/>
  <c r="D79" i="5"/>
  <c r="E77" i="5"/>
  <c r="E75" i="5"/>
  <c r="E88" i="5"/>
  <c r="E90" i="5"/>
  <c r="E86" i="5"/>
  <c r="D75" i="5"/>
  <c r="C75" i="5"/>
  <c r="C88" i="5"/>
  <c r="C90" i="5"/>
  <c r="C86" i="5"/>
  <c r="E74" i="5"/>
  <c r="D74" i="5"/>
  <c r="C74" i="5"/>
  <c r="E67" i="5"/>
  <c r="D67" i="5"/>
  <c r="C67" i="5"/>
  <c r="E38" i="5"/>
  <c r="E57" i="5"/>
  <c r="E62" i="5"/>
  <c r="D38" i="5"/>
  <c r="D53" i="5"/>
  <c r="C38" i="5"/>
  <c r="E34" i="5"/>
  <c r="E33" i="5"/>
  <c r="D33" i="5"/>
  <c r="D34" i="5"/>
  <c r="E26" i="5"/>
  <c r="D26" i="5"/>
  <c r="C26" i="5"/>
  <c r="E13" i="5"/>
  <c r="E15" i="5"/>
  <c r="D13" i="5"/>
  <c r="C13" i="5"/>
  <c r="C25" i="5"/>
  <c r="C27" i="5"/>
  <c r="E186" i="4"/>
  <c r="F186" i="4"/>
  <c r="D183" i="4"/>
  <c r="E183" i="4"/>
  <c r="C183" i="4"/>
  <c r="E182" i="4"/>
  <c r="F182" i="4"/>
  <c r="E181" i="4"/>
  <c r="F181" i="4"/>
  <c r="F180" i="4"/>
  <c r="E180" i="4"/>
  <c r="E179" i="4"/>
  <c r="F179" i="4"/>
  <c r="F178" i="4"/>
  <c r="E178" i="4"/>
  <c r="F177" i="4"/>
  <c r="E177" i="4"/>
  <c r="E176" i="4"/>
  <c r="F176" i="4"/>
  <c r="E175" i="4"/>
  <c r="F175" i="4"/>
  <c r="E174" i="4"/>
  <c r="F174" i="4"/>
  <c r="E173" i="4"/>
  <c r="F173" i="4"/>
  <c r="F172" i="4"/>
  <c r="E172" i="4"/>
  <c r="E171" i="4"/>
  <c r="F171" i="4"/>
  <c r="E170" i="4"/>
  <c r="F170" i="4"/>
  <c r="D167" i="4"/>
  <c r="E167" i="4"/>
  <c r="C167" i="4"/>
  <c r="F167" i="4"/>
  <c r="E166" i="4"/>
  <c r="F166" i="4"/>
  <c r="F165" i="4"/>
  <c r="E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E158" i="4"/>
  <c r="F158" i="4"/>
  <c r="E157" i="4"/>
  <c r="F157" i="4"/>
  <c r="E156" i="4"/>
  <c r="F156" i="4"/>
  <c r="E155" i="4"/>
  <c r="F155" i="4"/>
  <c r="E154" i="4"/>
  <c r="F154" i="4"/>
  <c r="F153" i="4"/>
  <c r="E153" i="4"/>
  <c r="F152" i="4"/>
  <c r="E152" i="4"/>
  <c r="E151" i="4"/>
  <c r="F151" i="4"/>
  <c r="E150" i="4"/>
  <c r="F150" i="4"/>
  <c r="F149" i="4"/>
  <c r="E149" i="4"/>
  <c r="E148" i="4"/>
  <c r="F148" i="4"/>
  <c r="E147" i="4"/>
  <c r="F147" i="4"/>
  <c r="E146" i="4"/>
  <c r="F146" i="4"/>
  <c r="E145" i="4"/>
  <c r="F145" i="4"/>
  <c r="F144" i="4"/>
  <c r="E144" i="4"/>
  <c r="E143" i="4"/>
  <c r="F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E130" i="4"/>
  <c r="C130" i="4"/>
  <c r="F129" i="4"/>
  <c r="E129" i="4"/>
  <c r="E128" i="4"/>
  <c r="F128" i="4"/>
  <c r="E127" i="4"/>
  <c r="F127" i="4"/>
  <c r="E126" i="4"/>
  <c r="F126" i="4"/>
  <c r="F125" i="4"/>
  <c r="E125" i="4"/>
  <c r="E124" i="4"/>
  <c r="F124" i="4"/>
  <c r="D121" i="4"/>
  <c r="C121" i="4"/>
  <c r="F120" i="4"/>
  <c r="E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E90" i="4"/>
  <c r="C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E41" i="4"/>
  <c r="C41" i="4"/>
  <c r="F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E136" i="3"/>
  <c r="F136" i="3"/>
  <c r="F135" i="3"/>
  <c r="E135" i="3"/>
  <c r="E134" i="3"/>
  <c r="F134" i="3"/>
  <c r="F133" i="3"/>
  <c r="E133" i="3"/>
  <c r="E132" i="3"/>
  <c r="F132" i="3"/>
  <c r="F131" i="3"/>
  <c r="E131" i="3"/>
  <c r="E130" i="3"/>
  <c r="F130" i="3"/>
  <c r="F129" i="3"/>
  <c r="E129" i="3"/>
  <c r="E128" i="3"/>
  <c r="F128" i="3"/>
  <c r="F127" i="3"/>
  <c r="E127" i="3"/>
  <c r="E126" i="3"/>
  <c r="F126" i="3"/>
  <c r="D124" i="3"/>
  <c r="E124" i="3"/>
  <c r="C124" i="3"/>
  <c r="F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F94" i="3"/>
  <c r="C94" i="3"/>
  <c r="D93" i="3"/>
  <c r="C93" i="3"/>
  <c r="F93" i="3"/>
  <c r="D92" i="3"/>
  <c r="E92" i="3"/>
  <c r="C92" i="3"/>
  <c r="F92" i="3"/>
  <c r="D91" i="3"/>
  <c r="C91" i="3"/>
  <c r="D90" i="3"/>
  <c r="C90" i="3"/>
  <c r="D89" i="3"/>
  <c r="C89" i="3"/>
  <c r="D88" i="3"/>
  <c r="E88" i="3"/>
  <c r="C88" i="3"/>
  <c r="F88" i="3"/>
  <c r="D87" i="3"/>
  <c r="C87" i="3"/>
  <c r="D86" i="3"/>
  <c r="C86" i="3"/>
  <c r="D85" i="3"/>
  <c r="C85" i="3"/>
  <c r="D84" i="3"/>
  <c r="E84" i="3"/>
  <c r="C84" i="3"/>
  <c r="F84" i="3"/>
  <c r="D81" i="3"/>
  <c r="C81" i="3"/>
  <c r="E80" i="3"/>
  <c r="F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C68" i="3"/>
  <c r="F68" i="3"/>
  <c r="E67" i="3"/>
  <c r="F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D50" i="3"/>
  <c r="E50" i="3"/>
  <c r="C50" i="3"/>
  <c r="F50" i="3"/>
  <c r="D49" i="3"/>
  <c r="C49" i="3"/>
  <c r="D48" i="3"/>
  <c r="C48" i="3"/>
  <c r="D47" i="3"/>
  <c r="C47" i="3"/>
  <c r="D46" i="3"/>
  <c r="E46" i="3"/>
  <c r="C46" i="3"/>
  <c r="F46" i="3"/>
  <c r="D45" i="3"/>
  <c r="C45" i="3"/>
  <c r="D44" i="3"/>
  <c r="C44" i="3"/>
  <c r="D43" i="3"/>
  <c r="C43" i="3"/>
  <c r="D42" i="3"/>
  <c r="E42" i="3"/>
  <c r="C42" i="3"/>
  <c r="F42" i="3"/>
  <c r="D41" i="3"/>
  <c r="C41" i="3"/>
  <c r="C52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F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F46" i="2"/>
  <c r="D46" i="2"/>
  <c r="E46" i="2"/>
  <c r="C46" i="2"/>
  <c r="F45" i="2"/>
  <c r="E45" i="2"/>
  <c r="F44" i="2"/>
  <c r="E44" i="2"/>
  <c r="D39" i="2"/>
  <c r="C39" i="2"/>
  <c r="E39" i="2"/>
  <c r="E38" i="2"/>
  <c r="F38" i="2"/>
  <c r="E37" i="2"/>
  <c r="F37" i="2"/>
  <c r="E36" i="2"/>
  <c r="F36" i="2"/>
  <c r="D31" i="2"/>
  <c r="E31" i="2"/>
  <c r="F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E16" i="2"/>
  <c r="F15" i="2"/>
  <c r="E15" i="2"/>
  <c r="E14" i="2"/>
  <c r="F14" i="2"/>
  <c r="E13" i="2"/>
  <c r="F13" i="2"/>
  <c r="E12" i="2"/>
  <c r="F12" i="2"/>
  <c r="D73" i="1"/>
  <c r="C73" i="1"/>
  <c r="E73" i="1"/>
  <c r="F73" i="1"/>
  <c r="E72" i="1"/>
  <c r="F72" i="1"/>
  <c r="E71" i="1"/>
  <c r="F71" i="1"/>
  <c r="E70" i="1"/>
  <c r="F70" i="1"/>
  <c r="F67" i="1"/>
  <c r="E67" i="1"/>
  <c r="C65" i="1"/>
  <c r="E64" i="1"/>
  <c r="F64" i="1"/>
  <c r="E63" i="1"/>
  <c r="F63" i="1"/>
  <c r="D61" i="1"/>
  <c r="D65" i="1"/>
  <c r="C61" i="1"/>
  <c r="E61" i="1"/>
  <c r="E60" i="1"/>
  <c r="F60" i="1"/>
  <c r="E59" i="1"/>
  <c r="F59" i="1"/>
  <c r="D56" i="1"/>
  <c r="C56" i="1"/>
  <c r="E56" i="1"/>
  <c r="E55" i="1"/>
  <c r="F55" i="1"/>
  <c r="E54" i="1"/>
  <c r="F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E38" i="1"/>
  <c r="F38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9" i="1"/>
  <c r="F29" i="1"/>
  <c r="E28" i="1"/>
  <c r="F28" i="1"/>
  <c r="E27" i="1"/>
  <c r="F27" i="1"/>
  <c r="F26" i="1"/>
  <c r="E26" i="1"/>
  <c r="E25" i="1"/>
  <c r="F25" i="1"/>
  <c r="D22" i="1"/>
  <c r="C22" i="1"/>
  <c r="E21" i="1"/>
  <c r="F21" i="1"/>
  <c r="F20" i="1"/>
  <c r="E20" i="1"/>
  <c r="E19" i="1"/>
  <c r="F19" i="1"/>
  <c r="E18" i="1"/>
  <c r="F18" i="1"/>
  <c r="F17" i="1"/>
  <c r="E17" i="1"/>
  <c r="F16" i="1"/>
  <c r="E16" i="1"/>
  <c r="E15" i="1"/>
  <c r="F15" i="1"/>
  <c r="F14" i="1"/>
  <c r="E14" i="1"/>
  <c r="E13" i="1"/>
  <c r="F13" i="1"/>
  <c r="F85" i="14"/>
  <c r="F165" i="14"/>
  <c r="F294" i="14"/>
  <c r="D192" i="14"/>
  <c r="D193" i="14"/>
  <c r="D194" i="14"/>
  <c r="D146" i="14"/>
  <c r="D181" i="14"/>
  <c r="D285" i="14"/>
  <c r="D68" i="14"/>
  <c r="E68" i="14"/>
  <c r="F68" i="14"/>
  <c r="D286" i="14"/>
  <c r="D239" i="14"/>
  <c r="D33" i="2"/>
  <c r="C139" i="5"/>
  <c r="C135" i="5"/>
  <c r="C137" i="5"/>
  <c r="C136" i="5"/>
  <c r="C140" i="5"/>
  <c r="C138" i="5"/>
  <c r="C53" i="5"/>
  <c r="C43" i="5"/>
  <c r="D33" i="9"/>
  <c r="E19" i="9"/>
  <c r="C95" i="3"/>
  <c r="F56" i="1"/>
  <c r="F61" i="1"/>
  <c r="F16" i="2"/>
  <c r="F39" i="2"/>
  <c r="E43" i="3"/>
  <c r="F43" i="3"/>
  <c r="E47" i="3"/>
  <c r="F47" i="3"/>
  <c r="E51" i="3"/>
  <c r="F51" i="3"/>
  <c r="E85" i="3"/>
  <c r="F85" i="3"/>
  <c r="E89" i="3"/>
  <c r="F89" i="3"/>
  <c r="E93" i="3"/>
  <c r="D95" i="4"/>
  <c r="C49" i="5"/>
  <c r="C57" i="5"/>
  <c r="C62" i="5"/>
  <c r="D207" i="6"/>
  <c r="E207" i="6"/>
  <c r="F207" i="6"/>
  <c r="E65" i="8"/>
  <c r="F65" i="8"/>
  <c r="C41" i="9"/>
  <c r="D24" i="10"/>
  <c r="D17" i="10"/>
  <c r="D28" i="10"/>
  <c r="D70" i="10"/>
  <c r="D72" i="10"/>
  <c r="D69" i="10"/>
  <c r="C19" i="2"/>
  <c r="D121" i="7"/>
  <c r="E121" i="7"/>
  <c r="F121" i="7"/>
  <c r="D88" i="5"/>
  <c r="D90" i="5"/>
  <c r="D86" i="5"/>
  <c r="D77" i="5"/>
  <c r="D71" i="5"/>
  <c r="E43" i="5"/>
  <c r="E53" i="5"/>
  <c r="C75" i="1"/>
  <c r="D52" i="3"/>
  <c r="D166" i="5"/>
  <c r="E41" i="3"/>
  <c r="F41" i="3"/>
  <c r="E45" i="3"/>
  <c r="F45" i="3"/>
  <c r="E49" i="3"/>
  <c r="F49" i="3"/>
  <c r="E81" i="3"/>
  <c r="F81" i="3"/>
  <c r="E87" i="3"/>
  <c r="F87" i="3"/>
  <c r="E91" i="3"/>
  <c r="F91" i="3"/>
  <c r="D95" i="3"/>
  <c r="E95" i="3"/>
  <c r="F95" i="3"/>
  <c r="D188" i="4"/>
  <c r="E49" i="5"/>
  <c r="E71" i="5"/>
  <c r="D208" i="6"/>
  <c r="D41" i="8"/>
  <c r="C75" i="8"/>
  <c r="F19" i="9"/>
  <c r="D25" i="5"/>
  <c r="D27" i="5"/>
  <c r="D15" i="5"/>
  <c r="H33" i="11"/>
  <c r="H36" i="11"/>
  <c r="H38" i="11"/>
  <c r="H40" i="11"/>
  <c r="F36" i="11"/>
  <c r="F38" i="11"/>
  <c r="F40" i="11"/>
  <c r="E111" i="14"/>
  <c r="F111" i="14"/>
  <c r="D75" i="8"/>
  <c r="E75" i="8"/>
  <c r="C283" i="15"/>
  <c r="C22" i="15"/>
  <c r="C284" i="15"/>
  <c r="E284" i="15"/>
  <c r="D33" i="15"/>
  <c r="E32" i="15"/>
  <c r="D320" i="15"/>
  <c r="E320" i="15"/>
  <c r="E316" i="15"/>
  <c r="D330" i="15"/>
  <c r="E330" i="15"/>
  <c r="E326" i="15"/>
  <c r="D175" i="14"/>
  <c r="D140" i="14"/>
  <c r="D62" i="14"/>
  <c r="D105" i="14"/>
  <c r="D90" i="14"/>
  <c r="D160" i="14"/>
  <c r="D125" i="14"/>
  <c r="E264" i="14"/>
  <c r="F264" i="14"/>
  <c r="E16" i="9"/>
  <c r="F16" i="9"/>
  <c r="C17" i="10"/>
  <c r="C28" i="10"/>
  <c r="D25" i="10"/>
  <c r="D27" i="10"/>
  <c r="D48" i="10"/>
  <c r="D42" i="10"/>
  <c r="F31" i="11"/>
  <c r="E20" i="14"/>
  <c r="F20" i="14"/>
  <c r="E23" i="14"/>
  <c r="F23" i="14"/>
  <c r="E31" i="14"/>
  <c r="F31" i="14"/>
  <c r="C48" i="14"/>
  <c r="E52" i="14"/>
  <c r="F52" i="14"/>
  <c r="E66" i="14"/>
  <c r="E76" i="14"/>
  <c r="F76" i="14"/>
  <c r="E88" i="14"/>
  <c r="F88" i="14"/>
  <c r="E95" i="14"/>
  <c r="F95" i="14"/>
  <c r="C102" i="14"/>
  <c r="E109" i="14"/>
  <c r="E120" i="14"/>
  <c r="F120" i="14"/>
  <c r="F130" i="14"/>
  <c r="F172" i="14"/>
  <c r="E179" i="14"/>
  <c r="E192" i="14"/>
  <c r="F192" i="14"/>
  <c r="E237" i="14"/>
  <c r="C274" i="14"/>
  <c r="F283" i="14"/>
  <c r="C290" i="14"/>
  <c r="F297" i="14"/>
  <c r="F307" i="14"/>
  <c r="F311" i="14"/>
  <c r="C43" i="15"/>
  <c r="E20" i="17"/>
  <c r="E181" i="14"/>
  <c r="F181" i="14"/>
  <c r="C207" i="14"/>
  <c r="E137" i="14"/>
  <c r="F137" i="14"/>
  <c r="C285" i="14"/>
  <c r="E204" i="14"/>
  <c r="F204" i="14"/>
  <c r="E22" i="15"/>
  <c r="D55" i="15"/>
  <c r="E55" i="15"/>
  <c r="E54" i="15"/>
  <c r="C163" i="15"/>
  <c r="E163" i="15"/>
  <c r="C156" i="15"/>
  <c r="E156" i="15"/>
  <c r="E109" i="19"/>
  <c r="E108" i="19"/>
  <c r="D288" i="14"/>
  <c r="C20" i="10"/>
  <c r="H17" i="11"/>
  <c r="F29" i="14"/>
  <c r="C37" i="14"/>
  <c r="F47" i="14"/>
  <c r="F58" i="14"/>
  <c r="F101" i="14"/>
  <c r="F155" i="14"/>
  <c r="C190" i="14"/>
  <c r="C199" i="14"/>
  <c r="C206" i="14"/>
  <c r="C215" i="14"/>
  <c r="C261" i="14"/>
  <c r="C44" i="15"/>
  <c r="E69" i="15"/>
  <c r="F20" i="17"/>
  <c r="F36" i="17"/>
  <c r="C146" i="14"/>
  <c r="F144" i="14"/>
  <c r="D157" i="15"/>
  <c r="D254" i="14"/>
  <c r="E17" i="10"/>
  <c r="E28" i="10"/>
  <c r="E70" i="10"/>
  <c r="E72" i="10"/>
  <c r="E69" i="10"/>
  <c r="D31" i="11"/>
  <c r="C21" i="14"/>
  <c r="C32" i="14"/>
  <c r="E35" i="14"/>
  <c r="F35" i="14"/>
  <c r="C77" i="14"/>
  <c r="E77" i="14"/>
  <c r="C89" i="14"/>
  <c r="C193" i="14"/>
  <c r="C266" i="14"/>
  <c r="F158" i="14"/>
  <c r="F164" i="14"/>
  <c r="C173" i="14"/>
  <c r="E188" i="14"/>
  <c r="F188" i="14"/>
  <c r="E191" i="14"/>
  <c r="F198" i="14"/>
  <c r="F230" i="14"/>
  <c r="C254" i="14"/>
  <c r="C282" i="14"/>
  <c r="C284" i="14"/>
  <c r="E21" i="15"/>
  <c r="D43" i="15"/>
  <c r="D44" i="15"/>
  <c r="D41" i="17"/>
  <c r="D207" i="14"/>
  <c r="E239" i="14"/>
  <c r="F239" i="14"/>
  <c r="D71" i="15"/>
  <c r="D76" i="15"/>
  <c r="D65" i="15"/>
  <c r="D289" i="15"/>
  <c r="E289" i="15"/>
  <c r="E60" i="15"/>
  <c r="D144" i="15"/>
  <c r="D175" i="15"/>
  <c r="E175" i="15"/>
  <c r="E139" i="15"/>
  <c r="C252" i="15"/>
  <c r="E243" i="15"/>
  <c r="C46" i="19"/>
  <c r="C40" i="19"/>
  <c r="C36" i="19"/>
  <c r="C30" i="19"/>
  <c r="C111" i="19"/>
  <c r="C54" i="19"/>
  <c r="C108" i="19"/>
  <c r="C109" i="19"/>
  <c r="D139" i="14"/>
  <c r="D104" i="14"/>
  <c r="D174" i="14"/>
  <c r="F66" i="14"/>
  <c r="F109" i="14"/>
  <c r="C138" i="14"/>
  <c r="F179" i="14"/>
  <c r="F191" i="14"/>
  <c r="C200" i="14"/>
  <c r="C205" i="14"/>
  <c r="C214" i="14"/>
  <c r="E214" i="14"/>
  <c r="F214" i="14"/>
  <c r="F237" i="14"/>
  <c r="C269" i="14"/>
  <c r="C280" i="14"/>
  <c r="E283" i="15"/>
  <c r="E151" i="15"/>
  <c r="E290" i="14"/>
  <c r="E188" i="15"/>
  <c r="D210" i="15"/>
  <c r="D217" i="15"/>
  <c r="E218" i="15"/>
  <c r="E233" i="15"/>
  <c r="E251" i="15"/>
  <c r="C253" i="15"/>
  <c r="C260" i="15"/>
  <c r="D261" i="15"/>
  <c r="E261" i="15"/>
  <c r="C22" i="16"/>
  <c r="C40" i="17"/>
  <c r="C46" i="17"/>
  <c r="C33" i="19"/>
  <c r="D34" i="19"/>
  <c r="C101" i="19"/>
  <c r="C103" i="19"/>
  <c r="D102" i="19"/>
  <c r="D103" i="19"/>
  <c r="E111" i="19"/>
  <c r="D267" i="14"/>
  <c r="D277" i="14"/>
  <c r="D306" i="14"/>
  <c r="E306" i="14"/>
  <c r="E215" i="15"/>
  <c r="D222" i="15"/>
  <c r="D229" i="15"/>
  <c r="C239" i="15"/>
  <c r="E239" i="15"/>
  <c r="D240" i="15"/>
  <c r="E240" i="15"/>
  <c r="D244" i="15"/>
  <c r="E244" i="15"/>
  <c r="D303" i="15"/>
  <c r="E314" i="15"/>
  <c r="D22" i="19"/>
  <c r="E30" i="19"/>
  <c r="C34" i="19"/>
  <c r="E36" i="19"/>
  <c r="E40" i="19"/>
  <c r="E46" i="19"/>
  <c r="D200" i="14"/>
  <c r="E200" i="14"/>
  <c r="F200" i="14"/>
  <c r="D206" i="14"/>
  <c r="E206" i="14"/>
  <c r="F206" i="14"/>
  <c r="D262" i="14"/>
  <c r="D266" i="14"/>
  <c r="D274" i="14"/>
  <c r="E274" i="14"/>
  <c r="F274" i="14"/>
  <c r="D280" i="14"/>
  <c r="C211" i="15"/>
  <c r="C235" i="15"/>
  <c r="C222" i="15"/>
  <c r="E231" i="15"/>
  <c r="E260" i="15"/>
  <c r="E324" i="15"/>
  <c r="E19" i="17"/>
  <c r="F19" i="17"/>
  <c r="E39" i="17"/>
  <c r="E43" i="17"/>
  <c r="E46" i="17"/>
  <c r="C22" i="19"/>
  <c r="D23" i="19"/>
  <c r="D40" i="19"/>
  <c r="E101" i="19"/>
  <c r="E103" i="19"/>
  <c r="D199" i="14"/>
  <c r="E199" i="14"/>
  <c r="D205" i="14"/>
  <c r="D215" i="14"/>
  <c r="D261" i="14"/>
  <c r="E221" i="15"/>
  <c r="D21" i="14"/>
  <c r="D190" i="14"/>
  <c r="E190" i="14"/>
  <c r="F190" i="14"/>
  <c r="D282" i="14"/>
  <c r="E282" i="14"/>
  <c r="F282" i="14"/>
  <c r="C265" i="14"/>
  <c r="D46" i="19"/>
  <c r="D36" i="19"/>
  <c r="E48" i="19"/>
  <c r="E38" i="19"/>
  <c r="E113" i="19"/>
  <c r="E56" i="19"/>
  <c r="D246" i="15"/>
  <c r="E222" i="15"/>
  <c r="D270" i="14"/>
  <c r="E217" i="15"/>
  <c r="D241" i="15"/>
  <c r="D66" i="15"/>
  <c r="D208" i="14"/>
  <c r="E207" i="14"/>
  <c r="D126" i="14"/>
  <c r="D91" i="14"/>
  <c r="D49" i="14"/>
  <c r="D161" i="14"/>
  <c r="E21" i="14"/>
  <c r="D306" i="15"/>
  <c r="E303" i="15"/>
  <c r="D287" i="14"/>
  <c r="D279" i="14"/>
  <c r="D284" i="14"/>
  <c r="E284" i="14"/>
  <c r="E277" i="14"/>
  <c r="F277" i="14"/>
  <c r="E43" i="15"/>
  <c r="E254" i="14"/>
  <c r="C263" i="14"/>
  <c r="C157" i="15"/>
  <c r="D63" i="14"/>
  <c r="D21" i="5"/>
  <c r="D41" i="2"/>
  <c r="E266" i="14"/>
  <c r="F266" i="14"/>
  <c r="E205" i="14"/>
  <c r="C41" i="17"/>
  <c r="C223" i="15"/>
  <c r="F43" i="17"/>
  <c r="D284" i="15"/>
  <c r="D252" i="15"/>
  <c r="D265" i="14"/>
  <c r="E265" i="14"/>
  <c r="D294" i="15"/>
  <c r="D43" i="8"/>
  <c r="D255" i="14"/>
  <c r="E215" i="14"/>
  <c r="D281" i="14"/>
  <c r="E280" i="14"/>
  <c r="E138" i="14"/>
  <c r="F138" i="14"/>
  <c r="D99" i="15"/>
  <c r="D95" i="15"/>
  <c r="D88" i="15"/>
  <c r="D84" i="15"/>
  <c r="E44" i="15"/>
  <c r="D258" i="15"/>
  <c r="D101" i="15"/>
  <c r="D97" i="15"/>
  <c r="D86" i="15"/>
  <c r="D83" i="15"/>
  <c r="D100" i="15"/>
  <c r="D89" i="15"/>
  <c r="D98" i="15"/>
  <c r="D87" i="15"/>
  <c r="D96" i="15"/>
  <c r="D85" i="15"/>
  <c r="C49" i="14"/>
  <c r="C91" i="14"/>
  <c r="F21" i="14"/>
  <c r="E37" i="14"/>
  <c r="F37" i="14"/>
  <c r="E285" i="14"/>
  <c r="F285" i="14"/>
  <c r="C286" i="14"/>
  <c r="E102" i="14"/>
  <c r="F102" i="14"/>
  <c r="C103" i="14"/>
  <c r="D24" i="5"/>
  <c r="D20" i="5"/>
  <c r="D17" i="5"/>
  <c r="D157" i="5"/>
  <c r="D153" i="5"/>
  <c r="D155" i="5"/>
  <c r="D156" i="5"/>
  <c r="D154" i="5"/>
  <c r="D152" i="5"/>
  <c r="D158" i="5"/>
  <c r="F46" i="17"/>
  <c r="C254" i="15"/>
  <c r="D223" i="15"/>
  <c r="F199" i="14"/>
  <c r="D253" i="15"/>
  <c r="E253" i="15"/>
  <c r="F75" i="8"/>
  <c r="F269" i="14"/>
  <c r="E269" i="14"/>
  <c r="D268" i="14"/>
  <c r="D271" i="14"/>
  <c r="D263" i="14"/>
  <c r="E263" i="14"/>
  <c r="E261" i="14"/>
  <c r="F261" i="14"/>
  <c r="C45" i="19"/>
  <c r="C39" i="19"/>
  <c r="C35" i="19"/>
  <c r="C29" i="19"/>
  <c r="C110" i="19"/>
  <c r="C53" i="19"/>
  <c r="D272" i="14"/>
  <c r="E262" i="14"/>
  <c r="F262" i="14"/>
  <c r="D53" i="19"/>
  <c r="D45" i="19"/>
  <c r="D39" i="19"/>
  <c r="D35" i="19"/>
  <c r="D29" i="19"/>
  <c r="E210" i="15"/>
  <c r="D234" i="15"/>
  <c r="E234" i="15"/>
  <c r="D211" i="15"/>
  <c r="C281" i="14"/>
  <c r="F280" i="14"/>
  <c r="C216" i="14"/>
  <c r="C56" i="19"/>
  <c r="C48" i="19"/>
  <c r="C38" i="19"/>
  <c r="C113" i="19"/>
  <c r="D168" i="15"/>
  <c r="D180" i="15"/>
  <c r="D145" i="15"/>
  <c r="E173" i="14"/>
  <c r="F173" i="14"/>
  <c r="E89" i="14"/>
  <c r="F89" i="14"/>
  <c r="C140" i="14"/>
  <c r="C105" i="14"/>
  <c r="E105" i="14"/>
  <c r="C175" i="14"/>
  <c r="E175" i="14"/>
  <c r="E32" i="14"/>
  <c r="F32" i="14"/>
  <c r="E146" i="14"/>
  <c r="F146" i="14"/>
  <c r="C90" i="14"/>
  <c r="E48" i="14"/>
  <c r="F48" i="14"/>
  <c r="D106" i="14"/>
  <c r="D176" i="14"/>
  <c r="C33" i="2"/>
  <c r="F205" i="14"/>
  <c r="F39" i="17"/>
  <c r="F284" i="14"/>
  <c r="D216" i="14"/>
  <c r="E216" i="14"/>
  <c r="C300" i="14"/>
  <c r="C141" i="5"/>
  <c r="F254" i="14"/>
  <c r="E193" i="14"/>
  <c r="F193" i="14"/>
  <c r="C194" i="14"/>
  <c r="C195" i="14"/>
  <c r="C258" i="15"/>
  <c r="C98" i="15"/>
  <c r="C87" i="15"/>
  <c r="C83" i="15"/>
  <c r="C100" i="15"/>
  <c r="C96" i="15"/>
  <c r="C102" i="15"/>
  <c r="C103" i="15"/>
  <c r="C89" i="15"/>
  <c r="C85" i="15"/>
  <c r="C97" i="15"/>
  <c r="C86" i="15"/>
  <c r="C95" i="15"/>
  <c r="C84" i="15"/>
  <c r="C101" i="15"/>
  <c r="C99" i="15"/>
  <c r="C88" i="15"/>
  <c r="F207" i="14"/>
  <c r="C208" i="14"/>
  <c r="C210" i="14"/>
  <c r="D141" i="14"/>
  <c r="E140" i="14"/>
  <c r="D295" i="15"/>
  <c r="E33" i="15"/>
  <c r="C48" i="9"/>
  <c r="E33" i="9"/>
  <c r="F33" i="9"/>
  <c r="D41" i="9"/>
  <c r="E157" i="15"/>
  <c r="F215" i="14"/>
  <c r="E40" i="17"/>
  <c r="F40" i="17"/>
  <c r="F290" i="14"/>
  <c r="C272" i="14"/>
  <c r="E272" i="14"/>
  <c r="D300" i="14"/>
  <c r="E300" i="14"/>
  <c r="E90" i="14"/>
  <c r="C304" i="14"/>
  <c r="E19" i="2"/>
  <c r="F19" i="2"/>
  <c r="C41" i="2"/>
  <c r="F140" i="14"/>
  <c r="C141" i="14"/>
  <c r="F286" i="14"/>
  <c r="E286" i="14"/>
  <c r="C92" i="14"/>
  <c r="D310" i="15"/>
  <c r="E310" i="15"/>
  <c r="E306" i="15"/>
  <c r="D50" i="14"/>
  <c r="E49" i="14"/>
  <c r="E208" i="14"/>
  <c r="D210" i="14"/>
  <c r="D209" i="14"/>
  <c r="F300" i="14"/>
  <c r="F272" i="14"/>
  <c r="E98" i="15"/>
  <c r="E86" i="15"/>
  <c r="E99" i="15"/>
  <c r="E281" i="14"/>
  <c r="C112" i="19"/>
  <c r="C55" i="19"/>
  <c r="C47" i="19"/>
  <c r="C37" i="19"/>
  <c r="E223" i="15"/>
  <c r="D247" i="15"/>
  <c r="D112" i="5"/>
  <c r="D111" i="5"/>
  <c r="D28" i="5"/>
  <c r="E83" i="15"/>
  <c r="E258" i="15"/>
  <c r="E95" i="15"/>
  <c r="E252" i="15"/>
  <c r="D254" i="15"/>
  <c r="E254" i="15"/>
  <c r="E87" i="15"/>
  <c r="F263" i="14"/>
  <c r="F265" i="14"/>
  <c r="D322" i="14"/>
  <c r="E141" i="14"/>
  <c r="E194" i="14"/>
  <c r="F194" i="14"/>
  <c r="F105" i="14"/>
  <c r="C106" i="14"/>
  <c r="D48" i="9"/>
  <c r="E48" i="9"/>
  <c r="F48" i="9"/>
  <c r="E41" i="9"/>
  <c r="F41" i="9"/>
  <c r="D235" i="15"/>
  <c r="E235" i="15"/>
  <c r="E211" i="15"/>
  <c r="D47" i="19"/>
  <c r="D37" i="19"/>
  <c r="D55" i="19"/>
  <c r="F49" i="14"/>
  <c r="C50" i="14"/>
  <c r="E96" i="15"/>
  <c r="D102" i="15"/>
  <c r="E102" i="15"/>
  <c r="E41" i="2"/>
  <c r="D48" i="2"/>
  <c r="D291" i="14"/>
  <c r="D289" i="14"/>
  <c r="E287" i="14"/>
  <c r="F287" i="14"/>
  <c r="D162" i="14"/>
  <c r="D183" i="14"/>
  <c r="D127" i="14"/>
  <c r="C90" i="15"/>
  <c r="C91" i="15"/>
  <c r="F208" i="14"/>
  <c r="F90" i="14"/>
  <c r="F216" i="14"/>
  <c r="E100" i="15"/>
  <c r="E101" i="15"/>
  <c r="E88" i="15"/>
  <c r="C176" i="14"/>
  <c r="F175" i="14"/>
  <c r="D181" i="15"/>
  <c r="D169" i="15"/>
  <c r="D304" i="14"/>
  <c r="D273" i="14"/>
  <c r="E103" i="14"/>
  <c r="F103" i="14"/>
  <c r="D90" i="15"/>
  <c r="E90" i="15"/>
  <c r="E84" i="15"/>
  <c r="D92" i="14"/>
  <c r="D113" i="14"/>
  <c r="E113" i="14"/>
  <c r="F113" i="14"/>
  <c r="E91" i="14"/>
  <c r="F91" i="14"/>
  <c r="E106" i="14"/>
  <c r="F281" i="14"/>
  <c r="C196" i="14"/>
  <c r="E85" i="15"/>
  <c r="E89" i="15"/>
  <c r="E97" i="15"/>
  <c r="E33" i="2"/>
  <c r="F33" i="2"/>
  <c r="C324" i="14"/>
  <c r="C113" i="14"/>
  <c r="F106" i="14"/>
  <c r="C48" i="2"/>
  <c r="F41" i="2"/>
  <c r="D305" i="14"/>
  <c r="D324" i="14"/>
  <c r="D148" i="14"/>
  <c r="D99" i="5"/>
  <c r="D101" i="5"/>
  <c r="D98" i="5"/>
  <c r="D22" i="5"/>
  <c r="D211" i="14"/>
  <c r="E211" i="14"/>
  <c r="F211" i="14"/>
  <c r="E210" i="14"/>
  <c r="F210" i="14"/>
  <c r="C211" i="14"/>
  <c r="C322" i="14"/>
  <c r="E322" i="14"/>
  <c r="F322" i="14"/>
  <c r="F141" i="14"/>
  <c r="E176" i="14"/>
  <c r="F176" i="14"/>
  <c r="D103" i="15"/>
  <c r="E103" i="15"/>
  <c r="D91" i="15"/>
  <c r="E304" i="14"/>
  <c r="F304" i="14"/>
  <c r="D70" i="14"/>
  <c r="E50" i="14"/>
  <c r="F50" i="14"/>
  <c r="E324" i="14"/>
  <c r="F324" i="14"/>
  <c r="D105" i="15"/>
  <c r="D309" i="14"/>
  <c r="E48" i="2"/>
  <c r="F48" i="2"/>
  <c r="D310" i="14"/>
  <c r="D312" i="14"/>
  <c r="D313" i="14"/>
  <c r="D315" i="14"/>
  <c r="D256" i="14"/>
  <c r="D257" i="14"/>
  <c r="C105" i="15"/>
  <c r="E105" i="15"/>
  <c r="E91" i="15"/>
  <c r="D251" i="14"/>
  <c r="D314" i="14"/>
  <c r="E92" i="14"/>
  <c r="F92" i="14"/>
  <c r="D323" i="14"/>
  <c r="D325" i="14"/>
  <c r="D259" i="15"/>
  <c r="D77" i="15"/>
  <c r="D21" i="10"/>
  <c r="D22" i="10"/>
  <c r="D20" i="10"/>
  <c r="D195" i="14"/>
  <c r="E195" i="14"/>
  <c r="F195" i="14"/>
  <c r="D196" i="14"/>
  <c r="E65" i="1"/>
  <c r="D75" i="1"/>
  <c r="E75" i="1"/>
  <c r="F75" i="1"/>
  <c r="F90" i="4"/>
  <c r="F130" i="4"/>
  <c r="F183" i="4"/>
  <c r="E156" i="5"/>
  <c r="E153" i="5"/>
  <c r="E155" i="5"/>
  <c r="E154" i="5"/>
  <c r="E152" i="5"/>
  <c r="E158" i="5"/>
  <c r="E157" i="5"/>
  <c r="C70" i="10"/>
  <c r="C72" i="10"/>
  <c r="C69" i="10"/>
  <c r="C22" i="10"/>
  <c r="C43" i="1"/>
  <c r="F65" i="1"/>
  <c r="E52" i="3"/>
  <c r="F52" i="3"/>
  <c r="C21" i="5"/>
  <c r="E24" i="5"/>
  <c r="E17" i="5"/>
  <c r="E136" i="5"/>
  <c r="E139" i="5"/>
  <c r="E140" i="5"/>
  <c r="E137" i="5"/>
  <c r="E135" i="5"/>
  <c r="E141" i="5"/>
  <c r="E138" i="5"/>
  <c r="D139" i="5"/>
  <c r="D136" i="5"/>
  <c r="D138" i="5"/>
  <c r="D137" i="5"/>
  <c r="D135" i="5"/>
  <c r="D141" i="5"/>
  <c r="D140" i="5"/>
  <c r="C152" i="5"/>
  <c r="C155" i="5"/>
  <c r="C153" i="5"/>
  <c r="C156" i="5"/>
  <c r="C154" i="5"/>
  <c r="C157" i="5"/>
  <c r="E44" i="3"/>
  <c r="F44" i="3"/>
  <c r="E48" i="3"/>
  <c r="F48" i="3"/>
  <c r="E86" i="3"/>
  <c r="F86" i="3"/>
  <c r="E90" i="3"/>
  <c r="F90" i="3"/>
  <c r="E59" i="4"/>
  <c r="F59" i="4"/>
  <c r="E121" i="4"/>
  <c r="F121" i="4"/>
  <c r="C188" i="4"/>
  <c r="C15" i="5"/>
  <c r="E25" i="5"/>
  <c r="E27" i="5"/>
  <c r="D57" i="5"/>
  <c r="D62" i="5"/>
  <c r="D49" i="5"/>
  <c r="C77" i="5"/>
  <c r="C71" i="5"/>
  <c r="F23" i="6"/>
  <c r="F24" i="6"/>
  <c r="F36" i="6"/>
  <c r="F37" i="6"/>
  <c r="F49" i="6"/>
  <c r="F75" i="6"/>
  <c r="F101" i="6"/>
  <c r="F127" i="6"/>
  <c r="F153" i="6"/>
  <c r="E41" i="17"/>
  <c r="F41" i="17"/>
  <c r="D54" i="19"/>
  <c r="D30" i="19"/>
  <c r="E22" i="1"/>
  <c r="F22" i="1"/>
  <c r="D41" i="1"/>
  <c r="E41" i="1"/>
  <c r="F41" i="1"/>
  <c r="C95" i="4"/>
  <c r="D43" i="5"/>
  <c r="F50" i="6"/>
  <c r="F63" i="6"/>
  <c r="F76" i="6"/>
  <c r="F89" i="6"/>
  <c r="F102" i="6"/>
  <c r="F115" i="6"/>
  <c r="F128" i="6"/>
  <c r="F141" i="6"/>
  <c r="F154" i="6"/>
  <c r="F167" i="6"/>
  <c r="F180" i="6"/>
  <c r="F193" i="6"/>
  <c r="C208" i="6"/>
  <c r="F199" i="6"/>
  <c r="F201" i="6"/>
  <c r="F203" i="6"/>
  <c r="F205" i="6"/>
  <c r="F36" i="7"/>
  <c r="F60" i="7"/>
  <c r="F108" i="7"/>
  <c r="F35" i="7"/>
  <c r="G36" i="11"/>
  <c r="G38" i="11"/>
  <c r="G40" i="11"/>
  <c r="I33" i="11"/>
  <c r="I36" i="11"/>
  <c r="I38" i="11"/>
  <c r="I40" i="11"/>
  <c r="E59" i="7"/>
  <c r="F59" i="7"/>
  <c r="E95" i="7"/>
  <c r="F95" i="7"/>
  <c r="E107" i="7"/>
  <c r="F107" i="7"/>
  <c r="E114" i="7"/>
  <c r="F114" i="7"/>
  <c r="E116" i="7"/>
  <c r="F116" i="7"/>
  <c r="D122" i="7"/>
  <c r="C41" i="8"/>
  <c r="E41" i="8"/>
  <c r="F56" i="8"/>
  <c r="F73" i="8"/>
  <c r="E25" i="10"/>
  <c r="E27" i="10"/>
  <c r="E59" i="10"/>
  <c r="E61" i="10"/>
  <c r="E57" i="10"/>
  <c r="I17" i="11"/>
  <c r="G31" i="11"/>
  <c r="E45" i="12"/>
  <c r="F45" i="12"/>
  <c r="E65" i="12"/>
  <c r="F65" i="12"/>
  <c r="E70" i="12"/>
  <c r="F70" i="12"/>
  <c r="E84" i="12"/>
  <c r="F84" i="12"/>
  <c r="E92" i="12"/>
  <c r="F92" i="12"/>
  <c r="E99" i="12"/>
  <c r="F99" i="12"/>
  <c r="E13" i="13"/>
  <c r="F13" i="13"/>
  <c r="E17" i="13"/>
  <c r="F17" i="13"/>
  <c r="E22" i="13"/>
  <c r="F22" i="13"/>
  <c r="E44" i="14"/>
  <c r="F44" i="14"/>
  <c r="E53" i="14"/>
  <c r="F53" i="14"/>
  <c r="C60" i="14"/>
  <c r="E94" i="14"/>
  <c r="F94" i="14"/>
  <c r="C122" i="7"/>
  <c r="E119" i="7"/>
  <c r="F119" i="7"/>
  <c r="C31" i="11"/>
  <c r="H31" i="11"/>
  <c r="F73" i="12"/>
  <c r="F36" i="14"/>
  <c r="F59" i="14"/>
  <c r="F110" i="14"/>
  <c r="E129" i="14"/>
  <c r="F129" i="14"/>
  <c r="F145" i="14"/>
  <c r="C159" i="14"/>
  <c r="E189" i="14"/>
  <c r="F189" i="14"/>
  <c r="C267" i="14"/>
  <c r="C255" i="14"/>
  <c r="E226" i="14"/>
  <c r="F226" i="14"/>
  <c r="C278" i="14"/>
  <c r="F295" i="14"/>
  <c r="F298" i="14"/>
  <c r="C65" i="15"/>
  <c r="C71" i="15"/>
  <c r="C144" i="15"/>
  <c r="C229" i="15"/>
  <c r="E229" i="15"/>
  <c r="E123" i="14"/>
  <c r="F123" i="14"/>
  <c r="C124" i="14"/>
  <c r="E203" i="14"/>
  <c r="F203" i="14"/>
  <c r="C189" i="15"/>
  <c r="E189" i="15"/>
  <c r="C241" i="15"/>
  <c r="E241" i="15"/>
  <c r="E227" i="14"/>
  <c r="F227" i="14"/>
  <c r="C242" i="15"/>
  <c r="E242" i="15"/>
  <c r="E265" i="15"/>
  <c r="E16" i="17"/>
  <c r="F16" i="17"/>
  <c r="E34" i="19"/>
  <c r="D77" i="19"/>
  <c r="E219" i="15"/>
  <c r="E25" i="17"/>
  <c r="F25" i="17"/>
  <c r="E33" i="19"/>
  <c r="E22" i="19"/>
  <c r="E110" i="19"/>
  <c r="E29" i="19"/>
  <c r="E39" i="19"/>
  <c r="E53" i="19"/>
  <c r="E35" i="19"/>
  <c r="E45" i="19"/>
  <c r="D109" i="19"/>
  <c r="D108" i="19"/>
  <c r="D111" i="19"/>
  <c r="D110" i="19"/>
  <c r="D112" i="19"/>
  <c r="E124" i="14"/>
  <c r="F124" i="14"/>
  <c r="C126" i="14"/>
  <c r="C125" i="14"/>
  <c r="C180" i="15"/>
  <c r="E180" i="15"/>
  <c r="E144" i="15"/>
  <c r="C145" i="15"/>
  <c r="C168" i="15"/>
  <c r="E168" i="15"/>
  <c r="C66" i="15"/>
  <c r="C294" i="15"/>
  <c r="E294" i="15"/>
  <c r="E65" i="15"/>
  <c r="C246" i="15"/>
  <c r="E246" i="15"/>
  <c r="E21" i="10"/>
  <c r="E22" i="10"/>
  <c r="E20" i="10"/>
  <c r="E122" i="7"/>
  <c r="D56" i="19"/>
  <c r="D38" i="19"/>
  <c r="D48" i="19"/>
  <c r="D113" i="19"/>
  <c r="C24" i="5"/>
  <c r="C20" i="5"/>
  <c r="C17" i="5"/>
  <c r="E112" i="5"/>
  <c r="E111" i="5"/>
  <c r="E28" i="5"/>
  <c r="E99" i="5"/>
  <c r="E101" i="5"/>
  <c r="E98" i="5"/>
  <c r="D43" i="1"/>
  <c r="E43" i="1"/>
  <c r="D197" i="14"/>
  <c r="E196" i="14"/>
  <c r="F196" i="14"/>
  <c r="D122" i="15"/>
  <c r="D125" i="15"/>
  <c r="D114" i="15"/>
  <c r="D123" i="15"/>
  <c r="D112" i="15"/>
  <c r="D121" i="15"/>
  <c r="D127" i="15"/>
  <c r="D126" i="15"/>
  <c r="D115" i="15"/>
  <c r="D111" i="15"/>
  <c r="D124" i="15"/>
  <c r="D113" i="15"/>
  <c r="D109" i="15"/>
  <c r="D110" i="15"/>
  <c r="D263" i="15"/>
  <c r="D318" i="14"/>
  <c r="C76" i="15"/>
  <c r="E71" i="15"/>
  <c r="E278" i="14"/>
  <c r="F278" i="14"/>
  <c r="C279" i="14"/>
  <c r="C288" i="14"/>
  <c r="C271" i="14"/>
  <c r="C268" i="14"/>
  <c r="E267" i="14"/>
  <c r="F267" i="14"/>
  <c r="C270" i="14"/>
  <c r="E159" i="14"/>
  <c r="F159" i="14"/>
  <c r="C161" i="14"/>
  <c r="C160" i="14"/>
  <c r="F122" i="7"/>
  <c r="E60" i="14"/>
  <c r="C61" i="14"/>
  <c r="F60" i="14"/>
  <c r="I31" i="11"/>
  <c r="C43" i="8"/>
  <c r="F41" i="8"/>
  <c r="E208" i="6"/>
  <c r="F208" i="6"/>
  <c r="E95" i="4"/>
  <c r="F95" i="4"/>
  <c r="E22" i="5"/>
  <c r="E21" i="5"/>
  <c r="E20" i="5"/>
  <c r="F188" i="4"/>
  <c r="C158" i="5"/>
  <c r="F43" i="1"/>
  <c r="E188" i="4"/>
  <c r="E255" i="14"/>
  <c r="F255" i="14"/>
  <c r="F43" i="8"/>
  <c r="E43" i="8"/>
  <c r="E160" i="14"/>
  <c r="F160" i="14"/>
  <c r="F270" i="14"/>
  <c r="E270" i="14"/>
  <c r="E268" i="14"/>
  <c r="F268" i="14"/>
  <c r="C291" i="14"/>
  <c r="C289" i="14"/>
  <c r="F288" i="14"/>
  <c r="E288" i="14"/>
  <c r="D116" i="15"/>
  <c r="D128" i="15"/>
  <c r="C28" i="5"/>
  <c r="C112" i="5"/>
  <c r="C111" i="5"/>
  <c r="E125" i="14"/>
  <c r="F125" i="14"/>
  <c r="C174" i="14"/>
  <c r="C104" i="14"/>
  <c r="C209" i="14"/>
  <c r="C139" i="14"/>
  <c r="E61" i="14"/>
  <c r="F61" i="14"/>
  <c r="C62" i="14"/>
  <c r="C162" i="14"/>
  <c r="E161" i="14"/>
  <c r="F161" i="14"/>
  <c r="C273" i="14"/>
  <c r="E271" i="14"/>
  <c r="F271" i="14"/>
  <c r="E279" i="14"/>
  <c r="F279" i="14"/>
  <c r="C77" i="15"/>
  <c r="C259" i="15"/>
  <c r="E76" i="15"/>
  <c r="D264" i="15"/>
  <c r="D117" i="15"/>
  <c r="D129" i="15"/>
  <c r="C247" i="15"/>
  <c r="E247" i="15"/>
  <c r="E66" i="15"/>
  <c r="C295" i="15"/>
  <c r="E295" i="15"/>
  <c r="C169" i="15"/>
  <c r="E169" i="15"/>
  <c r="C181" i="15"/>
  <c r="E181" i="15"/>
  <c r="E145" i="15"/>
  <c r="C127" i="14"/>
  <c r="E126" i="14"/>
  <c r="F126" i="14"/>
  <c r="E47" i="19"/>
  <c r="E112" i="19"/>
  <c r="E37" i="19"/>
  <c r="E55" i="19"/>
  <c r="C197" i="14"/>
  <c r="C148" i="14"/>
  <c r="E127" i="14"/>
  <c r="F127" i="14"/>
  <c r="D266" i="15"/>
  <c r="C263" i="15"/>
  <c r="E259" i="15"/>
  <c r="C63" i="14"/>
  <c r="E62" i="14"/>
  <c r="F62" i="14"/>
  <c r="E139" i="14"/>
  <c r="F139" i="14"/>
  <c r="E104" i="14"/>
  <c r="F104" i="14"/>
  <c r="E174" i="14"/>
  <c r="F174" i="14"/>
  <c r="C99" i="5"/>
  <c r="C101" i="5"/>
  <c r="C98" i="5"/>
  <c r="C22" i="5"/>
  <c r="F289" i="14"/>
  <c r="E289" i="14"/>
  <c r="D131" i="15"/>
  <c r="C125" i="15"/>
  <c r="E125" i="15"/>
  <c r="C114" i="15"/>
  <c r="E114" i="15"/>
  <c r="C127" i="15"/>
  <c r="E127" i="15"/>
  <c r="C112" i="15"/>
  <c r="E112" i="15"/>
  <c r="C126" i="15"/>
  <c r="E126" i="15"/>
  <c r="C124" i="15"/>
  <c r="E124" i="15"/>
  <c r="C122" i="15"/>
  <c r="C121" i="15"/>
  <c r="C110" i="15"/>
  <c r="C123" i="15"/>
  <c r="E123" i="15"/>
  <c r="C109" i="15"/>
  <c r="C115" i="15"/>
  <c r="E115" i="15"/>
  <c r="C113" i="15"/>
  <c r="E113" i="15"/>
  <c r="C111" i="15"/>
  <c r="E111" i="15"/>
  <c r="E77" i="15"/>
  <c r="E273" i="14"/>
  <c r="F273" i="14"/>
  <c r="E162" i="14"/>
  <c r="C323" i="14"/>
  <c r="F162" i="14"/>
  <c r="C183" i="14"/>
  <c r="E209" i="14"/>
  <c r="F209" i="14"/>
  <c r="C305" i="14"/>
  <c r="E291" i="14"/>
  <c r="F291" i="14"/>
  <c r="F183" i="14"/>
  <c r="E183" i="14"/>
  <c r="E305" i="14"/>
  <c r="C309" i="14"/>
  <c r="F305" i="14"/>
  <c r="E121" i="15"/>
  <c r="C264" i="15"/>
  <c r="E263" i="15"/>
  <c r="C325" i="14"/>
  <c r="F323" i="14"/>
  <c r="E323" i="14"/>
  <c r="E109" i="15"/>
  <c r="C116" i="15"/>
  <c r="E116" i="15"/>
  <c r="E110" i="15"/>
  <c r="C128" i="15"/>
  <c r="E128" i="15"/>
  <c r="E122" i="15"/>
  <c r="E63" i="14"/>
  <c r="C70" i="14"/>
  <c r="F63" i="14"/>
  <c r="D267" i="15"/>
  <c r="E148" i="14"/>
  <c r="F148" i="14"/>
  <c r="F197" i="14"/>
  <c r="E197" i="14"/>
  <c r="D269" i="15"/>
  <c r="D268" i="15"/>
  <c r="F325" i="14"/>
  <c r="E325" i="14"/>
  <c r="C266" i="15"/>
  <c r="E264" i="15"/>
  <c r="C129" i="15"/>
  <c r="E129" i="15"/>
  <c r="C310" i="14"/>
  <c r="E309" i="14"/>
  <c r="F309" i="14"/>
  <c r="F70" i="14"/>
  <c r="E70" i="14"/>
  <c r="C117" i="15"/>
  <c r="C267" i="15"/>
  <c r="E266" i="15"/>
  <c r="C131" i="15"/>
  <c r="E131" i="15"/>
  <c r="E117" i="15"/>
  <c r="C312" i="14"/>
  <c r="F310" i="14"/>
  <c r="E310" i="14"/>
  <c r="D271" i="15"/>
  <c r="E312" i="14"/>
  <c r="F312" i="14"/>
  <c r="C313" i="14"/>
  <c r="C269" i="15"/>
  <c r="E269" i="15"/>
  <c r="C268" i="15"/>
  <c r="E267" i="15"/>
  <c r="C251" i="14"/>
  <c r="C256" i="14"/>
  <c r="C314" i="14"/>
  <c r="C315" i="14"/>
  <c r="E313" i="14"/>
  <c r="F313" i="14"/>
  <c r="C271" i="15"/>
  <c r="E271" i="15"/>
  <c r="E268" i="15"/>
  <c r="F315" i="14"/>
  <c r="E315" i="14"/>
  <c r="C318" i="14"/>
  <c r="E314" i="14"/>
  <c r="F314" i="14"/>
  <c r="E251" i="14"/>
  <c r="F251" i="14"/>
  <c r="C257" i="14"/>
  <c r="F256" i="14"/>
  <c r="E256" i="14"/>
  <c r="F257" i="14"/>
  <c r="E257" i="14"/>
  <c r="F318" i="14"/>
  <c r="E318" i="14"/>
</calcChain>
</file>

<file path=xl/sharedStrings.xml><?xml version="1.0" encoding="utf-8"?>
<sst xmlns="http://schemas.openxmlformats.org/spreadsheetml/2006/main" count="2321" uniqueCount="997">
  <si>
    <t>CHARLOTTE HUNGERFORD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</si>
  <si>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</si>
  <si>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</si>
  <si>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</si>
  <si>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</si>
  <si>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</si>
  <si>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</si>
  <si>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</si>
  <si>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</si>
  <si>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</si>
  <si>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</si>
  <si>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</si>
  <si>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</si>
  <si>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</si>
  <si>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</si>
  <si>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</si>
  <si>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</si>
  <si>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</si>
  <si>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</si>
  <si>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</si>
  <si>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</si>
  <si>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</si>
  <si>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</si>
  <si>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</si>
  <si>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</si>
  <si>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</si>
  <si>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</si>
  <si>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</si>
  <si>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</si>
  <si>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</si>
  <si>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</si>
  <si>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</si>
  <si>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</si>
  <si>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</si>
  <si>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</si>
  <si>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</si>
  <si>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</si>
  <si>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</si>
  <si>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</si>
  <si>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</si>
  <si>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</si>
  <si>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</si>
  <si>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</si>
  <si>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</si>
  <si>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</si>
  <si>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</si>
  <si>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</si>
  <si>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</si>
  <si>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</si>
  <si>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</si>
  <si>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</si>
  <si>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</si>
  <si>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</si>
  <si>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</si>
  <si>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</si>
  <si>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</si>
  <si>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</si>
  <si>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</si>
  <si>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</si>
  <si>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</si>
  <si>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</si>
  <si>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</si>
  <si>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</si>
  <si>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</si>
  <si>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</si>
  <si>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</si>
  <si>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</si>
  <si>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</si>
  <si>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</si>
  <si>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</si>
  <si>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</si>
  <si>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</si>
  <si>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</si>
  <si>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</si>
  <si>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</si>
  <si>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</si>
  <si>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</si>
  <si>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</si>
  <si>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</si>
  <si>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</si>
  <si>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</si>
  <si>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</si>
  <si>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</si>
  <si>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</si>
  <si>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</si>
  <si>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</si>
  <si>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</si>
  <si>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</si>
  <si>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</si>
  <si>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</si>
  <si>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</si>
  <si>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</si>
  <si>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</si>
  <si>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</si>
  <si>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</si>
  <si>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</si>
  <si>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</si>
  <si>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</si>
  <si>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</si>
  <si>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</si>
  <si>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</si>
  <si>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</si>
  <si>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</si>
  <si>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</si>
  <si>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</si>
  <si>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</si>
  <si>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</si>
  <si>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</si>
  <si>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</si>
  <si>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</si>
  <si>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</si>
  <si>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</si>
  <si>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</si>
  <si>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</si>
  <si>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</si>
  <si>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</si>
  <si>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</si>
  <si>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</si>
  <si>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</si>
  <si>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</si>
  <si>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</si>
  <si>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</si>
  <si>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</si>
  <si>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</si>
  <si>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</si>
  <si>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</si>
  <si>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</si>
  <si>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</si>
  <si>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</si>
  <si>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</si>
  <si>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</si>
  <si>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</si>
  <si>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</si>
  <si>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</si>
  <si>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</si>
  <si>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</si>
  <si>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</si>
  <si>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</si>
  <si>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</si>
  <si>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</si>
  <si>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</si>
  <si>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</si>
  <si>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</si>
  <si>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</si>
  <si>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</si>
  <si>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</si>
  <si>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</si>
  <si>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</si>
  <si>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</si>
  <si>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</si>
  <si>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</si>
  <si>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</si>
  <si>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</si>
  <si>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</si>
  <si>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</si>
  <si>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</si>
  <si>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</si>
  <si>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</si>
  <si>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</si>
  <si>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</si>
  <si>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</si>
  <si>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</si>
  <si>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</si>
  <si>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</si>
  <si>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</si>
  <si>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</si>
  <si>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</si>
  <si>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</si>
  <si>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</si>
  <si>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</si>
  <si>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</si>
  <si>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</si>
  <si>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</si>
  <si>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</si>
  <si>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</si>
  <si>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</si>
  <si>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</si>
  <si>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</si>
  <si>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</si>
  <si>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</si>
  <si>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</si>
  <si>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</si>
  <si>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</si>
  <si>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</si>
  <si>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</si>
  <si>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</si>
  <si>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</si>
  <si>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</si>
  <si>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</si>
  <si>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</si>
  <si>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</si>
  <si>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</si>
  <si>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</si>
  <si>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</si>
  <si>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</si>
  <si>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</si>
  <si>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</si>
  <si>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</si>
  <si>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</si>
  <si>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</si>
  <si>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</si>
  <si>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</si>
  <si>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</si>
  <si>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</si>
  <si>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</si>
  <si>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</si>
  <si>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</si>
  <si>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</si>
  <si>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</si>
  <si>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</si>
  <si>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</si>
  <si>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</si>
  <si>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</si>
  <si>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</si>
  <si>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</si>
  <si>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</si>
  <si>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</si>
  <si>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</si>
  <si>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</si>
  <si>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</si>
  <si>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</si>
  <si>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</si>
  <si>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</si>
  <si>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</si>
  <si>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</si>
  <si>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</si>
  <si>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</si>
  <si>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</si>
  <si>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</si>
  <si>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</si>
  <si>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</si>
  <si>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</si>
  <si>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</si>
  <si>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</si>
  <si>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</si>
  <si>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</si>
  <si>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</si>
  <si>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</si>
  <si>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</si>
  <si>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</si>
  <si>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</si>
  <si>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</si>
  <si>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</si>
  <si>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</si>
  <si>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</si>
  <si>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</si>
  <si>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</si>
  <si>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</si>
  <si>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</si>
  <si>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</si>
  <si>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</si>
  <si>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</si>
  <si>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</si>
  <si>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</si>
  <si>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</si>
  <si>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</si>
  <si>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</si>
  <si>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</si>
  <si>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</si>
  <si>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</si>
  <si>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</si>
  <si>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</si>
  <si>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</si>
  <si>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</si>
  <si>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</si>
  <si>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</si>
  <si>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</si>
  <si>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</si>
  <si>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</si>
  <si>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</si>
  <si>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</si>
  <si>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</si>
  <si>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</si>
  <si>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</si>
  <si>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</si>
  <si>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</si>
  <si>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</si>
  <si>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</si>
  <si>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</si>
  <si>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</si>
  <si>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</si>
  <si>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</si>
  <si>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</si>
  <si>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</si>
  <si>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</si>
  <si>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</si>
  <si>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</si>
  <si>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</si>
  <si>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</si>
  <si>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</si>
  <si>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</si>
  <si>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</si>
  <si>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</si>
  <si>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</si>
  <si>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</si>
  <si>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</si>
  <si>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</si>
  <si>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</si>
  <si>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</si>
  <si>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</si>
  <si>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</si>
  <si>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</si>
  <si>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</si>
  <si>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</si>
  <si>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</si>
  <si>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</si>
  <si>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</si>
  <si>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</si>
  <si>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</si>
  <si>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</si>
  <si>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</si>
  <si>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</si>
  <si>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</si>
  <si>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</si>
  <si>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</si>
  <si>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</si>
  <si>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</si>
  <si>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</si>
  <si>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</si>
  <si>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</si>
  <si>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</si>
  <si>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</si>
  <si>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</si>
  <si>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</si>
  <si>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</si>
  <si>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</si>
  <si>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</si>
  <si>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</si>
  <si>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</si>
  <si>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</si>
  <si>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</si>
  <si>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</si>
  <si>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</si>
  <si>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</si>
  <si>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</si>
  <si>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</si>
  <si>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</si>
  <si>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</si>
  <si>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</si>
  <si>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</si>
  <si>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</si>
  <si>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</si>
  <si>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</si>
  <si>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</si>
  <si>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</si>
  <si>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</si>
  <si>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</si>
  <si>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</si>
  <si>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</si>
  <si>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</si>
  <si>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</si>
  <si>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</si>
  <si>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</si>
  <si>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</si>
  <si>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</si>
  <si>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</si>
  <si>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</si>
  <si>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</si>
  <si>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</si>
  <si>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</si>
  <si>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</si>
  <si>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</si>
  <si>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</si>
  <si>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</si>
  <si>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</si>
  <si>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</si>
  <si>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</si>
  <si>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</si>
  <si>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</si>
  <si>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</si>
  <si>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</si>
  <si>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</si>
  <si>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</si>
  <si>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</si>
  <si>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</si>
  <si>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</si>
  <si>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</si>
  <si>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</si>
  <si>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</si>
  <si>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</si>
  <si>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</si>
  <si>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</si>
  <si>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</si>
  <si>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</si>
  <si>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</si>
  <si>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</si>
  <si>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</si>
  <si>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</si>
  <si>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</si>
  <si>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</si>
  <si>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</si>
  <si>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</si>
  <si>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</si>
  <si>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</si>
  <si>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</si>
  <si>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</si>
  <si>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</si>
  <si>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</si>
  <si>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</si>
  <si>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</si>
  <si>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</si>
  <si>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</si>
  <si>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</si>
  <si>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</si>
  <si>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</si>
  <si>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</si>
  <si>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</si>
  <si>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</si>
  <si>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</si>
  <si>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</si>
  <si>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</si>
  <si>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</si>
  <si>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</si>
  <si>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</si>
  <si>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</si>
  <si>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</si>
  <si>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</si>
  <si>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</si>
  <si>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</si>
  <si>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</si>
  <si>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</si>
  <si>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</si>
  <si>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</si>
  <si>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</si>
  <si>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</si>
  <si>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</si>
  <si>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</si>
  <si>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</si>
  <si>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</si>
  <si>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</si>
  <si>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</si>
  <si>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</si>
  <si>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</si>
  <si>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</si>
  <si>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</si>
  <si>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</si>
  <si>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</si>
  <si>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</si>
  <si>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</si>
  <si>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</si>
  <si>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</si>
  <si>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</si>
  <si>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</si>
  <si>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</si>
  <si>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</si>
  <si>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</si>
  <si>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</si>
  <si>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</si>
  <si>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</si>
  <si>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</si>
  <si>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</si>
  <si>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</si>
  <si>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</si>
  <si>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</si>
  <si>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</si>
  <si>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</si>
  <si>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</si>
  <si>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</si>
  <si>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</si>
  <si>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</si>
  <si>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</si>
  <si>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</si>
  <si>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</si>
  <si>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</si>
  <si>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</si>
  <si>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</si>
  <si>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</si>
  <si>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</si>
  <si>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</si>
  <si>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</si>
  <si>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</si>
  <si>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</si>
  <si>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</si>
  <si>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</si>
  <si>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</si>
  <si>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</si>
  <si>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</si>
  <si>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</si>
  <si>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</si>
  <si>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</si>
  <si>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</si>
  <si>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</si>
  <si>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</si>
  <si>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</si>
  <si>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</si>
  <si>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</si>
  <si>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</si>
  <si>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</si>
  <si>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</si>
  <si>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</si>
  <si>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</si>
  <si>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THE CHARLOTTE HUNGERFORD HOSPITAL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</si>
  <si>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</si>
  <si>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</si>
  <si>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</si>
  <si>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</si>
  <si>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</si>
  <si>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</si>
  <si>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</si>
  <si>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</si>
  <si>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</si>
  <si>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</si>
  <si>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</si>
  <si>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</si>
  <si>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</si>
  <si>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</si>
  <si>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</si>
  <si>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</si>
  <si>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</si>
  <si>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</si>
  <si>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</si>
  <si>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</si>
  <si>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</si>
  <si>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</si>
  <si>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</si>
  <si>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</si>
  <si>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</si>
  <si>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</si>
  <si>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</si>
  <si>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</si>
  <si>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</si>
  <si>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</si>
  <si>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</si>
  <si>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</si>
  <si>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</si>
  <si>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</si>
  <si>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</si>
  <si>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</si>
  <si>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</si>
  <si>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</si>
  <si>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</si>
  <si>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</si>
  <si>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</si>
  <si>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</si>
  <si>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</si>
  <si>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</si>
  <si>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</si>
  <si>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</si>
  <si>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</si>
  <si>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</si>
  <si>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</si>
  <si>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</si>
  <si>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</si>
  <si>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</si>
  <si>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</si>
  <si>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</si>
  <si>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</si>
  <si>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</si>
  <si>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</si>
  <si>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</si>
  <si>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</si>
  <si>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</si>
  <si>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</si>
  <si>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</si>
  <si>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</si>
  <si>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</si>
  <si>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</si>
  <si>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</si>
  <si>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</si>
  <si>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</si>
  <si>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</si>
  <si>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</si>
  <si>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</si>
  <si>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</si>
  <si>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</si>
  <si>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</si>
  <si>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</si>
  <si>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</si>
  <si>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</si>
  <si>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</si>
  <si>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</si>
  <si>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</si>
  <si>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</si>
  <si>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</si>
  <si>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</si>
  <si>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</si>
  <si>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</si>
  <si>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</si>
  <si>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</si>
  <si>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</si>
  <si>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</si>
  <si>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</si>
  <si>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</si>
  <si>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</si>
  <si>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</si>
  <si>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</si>
  <si>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</si>
  <si>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</si>
  <si>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</si>
  <si>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</si>
  <si>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</si>
  <si>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</si>
  <si>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</si>
  <si>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</si>
  <si>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</si>
  <si>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</si>
  <si>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</si>
  <si>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</si>
  <si>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</si>
  <si>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</si>
  <si>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</si>
  <si>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Charlotte Hungerford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</si>
  <si>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</si>
  <si>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</si>
  <si>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</si>
  <si>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HEMC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</si>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</sst>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8455576</v>
      </c>
      <c r="D13" s="23">
        <v>9871014</v>
      </c>
      <c r="E13" s="23">
        <f t="shared" ref="E13:E22" si="0">D13-C13</f>
        <v>1415438</v>
      </c>
      <c r="F13" s="24">
        <f t="shared" ref="F13:F22" si="1">IF(C13=0,0,E13/C13)</f>
        <v>0.16739699341594233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11144540</v>
      </c>
      <c r="D15" s="23">
        <v>13441101</v>
      </c>
      <c r="E15" s="23">
        <f t="shared" si="0"/>
        <v>2296561</v>
      </c>
      <c r="F15" s="24">
        <f t="shared" si="1"/>
        <v>0.20607050627482157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1516187</v>
      </c>
      <c r="D18" s="23">
        <v>971585</v>
      </c>
      <c r="E18" s="23">
        <f t="shared" si="0"/>
        <v>-544602</v>
      </c>
      <c r="F18" s="24">
        <f t="shared" si="1"/>
        <v>-0.3591918411119473</v>
      </c>
    </row>
    <row r="19" spans="1:11" ht="24" customHeight="1" x14ac:dyDescent="0.2">
      <c r="A19" s="21">
        <v>7</v>
      </c>
      <c r="B19" s="22" t="s">
        <v>22</v>
      </c>
      <c r="C19" s="23">
        <v>1994112</v>
      </c>
      <c r="D19" s="23">
        <v>2025113</v>
      </c>
      <c r="E19" s="23">
        <f t="shared" si="0"/>
        <v>31001</v>
      </c>
      <c r="F19" s="24">
        <f t="shared" si="1"/>
        <v>1.5546268213620901E-2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2360864</v>
      </c>
      <c r="D21" s="23">
        <v>1717026</v>
      </c>
      <c r="E21" s="23">
        <f t="shared" si="0"/>
        <v>-643838</v>
      </c>
      <c r="F21" s="24">
        <f t="shared" si="1"/>
        <v>-0.27271287122002791</v>
      </c>
    </row>
    <row r="22" spans="1:11" ht="24" customHeight="1" x14ac:dyDescent="0.25">
      <c r="A22" s="25"/>
      <c r="B22" s="26" t="s">
        <v>25</v>
      </c>
      <c r="C22" s="27">
        <f>SUM(C13:C21)</f>
        <v>25471279</v>
      </c>
      <c r="D22" s="27">
        <f>SUM(D13:D21)</f>
        <v>28025839</v>
      </c>
      <c r="E22" s="27">
        <f t="shared" si="0"/>
        <v>2554560</v>
      </c>
      <c r="F22" s="28">
        <f t="shared" si="1"/>
        <v>0.10029178354176875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16087230</v>
      </c>
      <c r="D25" s="23">
        <v>18116227</v>
      </c>
      <c r="E25" s="23">
        <f>D25-C25</f>
        <v>2028997</v>
      </c>
      <c r="F25" s="24">
        <f>IF(C25=0,0,E25/C25)</f>
        <v>0.1261246964207014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288839</v>
      </c>
      <c r="D27" s="23">
        <v>400278</v>
      </c>
      <c r="E27" s="23">
        <f>D27-C27</f>
        <v>111439</v>
      </c>
      <c r="F27" s="24">
        <f>IF(C27=0,0,E27/C27)</f>
        <v>0.38581701224557624</v>
      </c>
    </row>
    <row r="28" spans="1:11" ht="24" customHeight="1" x14ac:dyDescent="0.2">
      <c r="A28" s="21">
        <v>4</v>
      </c>
      <c r="B28" s="22" t="s">
        <v>31</v>
      </c>
      <c r="C28" s="23">
        <v>6563036</v>
      </c>
      <c r="D28" s="23">
        <v>6989321</v>
      </c>
      <c r="E28" s="23">
        <f>D28-C28</f>
        <v>426285</v>
      </c>
      <c r="F28" s="24">
        <f>IF(C28=0,0,E28/C28)</f>
        <v>6.4952409220366922E-2</v>
      </c>
    </row>
    <row r="29" spans="1:11" ht="24" customHeight="1" x14ac:dyDescent="0.25">
      <c r="A29" s="25"/>
      <c r="B29" s="26" t="s">
        <v>32</v>
      </c>
      <c r="C29" s="27">
        <f>SUM(C25:C28)</f>
        <v>22939105</v>
      </c>
      <c r="D29" s="27">
        <f>SUM(D25:D28)</f>
        <v>25505826</v>
      </c>
      <c r="E29" s="27">
        <f>D29-C29</f>
        <v>2566721</v>
      </c>
      <c r="F29" s="28">
        <f>IF(C29=0,0,E29/C29)</f>
        <v>0.11189281360366937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28762329</v>
      </c>
      <c r="D32" s="23">
        <v>33807880</v>
      </c>
      <c r="E32" s="23">
        <f>D32-C32</f>
        <v>5045551</v>
      </c>
      <c r="F32" s="24">
        <f>IF(C32=0,0,E32/C32)</f>
        <v>0.17542219894640659</v>
      </c>
    </row>
    <row r="33" spans="1:8" ht="24" customHeight="1" x14ac:dyDescent="0.2">
      <c r="A33" s="21">
        <v>7</v>
      </c>
      <c r="B33" s="22" t="s">
        <v>35</v>
      </c>
      <c r="C33" s="23">
        <v>1677378</v>
      </c>
      <c r="D33" s="23">
        <v>1334720</v>
      </c>
      <c r="E33" s="23">
        <f>D33-C33</f>
        <v>-342658</v>
      </c>
      <c r="F33" s="24">
        <f>IF(C33=0,0,E33/C33)</f>
        <v>-0.20428192095043574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141431820</v>
      </c>
      <c r="D36" s="23">
        <v>143527470</v>
      </c>
      <c r="E36" s="23">
        <f>D36-C36</f>
        <v>2095650</v>
      </c>
      <c r="F36" s="24">
        <f>IF(C36=0,0,E36/C36)</f>
        <v>1.4817386921839796E-2</v>
      </c>
    </row>
    <row r="37" spans="1:8" ht="24" customHeight="1" x14ac:dyDescent="0.2">
      <c r="A37" s="21">
        <v>2</v>
      </c>
      <c r="B37" s="22" t="s">
        <v>39</v>
      </c>
      <c r="C37" s="23">
        <v>102493235</v>
      </c>
      <c r="D37" s="23">
        <v>106694984</v>
      </c>
      <c r="E37" s="23">
        <f>D37-C37</f>
        <v>4201749</v>
      </c>
      <c r="F37" s="24">
        <f>IF(C37=0,0,E37/C37)</f>
        <v>4.0995378865736849E-2</v>
      </c>
    </row>
    <row r="38" spans="1:8" ht="24" customHeight="1" x14ac:dyDescent="0.25">
      <c r="A38" s="25"/>
      <c r="B38" s="26" t="s">
        <v>40</v>
      </c>
      <c r="C38" s="27">
        <f>C36-C37</f>
        <v>38938585</v>
      </c>
      <c r="D38" s="27">
        <f>D36-D37</f>
        <v>36832486</v>
      </c>
      <c r="E38" s="27">
        <f>D38-C38</f>
        <v>-2106099</v>
      </c>
      <c r="F38" s="28">
        <f>IF(C38=0,0,E38/C38)</f>
        <v>-5.4087712740460397E-2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1037834</v>
      </c>
      <c r="D40" s="23">
        <v>1020301</v>
      </c>
      <c r="E40" s="23">
        <f>D40-C40</f>
        <v>-17533</v>
      </c>
      <c r="F40" s="24">
        <f>IF(C40=0,0,E40/C40)</f>
        <v>-1.6893838513673671E-2</v>
      </c>
    </row>
    <row r="41" spans="1:8" ht="24" customHeight="1" x14ac:dyDescent="0.25">
      <c r="A41" s="25"/>
      <c r="B41" s="26" t="s">
        <v>42</v>
      </c>
      <c r="C41" s="27">
        <f>+C38+C40</f>
        <v>39976419</v>
      </c>
      <c r="D41" s="27">
        <f>+D38+D40</f>
        <v>37852787</v>
      </c>
      <c r="E41" s="27">
        <f>D41-C41</f>
        <v>-2123632</v>
      </c>
      <c r="F41" s="28">
        <f>IF(C41=0,0,E41/C41)</f>
        <v>-5.3122116815915901E-2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118826510</v>
      </c>
      <c r="D43" s="27">
        <f>D22+D29+D31+D32+D33+D41</f>
        <v>126527052</v>
      </c>
      <c r="E43" s="27">
        <f>D43-C43</f>
        <v>7700542</v>
      </c>
      <c r="F43" s="28">
        <f>IF(C43=0,0,E43/C43)</f>
        <v>6.4804916007379157E-2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5509809</v>
      </c>
      <c r="D49" s="23">
        <v>5029676</v>
      </c>
      <c r="E49" s="23">
        <f t="shared" ref="E49:E56" si="2">D49-C49</f>
        <v>-480133</v>
      </c>
      <c r="F49" s="24">
        <f t="shared" ref="F49:F56" si="3">IF(C49=0,0,E49/C49)</f>
        <v>-8.7141496193425219E-2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3433272</v>
      </c>
      <c r="D50" s="23">
        <v>4027215</v>
      </c>
      <c r="E50" s="23">
        <f t="shared" si="2"/>
        <v>593943</v>
      </c>
      <c r="F50" s="24">
        <f t="shared" si="3"/>
        <v>0.17299619721362014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1693818</v>
      </c>
      <c r="D51" s="23">
        <v>1917192</v>
      </c>
      <c r="E51" s="23">
        <f t="shared" si="2"/>
        <v>223374</v>
      </c>
      <c r="F51" s="24">
        <f t="shared" si="3"/>
        <v>0.13187603390683061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1155000</v>
      </c>
      <c r="D53" s="23">
        <v>1200000</v>
      </c>
      <c r="E53" s="23">
        <f t="shared" si="2"/>
        <v>45000</v>
      </c>
      <c r="F53" s="24">
        <f t="shared" si="3"/>
        <v>3.896103896103896E-2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186190</v>
      </c>
      <c r="D54" s="23">
        <v>198100</v>
      </c>
      <c r="E54" s="23">
        <f t="shared" si="2"/>
        <v>11910</v>
      </c>
      <c r="F54" s="24">
        <f t="shared" si="3"/>
        <v>6.3966915516407971E-2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7183569</v>
      </c>
      <c r="D55" s="23">
        <v>7726163</v>
      </c>
      <c r="E55" s="23">
        <f t="shared" si="2"/>
        <v>542594</v>
      </c>
      <c r="F55" s="24">
        <f t="shared" si="3"/>
        <v>7.5532649578503391E-2</v>
      </c>
    </row>
    <row r="56" spans="1:6" ht="24" customHeight="1" x14ac:dyDescent="0.25">
      <c r="A56" s="25"/>
      <c r="B56" s="26" t="s">
        <v>54</v>
      </c>
      <c r="C56" s="27">
        <f>SUM(C49:C55)</f>
        <v>19161658</v>
      </c>
      <c r="D56" s="27">
        <f>SUM(D49:D55)</f>
        <v>20098346</v>
      </c>
      <c r="E56" s="27">
        <f t="shared" si="2"/>
        <v>936688</v>
      </c>
      <c r="F56" s="28">
        <f t="shared" si="3"/>
        <v>4.888345256970978E-2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1200000</v>
      </c>
      <c r="D59" s="23">
        <v>0</v>
      </c>
      <c r="E59" s="23">
        <f>D59-C59</f>
        <v>-1200000</v>
      </c>
      <c r="F59" s="24">
        <f>IF(C59=0,0,E59/C59)</f>
        <v>-1</v>
      </c>
    </row>
    <row r="60" spans="1:6" ht="24" customHeight="1" x14ac:dyDescent="0.2">
      <c r="A60" s="21">
        <v>2</v>
      </c>
      <c r="B60" s="22" t="s">
        <v>57</v>
      </c>
      <c r="C60" s="23">
        <v>3424338</v>
      </c>
      <c r="D60" s="23">
        <v>3223366</v>
      </c>
      <c r="E60" s="23">
        <f>D60-C60</f>
        <v>-200972</v>
      </c>
      <c r="F60" s="24">
        <f>IF(C60=0,0,E60/C60)</f>
        <v>-5.8689299946442203E-2</v>
      </c>
    </row>
    <row r="61" spans="1:6" ht="24" customHeight="1" x14ac:dyDescent="0.25">
      <c r="A61" s="25"/>
      <c r="B61" s="26" t="s">
        <v>58</v>
      </c>
      <c r="C61" s="27">
        <f>SUM(C59:C60)</f>
        <v>4624338</v>
      </c>
      <c r="D61" s="27">
        <f>SUM(D59:D60)</f>
        <v>3223366</v>
      </c>
      <c r="E61" s="27">
        <f>D61-C61</f>
        <v>-1400972</v>
      </c>
      <c r="F61" s="28">
        <f>IF(C61=0,0,E61/C61)</f>
        <v>-0.30295622854557774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26422971</v>
      </c>
      <c r="D63" s="23">
        <v>38287989</v>
      </c>
      <c r="E63" s="23">
        <f>D63-C63</f>
        <v>11865018</v>
      </c>
      <c r="F63" s="24">
        <f>IF(C63=0,0,E63/C63)</f>
        <v>0.44904178262164385</v>
      </c>
    </row>
    <row r="64" spans="1:6" ht="24" customHeight="1" x14ac:dyDescent="0.2">
      <c r="A64" s="21">
        <v>4</v>
      </c>
      <c r="B64" s="22" t="s">
        <v>60</v>
      </c>
      <c r="C64" s="23">
        <v>2631693</v>
      </c>
      <c r="D64" s="23">
        <v>3125672</v>
      </c>
      <c r="E64" s="23">
        <f>D64-C64</f>
        <v>493979</v>
      </c>
      <c r="F64" s="24">
        <f>IF(C64=0,0,E64/C64)</f>
        <v>0.18770388491362786</v>
      </c>
    </row>
    <row r="65" spans="1:6" ht="24" customHeight="1" x14ac:dyDescent="0.25">
      <c r="A65" s="25"/>
      <c r="B65" s="26" t="s">
        <v>61</v>
      </c>
      <c r="C65" s="27">
        <f>SUM(C61:C64)</f>
        <v>33679002</v>
      </c>
      <c r="D65" s="27">
        <f>SUM(D61:D64)</f>
        <v>44637027</v>
      </c>
      <c r="E65" s="27">
        <f>D65-C65</f>
        <v>10958025</v>
      </c>
      <c r="F65" s="28">
        <f>IF(C65=0,0,E65/C65)</f>
        <v>0.32536667802686076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47062165</v>
      </c>
      <c r="D70" s="23">
        <v>40934207</v>
      </c>
      <c r="E70" s="23">
        <f>D70-C70</f>
        <v>-6127958</v>
      </c>
      <c r="F70" s="24">
        <f>IF(C70=0,0,E70/C70)</f>
        <v>-0.13020986178600155</v>
      </c>
    </row>
    <row r="71" spans="1:6" ht="24" customHeight="1" x14ac:dyDescent="0.2">
      <c r="A71" s="21">
        <v>2</v>
      </c>
      <c r="B71" s="22" t="s">
        <v>65</v>
      </c>
      <c r="C71" s="23">
        <v>2810655</v>
      </c>
      <c r="D71" s="23">
        <v>3236940</v>
      </c>
      <c r="E71" s="23">
        <f>D71-C71</f>
        <v>426285</v>
      </c>
      <c r="F71" s="24">
        <f>IF(C71=0,0,E71/C71)</f>
        <v>0.15166749387598263</v>
      </c>
    </row>
    <row r="72" spans="1:6" ht="24" customHeight="1" x14ac:dyDescent="0.2">
      <c r="A72" s="21">
        <v>3</v>
      </c>
      <c r="B72" s="22" t="s">
        <v>66</v>
      </c>
      <c r="C72" s="23">
        <v>16113030</v>
      </c>
      <c r="D72" s="23">
        <v>17620532</v>
      </c>
      <c r="E72" s="23">
        <f>D72-C72</f>
        <v>1507502</v>
      </c>
      <c r="F72" s="24">
        <f>IF(C72=0,0,E72/C72)</f>
        <v>9.3557946581120988E-2</v>
      </c>
    </row>
    <row r="73" spans="1:6" ht="24" customHeight="1" x14ac:dyDescent="0.25">
      <c r="A73" s="21"/>
      <c r="B73" s="26" t="s">
        <v>67</v>
      </c>
      <c r="C73" s="27">
        <f>SUM(C70:C72)</f>
        <v>65985850</v>
      </c>
      <c r="D73" s="27">
        <f>SUM(D70:D72)</f>
        <v>61791679</v>
      </c>
      <c r="E73" s="27">
        <f>D73-C73</f>
        <v>-4194171</v>
      </c>
      <c r="F73" s="28">
        <f>IF(C73=0,0,E73/C73)</f>
        <v>-6.3561672691948345E-2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118826510</v>
      </c>
      <c r="D75" s="27">
        <f>D56+D65+D67+D73</f>
        <v>126527052</v>
      </c>
      <c r="E75" s="27">
        <f>D75-C75</f>
        <v>7700542</v>
      </c>
      <c r="F75" s="28">
        <f>IF(C75=0,0,E75/C75)</f>
        <v>6.4804916007379157E-2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FILING&amp;RCHARLOTTE HUNGERFORD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103758285</v>
      </c>
      <c r="D11" s="51">
        <v>109569717</v>
      </c>
      <c r="E11" s="51">
        <v>116313832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5283033</v>
      </c>
      <c r="D12" s="49">
        <v>4949386</v>
      </c>
      <c r="E12" s="49">
        <v>5735128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109041318</v>
      </c>
      <c r="D13" s="51">
        <f>+D11+D12</f>
        <v>114519103</v>
      </c>
      <c r="E13" s="51">
        <f>+E11+E12</f>
        <v>122048960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109825185</v>
      </c>
      <c r="D14" s="49">
        <v>113880767</v>
      </c>
      <c r="E14" s="49">
        <v>121882681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-783867</v>
      </c>
      <c r="D15" s="51">
        <f>+D13-D14</f>
        <v>638336</v>
      </c>
      <c r="E15" s="51">
        <f>+E13-E14</f>
        <v>166279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2243445</v>
      </c>
      <c r="D16" s="49">
        <v>2011113</v>
      </c>
      <c r="E16" s="49">
        <v>2249345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1459578</v>
      </c>
      <c r="D17" s="51">
        <f>D15+D16</f>
        <v>2649449</v>
      </c>
      <c r="E17" s="51">
        <f>E15+E16</f>
        <v>2415624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-7.0437944860429818E-3</v>
      </c>
      <c r="D20" s="169">
        <f>IF(+D27=0,0,+D24/+D27)</f>
        <v>5.4778582063213545E-3</v>
      </c>
      <c r="E20" s="169">
        <f>IF(+E27=0,0,+E24/+E27)</f>
        <v>1.3377414921305645E-3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2.015949838523716E-2</v>
      </c>
      <c r="D21" s="169">
        <f>IF(+D27=0,0,+D26/+D27)</f>
        <v>1.7258296337492415E-2</v>
      </c>
      <c r="E21" s="169">
        <f>IF(+E27=0,0,+E26/+E27)</f>
        <v>1.8096344917977764E-2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1.3115703899194179E-2</v>
      </c>
      <c r="D22" s="169">
        <f>IF(+D27=0,0,+D28/+D27)</f>
        <v>2.273615454381377E-2</v>
      </c>
      <c r="E22" s="169">
        <f>IF(+E27=0,0,+E28/+E27)</f>
        <v>1.9434086410108329E-2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-783867</v>
      </c>
      <c r="D24" s="51">
        <f>+D15</f>
        <v>638336</v>
      </c>
      <c r="E24" s="51">
        <f>+E15</f>
        <v>166279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109041318</v>
      </c>
      <c r="D25" s="51">
        <f>+D13</f>
        <v>114519103</v>
      </c>
      <c r="E25" s="51">
        <f>+E13</f>
        <v>122048960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2243445</v>
      </c>
      <c r="D26" s="51">
        <f>+D16</f>
        <v>2011113</v>
      </c>
      <c r="E26" s="51">
        <f>+E16</f>
        <v>2249345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111284763</v>
      </c>
      <c r="D27" s="51">
        <f>SUM(D25:D26)</f>
        <v>116530216</v>
      </c>
      <c r="E27" s="51">
        <f>SUM(E25:E26)</f>
        <v>124298305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1459578</v>
      </c>
      <c r="D28" s="51">
        <f>+D17</f>
        <v>2649449</v>
      </c>
      <c r="E28" s="51">
        <f>+E17</f>
        <v>2415624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39188881</v>
      </c>
      <c r="D31" s="51">
        <v>47062165</v>
      </c>
      <c r="E31" s="52">
        <v>40934207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58541584</v>
      </c>
      <c r="D32" s="51">
        <v>65985850</v>
      </c>
      <c r="E32" s="51">
        <v>61791679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-1653418</v>
      </c>
      <c r="D33" s="51">
        <f>+D32-C32</f>
        <v>7444266</v>
      </c>
      <c r="E33" s="51">
        <f>+E32-D32</f>
        <v>-4194171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0.97250000000000003</v>
      </c>
      <c r="D34" s="171">
        <f>IF(C32=0,0,+D33/C32)</f>
        <v>0.12716201871134883</v>
      </c>
      <c r="E34" s="171">
        <f>IF(D32=0,0,+E33/D32)</f>
        <v>-6.3561672691948345E-2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1.2324425595398183</v>
      </c>
      <c r="D38" s="269">
        <f>IF(+D40=0,0,+D39/+D40)</f>
        <v>1.3292836663716678</v>
      </c>
      <c r="E38" s="269">
        <f>IF(+E40=0,0,+E39/+E40)</f>
        <v>1.3944350943107457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20414902</v>
      </c>
      <c r="D39" s="270">
        <v>25471279</v>
      </c>
      <c r="E39" s="270">
        <v>28025839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16564587</v>
      </c>
      <c r="D40" s="270">
        <v>19161658</v>
      </c>
      <c r="E40" s="270">
        <v>20098346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19.213834885456318</v>
      </c>
      <c r="D42" s="271">
        <f>IF((D48/365)=0,0,+D45/(D48/365))</f>
        <v>28.655601668612068</v>
      </c>
      <c r="E42" s="271">
        <f>IF((E48/365)=0,0,+E45/(E48/365))</f>
        <v>31.10732917531735</v>
      </c>
    </row>
    <row r="43" spans="1:14" ht="24" customHeight="1" x14ac:dyDescent="0.2">
      <c r="A43" s="17">
        <v>5</v>
      </c>
      <c r="B43" s="188" t="s">
        <v>16</v>
      </c>
      <c r="C43" s="272">
        <v>5456105</v>
      </c>
      <c r="D43" s="272">
        <v>8455576</v>
      </c>
      <c r="E43" s="272">
        <v>9871014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5456105</v>
      </c>
      <c r="D45" s="270">
        <f>+D43+D44</f>
        <v>8455576</v>
      </c>
      <c r="E45" s="270">
        <f>+E43+E44</f>
        <v>9871014</v>
      </c>
    </row>
    <row r="46" spans="1:14" ht="24" customHeight="1" x14ac:dyDescent="0.2">
      <c r="A46" s="17">
        <v>8</v>
      </c>
      <c r="B46" s="45" t="s">
        <v>336</v>
      </c>
      <c r="C46" s="270">
        <f>+C14</f>
        <v>109825185</v>
      </c>
      <c r="D46" s="270">
        <f>+D14</f>
        <v>113880767</v>
      </c>
      <c r="E46" s="270">
        <f>+E14</f>
        <v>121882681</v>
      </c>
    </row>
    <row r="47" spans="1:14" ht="24" customHeight="1" x14ac:dyDescent="0.2">
      <c r="A47" s="17">
        <v>9</v>
      </c>
      <c r="B47" s="45" t="s">
        <v>359</v>
      </c>
      <c r="C47" s="270">
        <v>6177041</v>
      </c>
      <c r="D47" s="270">
        <v>6178082</v>
      </c>
      <c r="E47" s="270">
        <v>6060455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103648144</v>
      </c>
      <c r="D48" s="270">
        <f>+D46-D47</f>
        <v>107702685</v>
      </c>
      <c r="E48" s="270">
        <f>+E46-E47</f>
        <v>115822226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30.318999586394476</v>
      </c>
      <c r="D50" s="278">
        <f>IF((D55/365)=0,0,+D54/(D55/365))</f>
        <v>36.533103256988419</v>
      </c>
      <c r="E50" s="278">
        <f>IF((E55/365)=0,0,+E54/(E55/365))</f>
        <v>39.211633144371</v>
      </c>
    </row>
    <row r="51" spans="1:5" ht="24" customHeight="1" x14ac:dyDescent="0.2">
      <c r="A51" s="17">
        <v>12</v>
      </c>
      <c r="B51" s="188" t="s">
        <v>362</v>
      </c>
      <c r="C51" s="279">
        <v>9573323</v>
      </c>
      <c r="D51" s="279">
        <v>11144540</v>
      </c>
      <c r="E51" s="279">
        <v>13441101</v>
      </c>
    </row>
    <row r="52" spans="1:5" ht="24" customHeight="1" x14ac:dyDescent="0.2">
      <c r="A52" s="17">
        <v>13</v>
      </c>
      <c r="B52" s="188" t="s">
        <v>21</v>
      </c>
      <c r="C52" s="270">
        <v>1079437</v>
      </c>
      <c r="D52" s="270">
        <v>1516187</v>
      </c>
      <c r="E52" s="270">
        <v>971585</v>
      </c>
    </row>
    <row r="53" spans="1:5" ht="24" customHeight="1" x14ac:dyDescent="0.2">
      <c r="A53" s="17">
        <v>14</v>
      </c>
      <c r="B53" s="188" t="s">
        <v>49</v>
      </c>
      <c r="C53" s="270">
        <v>2034000</v>
      </c>
      <c r="D53" s="270">
        <v>1693818</v>
      </c>
      <c r="E53" s="270">
        <v>1917192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8618760</v>
      </c>
      <c r="D54" s="280">
        <f>+D51+D52-D53</f>
        <v>10966909</v>
      </c>
      <c r="E54" s="280">
        <f>+E51+E52-E53</f>
        <v>12495494</v>
      </c>
    </row>
    <row r="55" spans="1:5" ht="24" customHeight="1" x14ac:dyDescent="0.2">
      <c r="A55" s="17">
        <v>16</v>
      </c>
      <c r="B55" s="45" t="s">
        <v>75</v>
      </c>
      <c r="C55" s="270">
        <f>+C11</f>
        <v>103758285</v>
      </c>
      <c r="D55" s="270">
        <f>+D11</f>
        <v>109569717</v>
      </c>
      <c r="E55" s="270">
        <f>+E11</f>
        <v>116313832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58.332682300611189</v>
      </c>
      <c r="D57" s="283">
        <f>IF((D61/365)=0,0,+D58/(D61/365))</f>
        <v>64.938076242017544</v>
      </c>
      <c r="E57" s="283">
        <f>IF((E61/365)=0,0,+E58/(E61/365))</f>
        <v>63.337552241484289</v>
      </c>
    </row>
    <row r="58" spans="1:5" ht="24" customHeight="1" x14ac:dyDescent="0.2">
      <c r="A58" s="17">
        <v>18</v>
      </c>
      <c r="B58" s="45" t="s">
        <v>54</v>
      </c>
      <c r="C58" s="281">
        <f>+C40</f>
        <v>16564587</v>
      </c>
      <c r="D58" s="281">
        <f>+D40</f>
        <v>19161658</v>
      </c>
      <c r="E58" s="281">
        <f>+E40</f>
        <v>20098346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109825185</v>
      </c>
      <c r="D59" s="281">
        <f t="shared" si="0"/>
        <v>113880767</v>
      </c>
      <c r="E59" s="281">
        <f t="shared" si="0"/>
        <v>121882681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6177041</v>
      </c>
      <c r="D60" s="176">
        <f t="shared" si="0"/>
        <v>6178082</v>
      </c>
      <c r="E60" s="176">
        <f t="shared" si="0"/>
        <v>6060455</v>
      </c>
    </row>
    <row r="61" spans="1:5" ht="24" customHeight="1" x14ac:dyDescent="0.2">
      <c r="A61" s="17">
        <v>21</v>
      </c>
      <c r="B61" s="45" t="s">
        <v>365</v>
      </c>
      <c r="C61" s="281">
        <f>+C59-C60</f>
        <v>103648144</v>
      </c>
      <c r="D61" s="281">
        <f>+D59-D60</f>
        <v>107702685</v>
      </c>
      <c r="E61" s="281">
        <f>+E59-E60</f>
        <v>115822226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49.746815191647649</v>
      </c>
      <c r="D65" s="284">
        <f>IF(D67=0,0,(D66/D67)*100)</f>
        <v>55.531253084854548</v>
      </c>
      <c r="E65" s="284">
        <f>IF(E67=0,0,(E66/E67)*100)</f>
        <v>48.836733349323595</v>
      </c>
    </row>
    <row r="66" spans="1:5" ht="24" customHeight="1" x14ac:dyDescent="0.2">
      <c r="A66" s="17">
        <v>2</v>
      </c>
      <c r="B66" s="45" t="s">
        <v>67</v>
      </c>
      <c r="C66" s="281">
        <f>+C32</f>
        <v>58541584</v>
      </c>
      <c r="D66" s="281">
        <f>+D32</f>
        <v>65985850</v>
      </c>
      <c r="E66" s="281">
        <f>+E32</f>
        <v>61791679</v>
      </c>
    </row>
    <row r="67" spans="1:5" ht="24" customHeight="1" x14ac:dyDescent="0.2">
      <c r="A67" s="17">
        <v>3</v>
      </c>
      <c r="B67" s="45" t="s">
        <v>43</v>
      </c>
      <c r="C67" s="281">
        <v>117679059</v>
      </c>
      <c r="D67" s="281">
        <v>118826510</v>
      </c>
      <c r="E67" s="281">
        <v>126527052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33.80899387126626</v>
      </c>
      <c r="D69" s="284">
        <f>IF(D75=0,0,(D72/D75)*100)</f>
        <v>37.112303390616894</v>
      </c>
      <c r="E69" s="284">
        <f>IF(E75=0,0,(E72/E75)*100)</f>
        <v>36.344154322804435</v>
      </c>
    </row>
    <row r="70" spans="1:5" ht="24" customHeight="1" x14ac:dyDescent="0.2">
      <c r="A70" s="17">
        <v>5</v>
      </c>
      <c r="B70" s="45" t="s">
        <v>370</v>
      </c>
      <c r="C70" s="281">
        <f>+C28</f>
        <v>1459578</v>
      </c>
      <c r="D70" s="281">
        <f>+D28</f>
        <v>2649449</v>
      </c>
      <c r="E70" s="281">
        <f>+E28</f>
        <v>2415624</v>
      </c>
    </row>
    <row r="71" spans="1:5" ht="24" customHeight="1" x14ac:dyDescent="0.2">
      <c r="A71" s="17">
        <v>6</v>
      </c>
      <c r="B71" s="45" t="s">
        <v>359</v>
      </c>
      <c r="C71" s="176">
        <f>+C47</f>
        <v>6177041</v>
      </c>
      <c r="D71" s="176">
        <f>+D47</f>
        <v>6178082</v>
      </c>
      <c r="E71" s="176">
        <f>+E47</f>
        <v>6060455</v>
      </c>
    </row>
    <row r="72" spans="1:5" ht="24" customHeight="1" x14ac:dyDescent="0.2">
      <c r="A72" s="17">
        <v>7</v>
      </c>
      <c r="B72" s="45" t="s">
        <v>371</v>
      </c>
      <c r="C72" s="281">
        <f>+C70+C71</f>
        <v>7636619</v>
      </c>
      <c r="D72" s="281">
        <f>+D70+D71</f>
        <v>8827531</v>
      </c>
      <c r="E72" s="281">
        <f>+E70+E71</f>
        <v>8476079</v>
      </c>
    </row>
    <row r="73" spans="1:5" ht="24" customHeight="1" x14ac:dyDescent="0.2">
      <c r="A73" s="17">
        <v>8</v>
      </c>
      <c r="B73" s="45" t="s">
        <v>54</v>
      </c>
      <c r="C73" s="270">
        <f>+C40</f>
        <v>16564587</v>
      </c>
      <c r="D73" s="270">
        <f>+D40</f>
        <v>19161658</v>
      </c>
      <c r="E73" s="270">
        <f>+E40</f>
        <v>20098346</v>
      </c>
    </row>
    <row r="74" spans="1:5" ht="24" customHeight="1" x14ac:dyDescent="0.2">
      <c r="A74" s="17">
        <v>9</v>
      </c>
      <c r="B74" s="45" t="s">
        <v>58</v>
      </c>
      <c r="C74" s="281">
        <v>6022950</v>
      </c>
      <c r="D74" s="281">
        <v>4624338</v>
      </c>
      <c r="E74" s="281">
        <v>3223366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22587537</v>
      </c>
      <c r="D75" s="270">
        <f>+D73+D74</f>
        <v>23785996</v>
      </c>
      <c r="E75" s="270">
        <f>+E73+E74</f>
        <v>23321712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9.3285734858707414</v>
      </c>
      <c r="D77" s="286">
        <f>IF(D80=0,0,(D78/D80)*100)</f>
        <v>6.5491087490094202</v>
      </c>
      <c r="E77" s="286">
        <f>IF(E80=0,0,(E78/E80)*100)</f>
        <v>4.9578770575333753</v>
      </c>
    </row>
    <row r="78" spans="1:5" ht="24" customHeight="1" x14ac:dyDescent="0.2">
      <c r="A78" s="17">
        <v>12</v>
      </c>
      <c r="B78" s="45" t="s">
        <v>58</v>
      </c>
      <c r="C78" s="270">
        <f>+C74</f>
        <v>6022950</v>
      </c>
      <c r="D78" s="270">
        <f>+D74</f>
        <v>4624338</v>
      </c>
      <c r="E78" s="270">
        <f>+E74</f>
        <v>3223366</v>
      </c>
    </row>
    <row r="79" spans="1:5" ht="24" customHeight="1" x14ac:dyDescent="0.2">
      <c r="A79" s="17">
        <v>13</v>
      </c>
      <c r="B79" s="45" t="s">
        <v>67</v>
      </c>
      <c r="C79" s="270">
        <f>+C32</f>
        <v>58541584</v>
      </c>
      <c r="D79" s="270">
        <f>+D32</f>
        <v>65985850</v>
      </c>
      <c r="E79" s="270">
        <f>+E32</f>
        <v>61791679</v>
      </c>
    </row>
    <row r="80" spans="1:5" ht="24" customHeight="1" x14ac:dyDescent="0.2">
      <c r="A80" s="17">
        <v>14</v>
      </c>
      <c r="B80" s="45" t="s">
        <v>374</v>
      </c>
      <c r="C80" s="270">
        <f>+C78+C79</f>
        <v>64564534</v>
      </c>
      <c r="D80" s="270">
        <f>+D78+D79</f>
        <v>70610188</v>
      </c>
      <c r="E80" s="270">
        <f>+E78+E79</f>
        <v>65015045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FILING&amp;R&amp;8THE CHARLOTTE HUNGERFORD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17531</v>
      </c>
      <c r="D11" s="296">
        <v>4831</v>
      </c>
      <c r="E11" s="296">
        <v>4850</v>
      </c>
      <c r="F11" s="297">
        <v>50</v>
      </c>
      <c r="G11" s="297">
        <v>73</v>
      </c>
      <c r="H11" s="298">
        <f>IF(F11=0,0,$C11/(F11*365))</f>
        <v>0.96060273972602739</v>
      </c>
      <c r="I11" s="298">
        <f>IF(G11=0,0,$C11/(G11*365))</f>
        <v>0.65794708200412833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2185</v>
      </c>
      <c r="D13" s="296">
        <v>122</v>
      </c>
      <c r="E13" s="296">
        <v>0</v>
      </c>
      <c r="F13" s="297">
        <v>6</v>
      </c>
      <c r="G13" s="297">
        <v>10</v>
      </c>
      <c r="H13" s="298">
        <f>IF(F13=0,0,$C13/(F13*365))</f>
        <v>0.99771689497716898</v>
      </c>
      <c r="I13" s="298">
        <f>IF(G13=0,0,$C13/(G13*365))</f>
        <v>0.59863013698630141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21</v>
      </c>
      <c r="D15" s="296">
        <v>6</v>
      </c>
      <c r="E15" s="296">
        <v>6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3545</v>
      </c>
      <c r="D16" s="296">
        <v>670</v>
      </c>
      <c r="E16" s="296">
        <v>668</v>
      </c>
      <c r="F16" s="297">
        <v>12</v>
      </c>
      <c r="G16" s="297">
        <v>17</v>
      </c>
      <c r="H16" s="298">
        <f t="shared" si="0"/>
        <v>0.80936073059360736</v>
      </c>
      <c r="I16" s="298">
        <f t="shared" si="0"/>
        <v>0.57131345688960511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3566</v>
      </c>
      <c r="D17" s="300">
        <f>SUM(D15:D16)</f>
        <v>676</v>
      </c>
      <c r="E17" s="300">
        <f>SUM(E15:E16)</f>
        <v>674</v>
      </c>
      <c r="F17" s="300">
        <f>SUM(F15:F16)</f>
        <v>12</v>
      </c>
      <c r="G17" s="300">
        <f>SUM(G15:G16)</f>
        <v>17</v>
      </c>
      <c r="H17" s="301">
        <f t="shared" si="0"/>
        <v>0.81415525114155252</v>
      </c>
      <c r="I17" s="301">
        <f t="shared" si="0"/>
        <v>0.57469782433521355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900</v>
      </c>
      <c r="D21" s="296">
        <v>368</v>
      </c>
      <c r="E21" s="296">
        <v>362</v>
      </c>
      <c r="F21" s="297">
        <v>3</v>
      </c>
      <c r="G21" s="297">
        <v>7</v>
      </c>
      <c r="H21" s="298">
        <f>IF(F21=0,0,$C21/(F21*365))</f>
        <v>0.82191780821917804</v>
      </c>
      <c r="I21" s="298">
        <f>IF(G21=0,0,$C21/(G21*365))</f>
        <v>0.35225048923679059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904</v>
      </c>
      <c r="D23" s="296">
        <v>376</v>
      </c>
      <c r="E23" s="296">
        <v>376</v>
      </c>
      <c r="F23" s="297">
        <v>3</v>
      </c>
      <c r="G23" s="297">
        <v>13</v>
      </c>
      <c r="H23" s="298">
        <f>IF(F23=0,0,$C23/(F23*365))</f>
        <v>0.82557077625570774</v>
      </c>
      <c r="I23" s="298">
        <f>IF(G23=0,0,$C23/(G23*365))</f>
        <v>0.19051633298208639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163</v>
      </c>
      <c r="D27" s="296">
        <v>87</v>
      </c>
      <c r="E27" s="296">
        <v>76</v>
      </c>
      <c r="F27" s="297">
        <v>1</v>
      </c>
      <c r="G27" s="297">
        <v>2</v>
      </c>
      <c r="H27" s="298">
        <f>IF(F27=0,0,$C27/(F27*365))</f>
        <v>0.44657534246575342</v>
      </c>
      <c r="I27" s="298">
        <f>IF(G27=0,0,$C27/(G27*365))</f>
        <v>0.22328767123287671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24345</v>
      </c>
      <c r="D31" s="300">
        <f>SUM(D10:D29)-D13-D17-D23</f>
        <v>5962</v>
      </c>
      <c r="E31" s="300">
        <f>SUM(E10:E29)-E17-E23</f>
        <v>5962</v>
      </c>
      <c r="F31" s="300">
        <f>SUM(F10:F29)-F17-F23</f>
        <v>72</v>
      </c>
      <c r="G31" s="300">
        <f>SUM(G10:G29)-G17-G23</f>
        <v>109</v>
      </c>
      <c r="H31" s="301">
        <f>IF(F31=0,0,$C31/(F31*365))</f>
        <v>0.92636986301369861</v>
      </c>
      <c r="I31" s="301">
        <f>IF(G31=0,0,$C31/(G31*365))</f>
        <v>0.61191403795400279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25249</v>
      </c>
      <c r="D33" s="300">
        <f>SUM(D10:D29)-D13-D17</f>
        <v>6338</v>
      </c>
      <c r="E33" s="300">
        <f>SUM(E10:E29)-E17</f>
        <v>6338</v>
      </c>
      <c r="F33" s="300">
        <f>SUM(F10:F29)-F17</f>
        <v>75</v>
      </c>
      <c r="G33" s="300">
        <f>SUM(G10:G29)-G17</f>
        <v>122</v>
      </c>
      <c r="H33" s="301">
        <f>IF(F33=0,0,$C33/(F33*365))</f>
        <v>0.92233789954337897</v>
      </c>
      <c r="I33" s="301">
        <f>IF(G33=0,0,$C33/(G33*365))</f>
        <v>0.56701100381765102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25249</v>
      </c>
      <c r="D36" s="300">
        <f t="shared" si="1"/>
        <v>6338</v>
      </c>
      <c r="E36" s="300">
        <f t="shared" si="1"/>
        <v>6338</v>
      </c>
      <c r="F36" s="300">
        <f t="shared" si="1"/>
        <v>75</v>
      </c>
      <c r="G36" s="300">
        <f t="shared" si="1"/>
        <v>122</v>
      </c>
      <c r="H36" s="301">
        <f t="shared" si="1"/>
        <v>0.92233789954337897</v>
      </c>
      <c r="I36" s="301">
        <f t="shared" si="1"/>
        <v>0.56701100381765102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27425</v>
      </c>
      <c r="D37" s="300">
        <v>6512</v>
      </c>
      <c r="E37" s="300">
        <v>6512</v>
      </c>
      <c r="F37" s="302">
        <v>81</v>
      </c>
      <c r="G37" s="302">
        <v>122</v>
      </c>
      <c r="H37" s="301">
        <f>IF(F37=0,0,$C37/(F37*365))</f>
        <v>0.92761711483172671</v>
      </c>
      <c r="I37" s="301">
        <f>IF(G37=0,0,$C37/(G37*365))</f>
        <v>0.61587693689647427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-2176</v>
      </c>
      <c r="D38" s="300">
        <f t="shared" si="2"/>
        <v>-174</v>
      </c>
      <c r="E38" s="300">
        <f t="shared" si="2"/>
        <v>-174</v>
      </c>
      <c r="F38" s="300">
        <f t="shared" si="2"/>
        <v>-6</v>
      </c>
      <c r="G38" s="300">
        <f t="shared" si="2"/>
        <v>0</v>
      </c>
      <c r="H38" s="301">
        <f t="shared" si="2"/>
        <v>-5.2792152883477383E-3</v>
      </c>
      <c r="I38" s="301">
        <f t="shared" si="2"/>
        <v>-4.8865933078823254E-2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-7.9343664539653594E-2</v>
      </c>
      <c r="D40" s="148">
        <f t="shared" si="3"/>
        <v>-2.6719901719901719E-2</v>
      </c>
      <c r="E40" s="148">
        <f t="shared" si="3"/>
        <v>-2.6719901719901719E-2</v>
      </c>
      <c r="F40" s="148">
        <f t="shared" si="3"/>
        <v>-7.407407407407407E-2</v>
      </c>
      <c r="G40" s="148">
        <f t="shared" si="3"/>
        <v>0</v>
      </c>
      <c r="H40" s="148">
        <f t="shared" si="3"/>
        <v>-5.6911577028259212E-3</v>
      </c>
      <c r="I40" s="148">
        <f t="shared" si="3"/>
        <v>-7.934366453965358E-2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122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FILING&amp;RCHARLOTTE HUNGERFORD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3577</v>
      </c>
      <c r="D12" s="296">
        <v>3304</v>
      </c>
      <c r="E12" s="296">
        <f>+D12-C12</f>
        <v>-273</v>
      </c>
      <c r="F12" s="316">
        <f>IF(C12=0,0,+E12/C12)</f>
        <v>-7.6320939334637961E-2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3998</v>
      </c>
      <c r="D13" s="296">
        <v>5706</v>
      </c>
      <c r="E13" s="296">
        <f>+D13-C13</f>
        <v>1708</v>
      </c>
      <c r="F13" s="316">
        <f>IF(C13=0,0,+E13/C13)</f>
        <v>0.4272136068034017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5343</v>
      </c>
      <c r="D14" s="296">
        <v>4020</v>
      </c>
      <c r="E14" s="296">
        <f>+D14-C14</f>
        <v>-1323</v>
      </c>
      <c r="F14" s="316">
        <f>IF(C14=0,0,+E14/C14)</f>
        <v>-0.24761370016844469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1740</v>
      </c>
      <c r="D15" s="296">
        <v>1642</v>
      </c>
      <c r="E15" s="296">
        <f>+D15-C15</f>
        <v>-98</v>
      </c>
      <c r="F15" s="316">
        <f>IF(C15=0,0,+E15/C15)</f>
        <v>-5.6321839080459769E-2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14658</v>
      </c>
      <c r="D16" s="300">
        <f>SUM(D12:D15)</f>
        <v>14672</v>
      </c>
      <c r="E16" s="300">
        <f>+D16-C16</f>
        <v>14</v>
      </c>
      <c r="F16" s="309">
        <f>IF(C16=0,0,+E16/C16)</f>
        <v>9.5510983763132757E-4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389</v>
      </c>
      <c r="D19" s="296">
        <v>364</v>
      </c>
      <c r="E19" s="296">
        <f>+D19-C19</f>
        <v>-25</v>
      </c>
      <c r="F19" s="316">
        <f>IF(C19=0,0,+E19/C19)</f>
        <v>-6.4267352185089971E-2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449</v>
      </c>
      <c r="D20" s="296">
        <v>677</v>
      </c>
      <c r="E20" s="296">
        <f>+D20-C20</f>
        <v>228</v>
      </c>
      <c r="F20" s="316">
        <f>IF(C20=0,0,+E20/C20)</f>
        <v>0.50779510022271712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119</v>
      </c>
      <c r="D21" s="296">
        <v>25</v>
      </c>
      <c r="E21" s="296">
        <f>+D21-C21</f>
        <v>-94</v>
      </c>
      <c r="F21" s="316">
        <f>IF(C21=0,0,+E21/C21)</f>
        <v>-0.78991596638655459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5523</v>
      </c>
      <c r="D22" s="296">
        <v>5214</v>
      </c>
      <c r="E22" s="296">
        <f>+D22-C22</f>
        <v>-309</v>
      </c>
      <c r="F22" s="316">
        <f>IF(C22=0,0,+E22/C22)</f>
        <v>-5.5947854426941883E-2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6480</v>
      </c>
      <c r="D23" s="300">
        <f>SUM(D19:D22)</f>
        <v>6280</v>
      </c>
      <c r="E23" s="300">
        <f>+D23-C23</f>
        <v>-200</v>
      </c>
      <c r="F23" s="309">
        <f>IF(C23=0,0,+E23/C23)</f>
        <v>-3.0864197530864196E-2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57</v>
      </c>
      <c r="D27" s="296">
        <v>126</v>
      </c>
      <c r="E27" s="296">
        <f>+D27-C27</f>
        <v>69</v>
      </c>
      <c r="F27" s="316">
        <f>IF(C27=0,0,+E27/C27)</f>
        <v>1.2105263157894737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311</v>
      </c>
      <c r="D29" s="296">
        <v>182</v>
      </c>
      <c r="E29" s="296">
        <f>+D29-C29</f>
        <v>-129</v>
      </c>
      <c r="F29" s="316">
        <f>IF(C29=0,0,+E29/C29)</f>
        <v>-0.41479099678456594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368</v>
      </c>
      <c r="D30" s="300">
        <f>SUM(D26:D29)</f>
        <v>308</v>
      </c>
      <c r="E30" s="300">
        <f>+D30-C30</f>
        <v>-60</v>
      </c>
      <c r="F30" s="309">
        <f>IF(C30=0,0,+E30/C30)</f>
        <v>-0.16304347826086957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67</v>
      </c>
      <c r="D43" s="296">
        <v>78</v>
      </c>
      <c r="E43" s="296">
        <f>+D43-C43</f>
        <v>11</v>
      </c>
      <c r="F43" s="316">
        <f>IF(C43=0,0,+E43/C43)</f>
        <v>0.16417910447761194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4439</v>
      </c>
      <c r="D44" s="296">
        <v>4580</v>
      </c>
      <c r="E44" s="296">
        <f>+D44-C44</f>
        <v>141</v>
      </c>
      <c r="F44" s="316">
        <f>IF(C44=0,0,+E44/C44)</f>
        <v>3.1763910790718629E-2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4506</v>
      </c>
      <c r="D45" s="300">
        <f>SUM(D43:D44)</f>
        <v>4658</v>
      </c>
      <c r="E45" s="300">
        <f>+D45-C45</f>
        <v>152</v>
      </c>
      <c r="F45" s="309">
        <f>IF(C45=0,0,+E45/C45)</f>
        <v>3.3732800710164226E-2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60</v>
      </c>
      <c r="E58" s="296">
        <f>+D58-C58</f>
        <v>60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67</v>
      </c>
      <c r="E59" s="296">
        <f>+D59-C59</f>
        <v>67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127</v>
      </c>
      <c r="E60" s="300">
        <f>SUM(E58:E59)</f>
        <v>127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1270</v>
      </c>
      <c r="D63" s="296">
        <v>1140</v>
      </c>
      <c r="E63" s="296">
        <f>+D63-C63</f>
        <v>-130</v>
      </c>
      <c r="F63" s="316">
        <f>IF(C63=0,0,+E63/C63)</f>
        <v>-0.10236220472440945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2755</v>
      </c>
      <c r="D64" s="296">
        <v>2920</v>
      </c>
      <c r="E64" s="296">
        <f>+D64-C64</f>
        <v>165</v>
      </c>
      <c r="F64" s="316">
        <f>IF(C64=0,0,+E64/C64)</f>
        <v>5.9891107078039928E-2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4025</v>
      </c>
      <c r="D65" s="300">
        <f>SUM(D63:D64)</f>
        <v>4060</v>
      </c>
      <c r="E65" s="300">
        <f>+D65-C65</f>
        <v>35</v>
      </c>
      <c r="F65" s="309">
        <f>IF(C65=0,0,+E65/C65)</f>
        <v>8.6956521739130436E-3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335</v>
      </c>
      <c r="D68" s="296">
        <v>290</v>
      </c>
      <c r="E68" s="296">
        <f>+D68-C68</f>
        <v>-45</v>
      </c>
      <c r="F68" s="316">
        <f>IF(C68=0,0,+E68/C68)</f>
        <v>-0.13432835820895522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616</v>
      </c>
      <c r="D69" s="296">
        <v>604</v>
      </c>
      <c r="E69" s="296">
        <f>+D69-C69</f>
        <v>-12</v>
      </c>
      <c r="F69" s="318">
        <f>IF(C69=0,0,+E69/C69)</f>
        <v>-1.948051948051948E-2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951</v>
      </c>
      <c r="D70" s="300">
        <f>SUM(D68:D69)</f>
        <v>894</v>
      </c>
      <c r="E70" s="300">
        <f>+D70-C70</f>
        <v>-57</v>
      </c>
      <c r="F70" s="309">
        <f>IF(C70=0,0,+E70/C70)</f>
        <v>-5.993690851735016E-2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5055</v>
      </c>
      <c r="D73" s="319">
        <v>5066</v>
      </c>
      <c r="E73" s="296">
        <f>+D73-C73</f>
        <v>11</v>
      </c>
      <c r="F73" s="316">
        <f>IF(C73=0,0,+E73/C73)</f>
        <v>2.176063303659743E-3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34480</v>
      </c>
      <c r="D74" s="319">
        <v>35812</v>
      </c>
      <c r="E74" s="296">
        <f>+D74-C74</f>
        <v>1332</v>
      </c>
      <c r="F74" s="316">
        <f>IF(C74=0,0,+E74/C74)</f>
        <v>3.8631090487238978E-2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39535</v>
      </c>
      <c r="D75" s="300">
        <f>SUM(D73:D74)</f>
        <v>40878</v>
      </c>
      <c r="E75" s="300">
        <f>SUM(E73:E74)</f>
        <v>1343</v>
      </c>
      <c r="F75" s="309">
        <f>IF(C75=0,0,+E75/C75)</f>
        <v>3.3969900088529154E-2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4618</v>
      </c>
      <c r="D79" s="319">
        <v>4783</v>
      </c>
      <c r="E79" s="296">
        <f t="shared" ref="E79:E84" si="0">+D79-C79</f>
        <v>165</v>
      </c>
      <c r="F79" s="316">
        <f t="shared" ref="F79:F84" si="1">IF(C79=0,0,+E79/C79)</f>
        <v>3.5729753139887396E-2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32937</v>
      </c>
      <c r="D81" s="319">
        <v>33611</v>
      </c>
      <c r="E81" s="296">
        <f t="shared" si="0"/>
        <v>674</v>
      </c>
      <c r="F81" s="316">
        <f t="shared" si="1"/>
        <v>2.0463308740929654E-2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14385</v>
      </c>
      <c r="D82" s="319">
        <v>18703</v>
      </c>
      <c r="E82" s="296">
        <f t="shared" si="0"/>
        <v>4318</v>
      </c>
      <c r="F82" s="316">
        <f t="shared" si="1"/>
        <v>0.30017379214459505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17730</v>
      </c>
      <c r="D83" s="319">
        <v>20464</v>
      </c>
      <c r="E83" s="296">
        <f t="shared" si="0"/>
        <v>2734</v>
      </c>
      <c r="F83" s="316">
        <f t="shared" si="1"/>
        <v>0.15420191765369431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69670</v>
      </c>
      <c r="D84" s="320">
        <f>SUM(D79:D83)</f>
        <v>77561</v>
      </c>
      <c r="E84" s="300">
        <f t="shared" si="0"/>
        <v>7891</v>
      </c>
      <c r="F84" s="309">
        <f t="shared" si="1"/>
        <v>0.11326252332424286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5938</v>
      </c>
      <c r="D87" s="322">
        <v>6907</v>
      </c>
      <c r="E87" s="323">
        <f t="shared" ref="E87:E92" si="2">+D87-C87</f>
        <v>969</v>
      </c>
      <c r="F87" s="318">
        <f t="shared" ref="F87:F92" si="3">IF(C87=0,0,+E87/C87)</f>
        <v>0.16318625799932637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3381</v>
      </c>
      <c r="D88" s="322">
        <v>4508</v>
      </c>
      <c r="E88" s="296">
        <f t="shared" si="2"/>
        <v>1127</v>
      </c>
      <c r="F88" s="316">
        <f t="shared" si="3"/>
        <v>0.33333333333333331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139</v>
      </c>
      <c r="D89" s="322">
        <v>130</v>
      </c>
      <c r="E89" s="296">
        <f t="shared" si="2"/>
        <v>-9</v>
      </c>
      <c r="F89" s="316">
        <f t="shared" si="3"/>
        <v>-6.4748201438848921E-2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1049</v>
      </c>
      <c r="D90" s="322">
        <v>1000</v>
      </c>
      <c r="E90" s="296">
        <f t="shared" si="2"/>
        <v>-49</v>
      </c>
      <c r="F90" s="316">
        <f t="shared" si="3"/>
        <v>-4.6711153479504289E-2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116646</v>
      </c>
      <c r="D91" s="322">
        <v>123771</v>
      </c>
      <c r="E91" s="296">
        <f t="shared" si="2"/>
        <v>7125</v>
      </c>
      <c r="F91" s="316">
        <f t="shared" si="3"/>
        <v>6.1082248855511549E-2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127153</v>
      </c>
      <c r="D92" s="320">
        <f>SUM(D87:D91)</f>
        <v>136316</v>
      </c>
      <c r="E92" s="300">
        <f t="shared" si="2"/>
        <v>9163</v>
      </c>
      <c r="F92" s="309">
        <f t="shared" si="3"/>
        <v>7.2062790496488477E-2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295.3</v>
      </c>
      <c r="D96" s="325">
        <v>321.39999999999998</v>
      </c>
      <c r="E96" s="326">
        <f>+D96-C96</f>
        <v>26.099999999999966</v>
      </c>
      <c r="F96" s="316">
        <f>IF(C96=0,0,+E96/C96)</f>
        <v>8.8384693532001235E-2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26.3</v>
      </c>
      <c r="D97" s="325">
        <v>31.1</v>
      </c>
      <c r="E97" s="326">
        <f>+D97-C97</f>
        <v>4.8000000000000007</v>
      </c>
      <c r="F97" s="316">
        <f>IF(C97=0,0,+E97/C97)</f>
        <v>0.18250950570342209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422.7</v>
      </c>
      <c r="D98" s="325">
        <v>415.9</v>
      </c>
      <c r="E98" s="326">
        <f>+D98-C98</f>
        <v>-6.8000000000000114</v>
      </c>
      <c r="F98" s="316">
        <f>IF(C98=0,0,+E98/C98)</f>
        <v>-1.6087059380175094E-2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744.3</v>
      </c>
      <c r="D99" s="327">
        <f>SUM(D96:D98)</f>
        <v>768.4</v>
      </c>
      <c r="E99" s="327">
        <f>+D99-C99</f>
        <v>24.100000000000023</v>
      </c>
      <c r="F99" s="309">
        <f>IF(C99=0,0,+E99/C99)</f>
        <v>3.2379416901786945E-2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FILING&amp;RCHARLOTTE HUNGERFORD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2755</v>
      </c>
      <c r="D12" s="296">
        <v>2920</v>
      </c>
      <c r="E12" s="296">
        <f>+D12-C12</f>
        <v>165</v>
      </c>
      <c r="F12" s="316">
        <f>IF(C12=0,0,+E12/C12)</f>
        <v>5.9891107078039928E-2</v>
      </c>
    </row>
    <row r="13" spans="1:16" ht="15.75" customHeight="1" x14ac:dyDescent="0.25">
      <c r="A13" s="294"/>
      <c r="B13" s="135" t="s">
        <v>602</v>
      </c>
      <c r="C13" s="300">
        <f>SUM(C11:C12)</f>
        <v>2755</v>
      </c>
      <c r="D13" s="300">
        <f>SUM(D11:D12)</f>
        <v>2920</v>
      </c>
      <c r="E13" s="300">
        <f>+D13-C13</f>
        <v>165</v>
      </c>
      <c r="F13" s="309">
        <f>IF(C13=0,0,+E13/C13)</f>
        <v>5.9891107078039928E-2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616</v>
      </c>
      <c r="D16" s="296">
        <v>604</v>
      </c>
      <c r="E16" s="296">
        <f>+D16-C16</f>
        <v>-12</v>
      </c>
      <c r="F16" s="316">
        <f>IF(C16=0,0,+E16/C16)</f>
        <v>-1.948051948051948E-2</v>
      </c>
    </row>
    <row r="17" spans="1:6" ht="15.75" customHeight="1" x14ac:dyDescent="0.25">
      <c r="A17" s="294"/>
      <c r="B17" s="135" t="s">
        <v>603</v>
      </c>
      <c r="C17" s="300">
        <f>SUM(C15:C16)</f>
        <v>616</v>
      </c>
      <c r="D17" s="300">
        <f>SUM(D15:D16)</f>
        <v>604</v>
      </c>
      <c r="E17" s="300">
        <f>+D17-C17</f>
        <v>-12</v>
      </c>
      <c r="F17" s="309">
        <f>IF(C17=0,0,+E17/C17)</f>
        <v>-1.948051948051948E-2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28141</v>
      </c>
      <c r="D20" s="296">
        <v>29291</v>
      </c>
      <c r="E20" s="296">
        <f>+D20-C20</f>
        <v>1150</v>
      </c>
      <c r="F20" s="316">
        <f>IF(C20=0,0,+E20/C20)</f>
        <v>4.0865640879855017E-2</v>
      </c>
    </row>
    <row r="21" spans="1:6" ht="15.75" customHeight="1" x14ac:dyDescent="0.2">
      <c r="A21" s="294">
        <v>2</v>
      </c>
      <c r="B21" s="295" t="s">
        <v>605</v>
      </c>
      <c r="C21" s="296">
        <v>6339</v>
      </c>
      <c r="D21" s="296">
        <v>6521</v>
      </c>
      <c r="E21" s="296">
        <f>+D21-C21</f>
        <v>182</v>
      </c>
      <c r="F21" s="316">
        <f>IF(C21=0,0,+E21/C21)</f>
        <v>2.8711153178734815E-2</v>
      </c>
    </row>
    <row r="22" spans="1:6" ht="15.75" customHeight="1" x14ac:dyDescent="0.25">
      <c r="A22" s="294"/>
      <c r="B22" s="135" t="s">
        <v>606</v>
      </c>
      <c r="C22" s="300">
        <f>SUM(C19:C21)</f>
        <v>34480</v>
      </c>
      <c r="D22" s="300">
        <f>SUM(D19:D21)</f>
        <v>35812</v>
      </c>
      <c r="E22" s="300">
        <f>+D22-C22</f>
        <v>1332</v>
      </c>
      <c r="F22" s="309">
        <f>IF(C22=0,0,+E22/C22)</f>
        <v>3.8631090487238978E-2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607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608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609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FILING&amp;RCHARLOTTE HUNGERFORD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614</v>
      </c>
      <c r="D7" s="341" t="s">
        <v>614</v>
      </c>
      <c r="E7" s="341" t="s">
        <v>615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616</v>
      </c>
      <c r="D8" s="344" t="s">
        <v>617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621</v>
      </c>
      <c r="C15" s="361">
        <v>53129823</v>
      </c>
      <c r="D15" s="361">
        <v>54857930</v>
      </c>
      <c r="E15" s="361">
        <f t="shared" ref="E15:E24" si="0">D15-C15</f>
        <v>1728107</v>
      </c>
      <c r="F15" s="362">
        <f t="shared" ref="F15:F24" si="1">IF(C15=0,0,E15/C15)</f>
        <v>3.2526120028670148E-2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622</v>
      </c>
      <c r="C16" s="361">
        <v>33689093</v>
      </c>
      <c r="D16" s="361">
        <v>32316300</v>
      </c>
      <c r="E16" s="361">
        <f t="shared" si="0"/>
        <v>-1372793</v>
      </c>
      <c r="F16" s="362">
        <f t="shared" si="1"/>
        <v>-4.0748885700187892E-2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623</v>
      </c>
      <c r="C17" s="366">
        <f>IF(C15=0,0,C16/C15)</f>
        <v>0.63409006651499666</v>
      </c>
      <c r="D17" s="366">
        <f>IF(LN_IA1=0,0,LN_IA2/LN_IA1)</f>
        <v>0.5890907659111454</v>
      </c>
      <c r="E17" s="367">
        <f t="shared" si="0"/>
        <v>-4.4999300603851267E-2</v>
      </c>
      <c r="F17" s="362">
        <f t="shared" si="1"/>
        <v>-7.096673324527944E-2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3532</v>
      </c>
      <c r="D18" s="369">
        <v>3482</v>
      </c>
      <c r="E18" s="369">
        <f t="shared" si="0"/>
        <v>-50</v>
      </c>
      <c r="F18" s="362">
        <f t="shared" si="1"/>
        <v>-1.4156285390713477E-2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624</v>
      </c>
      <c r="C19" s="372">
        <v>1.4061999999999999</v>
      </c>
      <c r="D19" s="372">
        <v>1.3565</v>
      </c>
      <c r="E19" s="373">
        <f t="shared" si="0"/>
        <v>-4.9699999999999855E-2</v>
      </c>
      <c r="F19" s="362">
        <f t="shared" si="1"/>
        <v>-3.5343478879248942E-2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625</v>
      </c>
      <c r="C20" s="376">
        <f>C18*C19</f>
        <v>4966.6983999999993</v>
      </c>
      <c r="D20" s="376">
        <f>LN_IA4*LN_IA5</f>
        <v>4723.3330000000005</v>
      </c>
      <c r="E20" s="376">
        <f t="shared" si="0"/>
        <v>-243.36539999999877</v>
      </c>
      <c r="F20" s="362">
        <f t="shared" si="1"/>
        <v>-4.8999431896246975E-2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626</v>
      </c>
      <c r="C21" s="378">
        <f>IF(C20=0,0,C16/C20)</f>
        <v>6782.9955207266066</v>
      </c>
      <c r="D21" s="378">
        <f>IF(LN_IA6=0,0,LN_IA2/LN_IA6)</f>
        <v>6841.8424023883126</v>
      </c>
      <c r="E21" s="378">
        <f t="shared" si="0"/>
        <v>58.846881661705993</v>
      </c>
      <c r="F21" s="362">
        <f t="shared" si="1"/>
        <v>8.6756480203899963E-3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16720</v>
      </c>
      <c r="D22" s="369">
        <v>15393</v>
      </c>
      <c r="E22" s="369">
        <f t="shared" si="0"/>
        <v>-1327</v>
      </c>
      <c r="F22" s="362">
        <f t="shared" si="1"/>
        <v>-7.9366028708133973E-2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627</v>
      </c>
      <c r="C23" s="378">
        <f>IF(C22=0,0,C16/C22)</f>
        <v>2014.8979066985646</v>
      </c>
      <c r="D23" s="378">
        <f>IF(LN_IA8=0,0,LN_IA2/LN_IA8)</f>
        <v>2099.4153186513349</v>
      </c>
      <c r="E23" s="378">
        <f t="shared" si="0"/>
        <v>84.517411952770317</v>
      </c>
      <c r="F23" s="362">
        <f t="shared" si="1"/>
        <v>4.1946250314614276E-2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628</v>
      </c>
      <c r="C24" s="379">
        <f>IF(C18=0,0,C22/C18)</f>
        <v>4.7338618346545864</v>
      </c>
      <c r="D24" s="379">
        <f>IF(LN_IA4=0,0,LN_IA8/LN_IA4)</f>
        <v>4.4207352096496271</v>
      </c>
      <c r="E24" s="379">
        <f t="shared" si="0"/>
        <v>-0.31312662500495936</v>
      </c>
      <c r="F24" s="362">
        <f t="shared" si="1"/>
        <v>-6.61461267654017E-2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630</v>
      </c>
      <c r="C27" s="361">
        <v>41186063</v>
      </c>
      <c r="D27" s="361">
        <v>54574434</v>
      </c>
      <c r="E27" s="361">
        <f t="shared" ref="E27:E32" si="2">D27-C27</f>
        <v>13388371</v>
      </c>
      <c r="F27" s="362">
        <f t="shared" ref="F27:F32" si="3">IF(C27=0,0,E27/C27)</f>
        <v>0.32507042491534088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631</v>
      </c>
      <c r="C28" s="361">
        <v>17053020</v>
      </c>
      <c r="D28" s="361">
        <v>21046538</v>
      </c>
      <c r="E28" s="361">
        <f t="shared" si="2"/>
        <v>3993518</v>
      </c>
      <c r="F28" s="362">
        <f t="shared" si="3"/>
        <v>0.23418244979481639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632</v>
      </c>
      <c r="C29" s="366">
        <f>IF(C27=0,0,C28/C27)</f>
        <v>0.41404831532453101</v>
      </c>
      <c r="D29" s="366">
        <f>IF(LN_IA11=0,0,LN_IA12/LN_IA11)</f>
        <v>0.38564830557839591</v>
      </c>
      <c r="E29" s="367">
        <f t="shared" si="2"/>
        <v>-2.8400009746135102E-2</v>
      </c>
      <c r="F29" s="362">
        <f t="shared" si="3"/>
        <v>-6.8591052529401494E-2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633</v>
      </c>
      <c r="C30" s="366">
        <f>IF(C15=0,0,C27/C15)</f>
        <v>0.77519669131967561</v>
      </c>
      <c r="D30" s="366">
        <f>IF(LN_IA1=0,0,LN_IA11/LN_IA1)</f>
        <v>0.99483217831952464</v>
      </c>
      <c r="E30" s="367">
        <f t="shared" si="2"/>
        <v>0.21963548699984903</v>
      </c>
      <c r="F30" s="362">
        <f t="shared" si="3"/>
        <v>0.28332872090300981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634</v>
      </c>
      <c r="C31" s="376">
        <f>C30*C18</f>
        <v>2737.9947137410941</v>
      </c>
      <c r="D31" s="376">
        <f>LN_IA14*LN_IA4</f>
        <v>3464.0056449085846</v>
      </c>
      <c r="E31" s="376">
        <f t="shared" si="2"/>
        <v>726.01093116749053</v>
      </c>
      <c r="F31" s="362">
        <f t="shared" si="3"/>
        <v>0.26516155327980756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635</v>
      </c>
      <c r="C32" s="378">
        <f>IF(C31=0,0,C28/C31)</f>
        <v>6228.2881389129452</v>
      </c>
      <c r="D32" s="378">
        <f>IF(LN_IA15=0,0,LN_IA12/LN_IA15)</f>
        <v>6075.7805146577412</v>
      </c>
      <c r="E32" s="378">
        <f t="shared" si="2"/>
        <v>-152.50762425520406</v>
      </c>
      <c r="F32" s="362">
        <f t="shared" si="3"/>
        <v>-2.4486282723878924E-2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637</v>
      </c>
      <c r="C35" s="361">
        <f>C15+C27</f>
        <v>94315886</v>
      </c>
      <c r="D35" s="361">
        <f>LN_IA1+LN_IA11</f>
        <v>109432364</v>
      </c>
      <c r="E35" s="361">
        <f>D35-C35</f>
        <v>15116478</v>
      </c>
      <c r="F35" s="362">
        <f>IF(C35=0,0,E35/C35)</f>
        <v>0.16027499333463294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638</v>
      </c>
      <c r="C36" s="361">
        <f>C16+C28</f>
        <v>50742113</v>
      </c>
      <c r="D36" s="361">
        <f>LN_IA2+LN_IA12</f>
        <v>53362838</v>
      </c>
      <c r="E36" s="361">
        <f>D36-C36</f>
        <v>2620725</v>
      </c>
      <c r="F36" s="362">
        <f>IF(C36=0,0,E36/C36)</f>
        <v>5.1647928023809339E-2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639</v>
      </c>
      <c r="C37" s="361">
        <f>C35-C36</f>
        <v>43573773</v>
      </c>
      <c r="D37" s="361">
        <f>LN_IA17-LN_IA18</f>
        <v>56069526</v>
      </c>
      <c r="E37" s="361">
        <f>D37-C37</f>
        <v>12495753</v>
      </c>
      <c r="F37" s="362">
        <f>IF(C37=0,0,E37/C37)</f>
        <v>0.28677234353793507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621</v>
      </c>
      <c r="C42" s="361">
        <v>21306354</v>
      </c>
      <c r="D42" s="361">
        <v>22018745</v>
      </c>
      <c r="E42" s="361">
        <f t="shared" ref="E42:E53" si="4">D42-C42</f>
        <v>712391</v>
      </c>
      <c r="F42" s="362">
        <f t="shared" ref="F42:F53" si="5">IF(C42=0,0,E42/C42)</f>
        <v>3.3435612681550299E-2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622</v>
      </c>
      <c r="C43" s="361">
        <v>14960400</v>
      </c>
      <c r="D43" s="361">
        <v>14596102</v>
      </c>
      <c r="E43" s="361">
        <f t="shared" si="4"/>
        <v>-364298</v>
      </c>
      <c r="F43" s="362">
        <f t="shared" si="5"/>
        <v>-2.4350819496804899E-2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623</v>
      </c>
      <c r="C44" s="366">
        <f>IF(C42=0,0,C43/C42)</f>
        <v>0.70215673690580749</v>
      </c>
      <c r="D44" s="366">
        <f>IF(LN_IB1=0,0,LN_IB2/LN_IB1)</f>
        <v>0.6628943656870544</v>
      </c>
      <c r="E44" s="367">
        <f t="shared" si="4"/>
        <v>-3.9262371218753089E-2</v>
      </c>
      <c r="F44" s="362">
        <f t="shared" si="5"/>
        <v>-5.591681907343151E-2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1747</v>
      </c>
      <c r="D45" s="369">
        <v>1720</v>
      </c>
      <c r="E45" s="369">
        <f t="shared" si="4"/>
        <v>-27</v>
      </c>
      <c r="F45" s="362">
        <f t="shared" si="5"/>
        <v>-1.5455065827132226E-2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624</v>
      </c>
      <c r="C46" s="372">
        <v>1.1544000000000001</v>
      </c>
      <c r="D46" s="372">
        <v>1.1603000000000001</v>
      </c>
      <c r="E46" s="373">
        <f t="shared" si="4"/>
        <v>5.9000000000000163E-3</v>
      </c>
      <c r="F46" s="362">
        <f t="shared" si="5"/>
        <v>5.1108801108801245E-3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625</v>
      </c>
      <c r="C47" s="376">
        <f>C45*C46</f>
        <v>2016.7368000000001</v>
      </c>
      <c r="D47" s="376">
        <f>LN_IB4*LN_IB5</f>
        <v>1995.7160000000001</v>
      </c>
      <c r="E47" s="376">
        <f t="shared" si="4"/>
        <v>-21.020800000000008</v>
      </c>
      <c r="F47" s="362">
        <f t="shared" si="5"/>
        <v>-1.0423174704800352E-2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626</v>
      </c>
      <c r="C48" s="378">
        <f>IF(C47=0,0,C43/C47)</f>
        <v>7418.1221862961984</v>
      </c>
      <c r="D48" s="378">
        <f>IF(LN_IB6=0,0,LN_IB2/LN_IB6)</f>
        <v>7313.7169817749618</v>
      </c>
      <c r="E48" s="378">
        <f t="shared" si="4"/>
        <v>-104.40520452123656</v>
      </c>
      <c r="F48" s="362">
        <f t="shared" si="5"/>
        <v>-1.4074344139829427E-2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642</v>
      </c>
      <c r="C49" s="378">
        <f>C21-C48</f>
        <v>-635.12666556959175</v>
      </c>
      <c r="D49" s="378">
        <f>LN_IA7-LN_IB7</f>
        <v>-471.8745793866492</v>
      </c>
      <c r="E49" s="378">
        <f t="shared" si="4"/>
        <v>163.25208618294255</v>
      </c>
      <c r="F49" s="362">
        <f t="shared" si="5"/>
        <v>-0.25703862714776032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643</v>
      </c>
      <c r="C50" s="391">
        <f>C49*C47</f>
        <v>-1280883.3191154888</v>
      </c>
      <c r="D50" s="391">
        <f>LN_IB8*LN_IB6</f>
        <v>-941727.64807520609</v>
      </c>
      <c r="E50" s="391">
        <f t="shared" si="4"/>
        <v>339155.6710402827</v>
      </c>
      <c r="F50" s="362">
        <f t="shared" si="5"/>
        <v>-0.2647826433359175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5836</v>
      </c>
      <c r="D51" s="369">
        <v>5533</v>
      </c>
      <c r="E51" s="369">
        <f t="shared" si="4"/>
        <v>-303</v>
      </c>
      <c r="F51" s="362">
        <f t="shared" si="5"/>
        <v>-5.1919122686771763E-2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627</v>
      </c>
      <c r="C52" s="378">
        <f>IF(C51=0,0,C43/C51)</f>
        <v>2563.4681288553802</v>
      </c>
      <c r="D52" s="378">
        <f>IF(LN_IB10=0,0,LN_IB2/LN_IB10)</f>
        <v>2638.0086752213988</v>
      </c>
      <c r="E52" s="378">
        <f t="shared" si="4"/>
        <v>74.540546366018589</v>
      </c>
      <c r="F52" s="362">
        <f t="shared" si="5"/>
        <v>2.9078007846854666E-2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628</v>
      </c>
      <c r="C53" s="379">
        <f>IF(C45=0,0,C51/C45)</f>
        <v>3.3405838580423581</v>
      </c>
      <c r="D53" s="379">
        <f>IF(LN_IB4=0,0,LN_IB10/LN_IB4)</f>
        <v>3.2168604651162789</v>
      </c>
      <c r="E53" s="379">
        <f t="shared" si="4"/>
        <v>-0.12372339292607926</v>
      </c>
      <c r="F53" s="362">
        <f t="shared" si="5"/>
        <v>-3.7036457752203648E-2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630</v>
      </c>
      <c r="C56" s="361">
        <v>53354049</v>
      </c>
      <c r="D56" s="361">
        <v>62201161</v>
      </c>
      <c r="E56" s="361">
        <f t="shared" ref="E56:E63" si="6">D56-C56</f>
        <v>8847112</v>
      </c>
      <c r="F56" s="362">
        <f t="shared" ref="F56:F63" si="7">IF(C56=0,0,E56/C56)</f>
        <v>0.16581894281350607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631</v>
      </c>
      <c r="C57" s="361">
        <v>26193455</v>
      </c>
      <c r="D57" s="361">
        <v>29606147</v>
      </c>
      <c r="E57" s="361">
        <f t="shared" si="6"/>
        <v>3412692</v>
      </c>
      <c r="F57" s="362">
        <f t="shared" si="7"/>
        <v>0.13028796697495615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632</v>
      </c>
      <c r="C58" s="366">
        <f>IF(C56=0,0,C57/C56)</f>
        <v>0.49093659227250025</v>
      </c>
      <c r="D58" s="366">
        <f>IF(LN_IB13=0,0,LN_IB14/LN_IB13)</f>
        <v>0.47597418639822492</v>
      </c>
      <c r="E58" s="367">
        <f t="shared" si="6"/>
        <v>-1.4962405874275331E-2</v>
      </c>
      <c r="F58" s="362">
        <f t="shared" si="7"/>
        <v>-3.0477267553057581E-2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633</v>
      </c>
      <c r="C59" s="366">
        <f>IF(C42=0,0,C56/C42)</f>
        <v>2.5041379205470817</v>
      </c>
      <c r="D59" s="366">
        <f>IF(LN_IB1=0,0,LN_IB13/LN_IB1)</f>
        <v>2.8249185409976816</v>
      </c>
      <c r="E59" s="367">
        <f t="shared" si="6"/>
        <v>0.32078062045059985</v>
      </c>
      <c r="F59" s="362">
        <f t="shared" si="7"/>
        <v>0.12810022076600261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634</v>
      </c>
      <c r="C60" s="376">
        <f>C59*C45</f>
        <v>4374.728947195752</v>
      </c>
      <c r="D60" s="376">
        <f>LN_IB16*LN_IB4</f>
        <v>4858.8598905160125</v>
      </c>
      <c r="E60" s="376">
        <f t="shared" si="6"/>
        <v>484.13094332026049</v>
      </c>
      <c r="F60" s="362">
        <f t="shared" si="7"/>
        <v>0.11066535759446161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635</v>
      </c>
      <c r="C61" s="378">
        <f>IF(C60=0,0,C57/C60)</f>
        <v>5987.4463803729568</v>
      </c>
      <c r="D61" s="378">
        <f>IF(LN_IB17=0,0,LN_IB14/LN_IB17)</f>
        <v>6093.2292074912693</v>
      </c>
      <c r="E61" s="378">
        <f t="shared" si="6"/>
        <v>105.78282711831253</v>
      </c>
      <c r="F61" s="362">
        <f t="shared" si="7"/>
        <v>1.7667436232092541E-2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645</v>
      </c>
      <c r="C62" s="378">
        <f>C32-C61</f>
        <v>240.8417585399884</v>
      </c>
      <c r="D62" s="378">
        <f>LN_IA16-LN_IB18</f>
        <v>-17.448692833528185</v>
      </c>
      <c r="E62" s="378">
        <f t="shared" si="6"/>
        <v>-258.29045137351659</v>
      </c>
      <c r="F62" s="362">
        <f t="shared" si="7"/>
        <v>-1.0724487852077822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646</v>
      </c>
      <c r="C63" s="361">
        <f>C62*C60</f>
        <v>1053617.4127784169</v>
      </c>
      <c r="D63" s="361">
        <f>LN_IB19*LN_IB17</f>
        <v>-84780.753750764285</v>
      </c>
      <c r="E63" s="361">
        <f t="shared" si="6"/>
        <v>-1138398.1665291812</v>
      </c>
      <c r="F63" s="362">
        <f t="shared" si="7"/>
        <v>-1.0804663559300858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637</v>
      </c>
      <c r="C66" s="361">
        <f>C42+C56</f>
        <v>74660403</v>
      </c>
      <c r="D66" s="361">
        <f>LN_IB1+LN_IB13</f>
        <v>84219906</v>
      </c>
      <c r="E66" s="361">
        <f>D66-C66</f>
        <v>9559503</v>
      </c>
      <c r="F66" s="362">
        <f>IF(C66=0,0,E66/C66)</f>
        <v>0.1280397990886816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638</v>
      </c>
      <c r="C67" s="361">
        <f>C43+C57</f>
        <v>41153855</v>
      </c>
      <c r="D67" s="361">
        <f>LN_IB2+LN_IB14</f>
        <v>44202249</v>
      </c>
      <c r="E67" s="361">
        <f>D67-C67</f>
        <v>3048394</v>
      </c>
      <c r="F67" s="362">
        <f>IF(C67=0,0,E67/C67)</f>
        <v>7.4073109311387719E-2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639</v>
      </c>
      <c r="C68" s="361">
        <f>C66-C67</f>
        <v>33506548</v>
      </c>
      <c r="D68" s="361">
        <f>LN_IB21-LN_IB22</f>
        <v>40017657</v>
      </c>
      <c r="E68" s="361">
        <f>D68-C68</f>
        <v>6511109</v>
      </c>
      <c r="F68" s="362">
        <f>IF(C68=0,0,E68/C68)</f>
        <v>0.19432347969716249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648</v>
      </c>
      <c r="C70" s="353">
        <f>C50+C63</f>
        <v>-227265.90633707191</v>
      </c>
      <c r="D70" s="353">
        <f>LN_IB9+LN_IB20</f>
        <v>-1026508.4018259704</v>
      </c>
      <c r="E70" s="361">
        <f>D70-C70</f>
        <v>-799242.49548889848</v>
      </c>
      <c r="F70" s="362">
        <f>IF(C70=0,0,E70/C70)</f>
        <v>3.5167725259392548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650</v>
      </c>
      <c r="C73" s="400">
        <v>74660403</v>
      </c>
      <c r="D73" s="400">
        <v>84219906</v>
      </c>
      <c r="E73" s="400">
        <f>D73-C73</f>
        <v>9559503</v>
      </c>
      <c r="F73" s="401">
        <f>IF(C73=0,0,E73/C73)</f>
        <v>0.1280397990886816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651</v>
      </c>
      <c r="C74" s="400">
        <v>44992732</v>
      </c>
      <c r="D74" s="400">
        <v>49094597</v>
      </c>
      <c r="E74" s="400">
        <f>D74-C74</f>
        <v>4101865</v>
      </c>
      <c r="F74" s="401">
        <f>IF(C74=0,0,E74/C74)</f>
        <v>9.1167280084258936E-2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653</v>
      </c>
      <c r="C76" s="353">
        <f>C73-C74</f>
        <v>29667671</v>
      </c>
      <c r="D76" s="353">
        <f>LN_IB32-LN_IB33</f>
        <v>35125309</v>
      </c>
      <c r="E76" s="400">
        <f>D76-C76</f>
        <v>5457638</v>
      </c>
      <c r="F76" s="401">
        <f>IF(C76=0,0,E76/C76)</f>
        <v>0.18395909810379116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654</v>
      </c>
      <c r="C77" s="366">
        <f>IF(C73=0,0,C76/C73)</f>
        <v>0.39736821404513445</v>
      </c>
      <c r="D77" s="366">
        <f>IF(LN_IB1=0,0,LN_IB34/LN_IB32)</f>
        <v>0.41706658993421342</v>
      </c>
      <c r="E77" s="405">
        <f>D77-C77</f>
        <v>1.9698375889078967E-2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621</v>
      </c>
      <c r="C83" s="361">
        <v>925266</v>
      </c>
      <c r="D83" s="361">
        <v>1298459</v>
      </c>
      <c r="E83" s="361">
        <f t="shared" ref="E83:E95" si="8">D83-C83</f>
        <v>373193</v>
      </c>
      <c r="F83" s="362">
        <f t="shared" ref="F83:F95" si="9">IF(C83=0,0,E83/C83)</f>
        <v>0.40333590556661542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622</v>
      </c>
      <c r="C84" s="361">
        <v>263226</v>
      </c>
      <c r="D84" s="361">
        <v>330637</v>
      </c>
      <c r="E84" s="361">
        <f t="shared" si="8"/>
        <v>67411</v>
      </c>
      <c r="F84" s="362">
        <f t="shared" si="9"/>
        <v>0.25609552247878248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623</v>
      </c>
      <c r="C85" s="366">
        <f>IF(C83=0,0,C84/C83)</f>
        <v>0.28448683946022008</v>
      </c>
      <c r="D85" s="366">
        <f>IF(LN_IC1=0,0,LN_IC2/LN_IC1)</f>
        <v>0.25463799781125163</v>
      </c>
      <c r="E85" s="367">
        <f t="shared" si="8"/>
        <v>-2.9848841648968449E-2</v>
      </c>
      <c r="F85" s="362">
        <f t="shared" si="9"/>
        <v>-0.10492169587037163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90</v>
      </c>
      <c r="D86" s="369">
        <v>114</v>
      </c>
      <c r="E86" s="369">
        <f t="shared" si="8"/>
        <v>24</v>
      </c>
      <c r="F86" s="362">
        <f t="shared" si="9"/>
        <v>0.26666666666666666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624</v>
      </c>
      <c r="C87" s="372">
        <v>0.97450000000000003</v>
      </c>
      <c r="D87" s="372">
        <v>1.0903</v>
      </c>
      <c r="E87" s="373">
        <f t="shared" si="8"/>
        <v>0.11580000000000001</v>
      </c>
      <c r="F87" s="362">
        <f t="shared" si="9"/>
        <v>0.11883016931759878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625</v>
      </c>
      <c r="C88" s="376">
        <f>C86*C87</f>
        <v>87.704999999999998</v>
      </c>
      <c r="D88" s="376">
        <f>LN_IC4*LN_IC5</f>
        <v>124.2942</v>
      </c>
      <c r="E88" s="376">
        <f t="shared" si="8"/>
        <v>36.589200000000005</v>
      </c>
      <c r="F88" s="362">
        <f t="shared" si="9"/>
        <v>0.41718488113562519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626</v>
      </c>
      <c r="C89" s="378">
        <f>IF(C88=0,0,C84/C88)</f>
        <v>3001.2656062938258</v>
      </c>
      <c r="D89" s="378">
        <f>IF(LN_IC6=0,0,LN_IC2/LN_IC6)</f>
        <v>2660.1160794308985</v>
      </c>
      <c r="E89" s="378">
        <f t="shared" si="8"/>
        <v>-341.14952686292736</v>
      </c>
      <c r="F89" s="362">
        <f t="shared" si="9"/>
        <v>-0.11366855574112376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657</v>
      </c>
      <c r="C90" s="378">
        <f>C48-C89</f>
        <v>4416.8565800023725</v>
      </c>
      <c r="D90" s="378">
        <f>LN_IB7-LN_IC7</f>
        <v>4653.6009023440638</v>
      </c>
      <c r="E90" s="378">
        <f t="shared" si="8"/>
        <v>236.74432234169126</v>
      </c>
      <c r="F90" s="362">
        <f t="shared" si="9"/>
        <v>5.3600183309905909E-2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658</v>
      </c>
      <c r="C91" s="378">
        <f>C21-C89</f>
        <v>3781.7299144327808</v>
      </c>
      <c r="D91" s="378">
        <f>LN_IA7-LN_IC7</f>
        <v>4181.7263229574146</v>
      </c>
      <c r="E91" s="378">
        <f t="shared" si="8"/>
        <v>399.99640852463381</v>
      </c>
      <c r="F91" s="362">
        <f t="shared" si="9"/>
        <v>0.10577074978254469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643</v>
      </c>
      <c r="C92" s="353">
        <f>C91*C88</f>
        <v>331676.62214532704</v>
      </c>
      <c r="D92" s="353">
        <f>LN_IC9*LN_IC6</f>
        <v>519764.3279309335</v>
      </c>
      <c r="E92" s="353">
        <f t="shared" si="8"/>
        <v>188087.70578560646</v>
      </c>
      <c r="F92" s="362">
        <f t="shared" si="9"/>
        <v>0.56708158859382674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352</v>
      </c>
      <c r="D93" s="369">
        <v>392</v>
      </c>
      <c r="E93" s="369">
        <f t="shared" si="8"/>
        <v>40</v>
      </c>
      <c r="F93" s="362">
        <f t="shared" si="9"/>
        <v>0.11363636363636363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627</v>
      </c>
      <c r="C94" s="411">
        <f>IF(C93=0,0,C84/C93)</f>
        <v>747.80113636363637</v>
      </c>
      <c r="D94" s="411">
        <f>IF(LN_IC11=0,0,LN_IC2/LN_IC11)</f>
        <v>843.46173469387759</v>
      </c>
      <c r="E94" s="411">
        <f t="shared" si="8"/>
        <v>95.660598330241214</v>
      </c>
      <c r="F94" s="362">
        <f t="shared" si="9"/>
        <v>0.12792250998094759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628</v>
      </c>
      <c r="C95" s="379">
        <f>IF(C86=0,0,C93/C86)</f>
        <v>3.911111111111111</v>
      </c>
      <c r="D95" s="379">
        <f>IF(LN_IC4=0,0,LN_IC11/LN_IC4)</f>
        <v>3.4385964912280702</v>
      </c>
      <c r="E95" s="379">
        <f t="shared" si="8"/>
        <v>-0.47251461988304078</v>
      </c>
      <c r="F95" s="362">
        <f t="shared" si="9"/>
        <v>-0.12081339712918657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630</v>
      </c>
      <c r="C98" s="361">
        <v>4234743</v>
      </c>
      <c r="D98" s="361">
        <v>5212131</v>
      </c>
      <c r="E98" s="361">
        <f t="shared" ref="E98:E106" si="10">D98-C98</f>
        <v>977388</v>
      </c>
      <c r="F98" s="362">
        <f t="shared" ref="F98:F106" si="11">IF(C98=0,0,E98/C98)</f>
        <v>0.23080219980291602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631</v>
      </c>
      <c r="C99" s="361">
        <v>1204728</v>
      </c>
      <c r="D99" s="361">
        <v>1327208</v>
      </c>
      <c r="E99" s="361">
        <f t="shared" si="10"/>
        <v>122480</v>
      </c>
      <c r="F99" s="362">
        <f t="shared" si="11"/>
        <v>0.10166610222390449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632</v>
      </c>
      <c r="C100" s="366">
        <f>IF(C98=0,0,C99/C98)</f>
        <v>0.28448668549661693</v>
      </c>
      <c r="D100" s="366">
        <f>IF(LN_IC14=0,0,LN_IC15/LN_IC14)</f>
        <v>0.25463826599907025</v>
      </c>
      <c r="E100" s="367">
        <f t="shared" si="10"/>
        <v>-2.9848419497546685E-2</v>
      </c>
      <c r="F100" s="362">
        <f t="shared" si="11"/>
        <v>-0.1049202687480488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633</v>
      </c>
      <c r="C101" s="366">
        <f>IF(C83=0,0,C98/C83)</f>
        <v>4.5767844057816891</v>
      </c>
      <c r="D101" s="366">
        <f>IF(LN_IC1=0,0,LN_IC14/LN_IC1)</f>
        <v>4.0140897787300176</v>
      </c>
      <c r="E101" s="367">
        <f t="shared" si="10"/>
        <v>-0.5626946270516715</v>
      </c>
      <c r="F101" s="362">
        <f t="shared" si="11"/>
        <v>-0.122945408208619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634</v>
      </c>
      <c r="C102" s="376">
        <f>C101*C86</f>
        <v>411.91059652035204</v>
      </c>
      <c r="D102" s="376">
        <f>LN_IC17*LN_IC4</f>
        <v>457.60623477522199</v>
      </c>
      <c r="E102" s="376">
        <f t="shared" si="10"/>
        <v>45.695638254869948</v>
      </c>
      <c r="F102" s="362">
        <f t="shared" si="11"/>
        <v>0.1109358162690825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635</v>
      </c>
      <c r="C103" s="378">
        <f>IF(C102=0,0,C99/C102)</f>
        <v>2924.7317504745856</v>
      </c>
      <c r="D103" s="378">
        <f>IF(LN_IC18=0,0,LN_IC15/LN_IC18)</f>
        <v>2900.32761606041</v>
      </c>
      <c r="E103" s="378">
        <f t="shared" si="10"/>
        <v>-24.404134414175587</v>
      </c>
      <c r="F103" s="362">
        <f t="shared" si="11"/>
        <v>-8.3440590441210948E-3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660</v>
      </c>
      <c r="C104" s="378">
        <f>C61-C103</f>
        <v>3062.7146298983712</v>
      </c>
      <c r="D104" s="378">
        <f>LN_IB18-LN_IC19</f>
        <v>3192.9015914308593</v>
      </c>
      <c r="E104" s="378">
        <f t="shared" si="10"/>
        <v>130.18696153248811</v>
      </c>
      <c r="F104" s="362">
        <f t="shared" si="11"/>
        <v>4.2507049224108764E-2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661</v>
      </c>
      <c r="C105" s="378">
        <f>C32-C103</f>
        <v>3303.5563884383596</v>
      </c>
      <c r="D105" s="378">
        <f>LN_IA16-LN_IC19</f>
        <v>3175.4528985973311</v>
      </c>
      <c r="E105" s="378">
        <f t="shared" si="10"/>
        <v>-128.10348984102848</v>
      </c>
      <c r="F105" s="362">
        <f t="shared" si="11"/>
        <v>-3.8777449142190945E-2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646</v>
      </c>
      <c r="C106" s="361">
        <f>C105*C102</f>
        <v>1360769.8826002646</v>
      </c>
      <c r="D106" s="361">
        <f>LN_IC21*LN_IC18</f>
        <v>1453107.0446331894</v>
      </c>
      <c r="E106" s="361">
        <f t="shared" si="10"/>
        <v>92337.162032924825</v>
      </c>
      <c r="F106" s="362">
        <f t="shared" si="11"/>
        <v>6.7856559153469664E-2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637</v>
      </c>
      <c r="C109" s="361">
        <f>C83+C98</f>
        <v>5160009</v>
      </c>
      <c r="D109" s="361">
        <f>LN_IC1+LN_IC14</f>
        <v>6510590</v>
      </c>
      <c r="E109" s="361">
        <f>D109-C109</f>
        <v>1350581</v>
      </c>
      <c r="F109" s="362">
        <f>IF(C109=0,0,E109/C109)</f>
        <v>0.26174004735263057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638</v>
      </c>
      <c r="C110" s="361">
        <f>C84+C99</f>
        <v>1467954</v>
      </c>
      <c r="D110" s="361">
        <f>LN_IC2+LN_IC15</f>
        <v>1657845</v>
      </c>
      <c r="E110" s="361">
        <f>D110-C110</f>
        <v>189891</v>
      </c>
      <c r="F110" s="362">
        <f>IF(C110=0,0,E110/C110)</f>
        <v>0.12935759567397889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639</v>
      </c>
      <c r="C111" s="361">
        <f>C109-C110</f>
        <v>3692055</v>
      </c>
      <c r="D111" s="361">
        <f>LN_IC23-LN_IC24</f>
        <v>4852745</v>
      </c>
      <c r="E111" s="361">
        <f>D111-C111</f>
        <v>1160690</v>
      </c>
      <c r="F111" s="362">
        <f>IF(C111=0,0,E111/C111)</f>
        <v>0.31437505670961025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648</v>
      </c>
      <c r="C113" s="361">
        <f>C92+C106</f>
        <v>1692446.5047455917</v>
      </c>
      <c r="D113" s="361">
        <f>LN_IC10+LN_IC22</f>
        <v>1972871.372564123</v>
      </c>
      <c r="E113" s="361">
        <f>D113-C113</f>
        <v>280424.86781853135</v>
      </c>
      <c r="F113" s="362">
        <f>IF(C113=0,0,E113/C113)</f>
        <v>0.16569201273554274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621</v>
      </c>
      <c r="C118" s="361">
        <v>12062026</v>
      </c>
      <c r="D118" s="361">
        <v>11890723</v>
      </c>
      <c r="E118" s="361">
        <f t="shared" ref="E118:E130" si="12">D118-C118</f>
        <v>-171303</v>
      </c>
      <c r="F118" s="362">
        <f t="shared" ref="F118:F130" si="13">IF(C118=0,0,E118/C118)</f>
        <v>-1.4201843040298538E-2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622</v>
      </c>
      <c r="C119" s="361">
        <v>5550692</v>
      </c>
      <c r="D119" s="361">
        <v>5127166</v>
      </c>
      <c r="E119" s="361">
        <f t="shared" si="12"/>
        <v>-423526</v>
      </c>
      <c r="F119" s="362">
        <f t="shared" si="13"/>
        <v>-7.6301477365344719E-2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623</v>
      </c>
      <c r="C120" s="366">
        <f>IF(C118=0,0,C119/C118)</f>
        <v>0.4601790777104941</v>
      </c>
      <c r="D120" s="366">
        <f>IF(LN_ID1=0,0,LN_1D2/LN_ID1)</f>
        <v>0.43119043307963695</v>
      </c>
      <c r="E120" s="367">
        <f t="shared" si="12"/>
        <v>-2.8988644630857152E-2</v>
      </c>
      <c r="F120" s="362">
        <f t="shared" si="13"/>
        <v>-6.299426904648274E-2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1192</v>
      </c>
      <c r="D121" s="369">
        <v>1103</v>
      </c>
      <c r="E121" s="369">
        <f t="shared" si="12"/>
        <v>-89</v>
      </c>
      <c r="F121" s="362">
        <f t="shared" si="13"/>
        <v>-7.4664429530201346E-2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624</v>
      </c>
      <c r="C122" s="372">
        <v>0.97260000000000002</v>
      </c>
      <c r="D122" s="372">
        <v>1.0074000000000001</v>
      </c>
      <c r="E122" s="373">
        <f t="shared" si="12"/>
        <v>3.4800000000000053E-2</v>
      </c>
      <c r="F122" s="362">
        <f t="shared" si="13"/>
        <v>3.5780382479950704E-2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625</v>
      </c>
      <c r="C123" s="376">
        <f>C121*C122</f>
        <v>1159.3392000000001</v>
      </c>
      <c r="D123" s="376">
        <f>LN_ID4*LN_ID5</f>
        <v>1111.1622</v>
      </c>
      <c r="E123" s="376">
        <f t="shared" si="12"/>
        <v>-48.177000000000135</v>
      </c>
      <c r="F123" s="362">
        <f t="shared" si="13"/>
        <v>-4.1555568896488732E-2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626</v>
      </c>
      <c r="C124" s="378">
        <f>IF(C123=0,0,C119/C123)</f>
        <v>4787.8067092012407</v>
      </c>
      <c r="D124" s="378">
        <f>IF(LN_ID6=0,0,LN_1D2/LN_ID6)</f>
        <v>4614.2372373718254</v>
      </c>
      <c r="E124" s="378">
        <f t="shared" si="12"/>
        <v>-173.56947182941531</v>
      </c>
      <c r="F124" s="362">
        <f t="shared" si="13"/>
        <v>-3.6252397469565399E-2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665</v>
      </c>
      <c r="C125" s="378">
        <f>C48-C124</f>
        <v>2630.3154770949577</v>
      </c>
      <c r="D125" s="378">
        <f>LN_IB7-LN_ID7</f>
        <v>2699.4797444031365</v>
      </c>
      <c r="E125" s="378">
        <f t="shared" si="12"/>
        <v>69.164267308178751</v>
      </c>
      <c r="F125" s="362">
        <f t="shared" si="13"/>
        <v>2.6295046320666818E-2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666</v>
      </c>
      <c r="C126" s="378">
        <f>C21-C124</f>
        <v>1995.188811525366</v>
      </c>
      <c r="D126" s="378">
        <f>LN_IA7-LN_ID7</f>
        <v>2227.6051650164873</v>
      </c>
      <c r="E126" s="378">
        <f t="shared" si="12"/>
        <v>232.4163534911213</v>
      </c>
      <c r="F126" s="362">
        <f t="shared" si="13"/>
        <v>0.11648840057068777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643</v>
      </c>
      <c r="C127" s="391">
        <f>C126*C123</f>
        <v>2313100.6006027688</v>
      </c>
      <c r="D127" s="391">
        <f>LN_ID9*LN_ID6</f>
        <v>2475230.6558910832</v>
      </c>
      <c r="E127" s="391">
        <f t="shared" si="12"/>
        <v>162130.05528831435</v>
      </c>
      <c r="F127" s="362">
        <f t="shared" si="13"/>
        <v>7.0092089918642117E-2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4733</v>
      </c>
      <c r="D128" s="369">
        <v>4172</v>
      </c>
      <c r="E128" s="369">
        <f t="shared" si="12"/>
        <v>-561</v>
      </c>
      <c r="F128" s="362">
        <f t="shared" si="13"/>
        <v>-0.11852947390661314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627</v>
      </c>
      <c r="C129" s="378">
        <f>IF(C128=0,0,C119/C128)</f>
        <v>1172.7639974646102</v>
      </c>
      <c r="D129" s="378">
        <f>IF(LN_ID11=0,0,LN_1D2/LN_ID11)</f>
        <v>1228.9467881112175</v>
      </c>
      <c r="E129" s="378">
        <f t="shared" si="12"/>
        <v>56.182790646607373</v>
      </c>
      <c r="F129" s="362">
        <f t="shared" si="13"/>
        <v>4.790630575978503E-2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628</v>
      </c>
      <c r="C130" s="379">
        <f>IF(C121=0,0,C128/C121)</f>
        <v>3.9706375838926173</v>
      </c>
      <c r="D130" s="379">
        <f>IF(LN_ID4=0,0,LN_ID11/LN_ID4)</f>
        <v>3.7824116047144152</v>
      </c>
      <c r="E130" s="379">
        <f t="shared" si="12"/>
        <v>-0.18822597917820216</v>
      </c>
      <c r="F130" s="362">
        <f t="shared" si="13"/>
        <v>-4.740447225447221E-2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630</v>
      </c>
      <c r="C133" s="361">
        <v>26479666</v>
      </c>
      <c r="D133" s="361">
        <v>30243245</v>
      </c>
      <c r="E133" s="361">
        <f t="shared" ref="E133:E141" si="14">D133-C133</f>
        <v>3763579</v>
      </c>
      <c r="F133" s="362">
        <f t="shared" ref="F133:F141" si="15">IF(C133=0,0,E133/C133)</f>
        <v>0.14213090905300693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631</v>
      </c>
      <c r="C134" s="361">
        <v>9301957</v>
      </c>
      <c r="D134" s="361">
        <v>9751063</v>
      </c>
      <c r="E134" s="361">
        <f t="shared" si="14"/>
        <v>449106</v>
      </c>
      <c r="F134" s="362">
        <f t="shared" si="15"/>
        <v>4.8280808006315228E-2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632</v>
      </c>
      <c r="C135" s="366">
        <f>IF(C133=0,0,C134/C133)</f>
        <v>0.3512867949316279</v>
      </c>
      <c r="D135" s="366">
        <f>IF(LN_ID14=0,0,LN_ID15/LN_ID14)</f>
        <v>0.32242118859930541</v>
      </c>
      <c r="E135" s="367">
        <f t="shared" si="14"/>
        <v>-2.8865606332322491E-2</v>
      </c>
      <c r="F135" s="362">
        <f t="shared" si="15"/>
        <v>-8.2171054388596357E-2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633</v>
      </c>
      <c r="C136" s="366">
        <f>IF(C118=0,0,C133/C118)</f>
        <v>2.1952917362307129</v>
      </c>
      <c r="D136" s="366">
        <f>IF(LN_ID1=0,0,LN_ID14/LN_ID1)</f>
        <v>2.5434319679299566</v>
      </c>
      <c r="E136" s="367">
        <f t="shared" si="14"/>
        <v>0.34814023169924369</v>
      </c>
      <c r="F136" s="362">
        <f t="shared" si="15"/>
        <v>0.1585849506712925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634</v>
      </c>
      <c r="C137" s="376">
        <f>C136*C121</f>
        <v>2616.7877495870098</v>
      </c>
      <c r="D137" s="376">
        <f>LN_ID17*LN_ID4</f>
        <v>2805.4054606267423</v>
      </c>
      <c r="E137" s="376">
        <f t="shared" si="14"/>
        <v>188.61771103973251</v>
      </c>
      <c r="F137" s="362">
        <f t="shared" si="15"/>
        <v>7.2079866267144049E-2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635</v>
      </c>
      <c r="C138" s="378">
        <f>IF(C137=0,0,C134/C137)</f>
        <v>3554.723535169433</v>
      </c>
      <c r="D138" s="378">
        <f>IF(LN_ID18=0,0,LN_ID15/LN_ID18)</f>
        <v>3475.8123689620115</v>
      </c>
      <c r="E138" s="378">
        <f t="shared" si="14"/>
        <v>-78.911166207421502</v>
      </c>
      <c r="F138" s="362">
        <f t="shared" si="15"/>
        <v>-2.2198960179799263E-2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668</v>
      </c>
      <c r="C139" s="378">
        <f>C61-C138</f>
        <v>2432.7228452035238</v>
      </c>
      <c r="D139" s="378">
        <f>LN_IB18-LN_ID19</f>
        <v>2617.4168385292578</v>
      </c>
      <c r="E139" s="378">
        <f t="shared" si="14"/>
        <v>184.69399332573403</v>
      </c>
      <c r="F139" s="362">
        <f t="shared" si="15"/>
        <v>7.5920688495150934E-2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669</v>
      </c>
      <c r="C140" s="378">
        <f>C32-C138</f>
        <v>2673.5646037435122</v>
      </c>
      <c r="D140" s="378">
        <f>LN_IA16-LN_ID19</f>
        <v>2599.9681456957296</v>
      </c>
      <c r="E140" s="378">
        <f t="shared" si="14"/>
        <v>-73.596458047782562</v>
      </c>
      <c r="F140" s="362">
        <f t="shared" si="15"/>
        <v>-2.7527465745444551E-2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646</v>
      </c>
      <c r="C141" s="353">
        <f>C140*C137</f>
        <v>6996151.102805471</v>
      </c>
      <c r="D141" s="353">
        <f>LN_ID21*LN_ID18</f>
        <v>7293964.8333903849</v>
      </c>
      <c r="E141" s="353">
        <f t="shared" si="14"/>
        <v>297813.73058491386</v>
      </c>
      <c r="F141" s="362">
        <f t="shared" si="15"/>
        <v>4.2568224472094372E-2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637</v>
      </c>
      <c r="C144" s="361">
        <f>C118+C133</f>
        <v>38541692</v>
      </c>
      <c r="D144" s="361">
        <f>LN_ID1+LN_ID14</f>
        <v>42133968</v>
      </c>
      <c r="E144" s="361">
        <f>D144-C144</f>
        <v>3592276</v>
      </c>
      <c r="F144" s="362">
        <f>IF(C144=0,0,E144/C144)</f>
        <v>9.3204937655565298E-2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638</v>
      </c>
      <c r="C145" s="361">
        <f>C119+C134</f>
        <v>14852649</v>
      </c>
      <c r="D145" s="361">
        <f>LN_1D2+LN_ID15</f>
        <v>14878229</v>
      </c>
      <c r="E145" s="361">
        <f>D145-C145</f>
        <v>25580</v>
      </c>
      <c r="F145" s="362">
        <f>IF(C145=0,0,E145/C145)</f>
        <v>1.7222517006898904E-3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639</v>
      </c>
      <c r="C146" s="361">
        <f>C144-C145</f>
        <v>23689043</v>
      </c>
      <c r="D146" s="361">
        <f>LN_ID23-LN_ID24</f>
        <v>27255739</v>
      </c>
      <c r="E146" s="361">
        <f>D146-C146</f>
        <v>3566696</v>
      </c>
      <c r="F146" s="362">
        <f>IF(C146=0,0,E146/C146)</f>
        <v>0.15056311054861946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648</v>
      </c>
      <c r="C148" s="361">
        <f>C127+C141</f>
        <v>9309251.7034082394</v>
      </c>
      <c r="D148" s="361">
        <f>LN_ID10+LN_ID22</f>
        <v>9769195.4892814681</v>
      </c>
      <c r="E148" s="361">
        <f>D148-C148</f>
        <v>459943.78587322868</v>
      </c>
      <c r="F148" s="415">
        <f>IF(C148=0,0,E148/C148)</f>
        <v>4.9407170471589809E-2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621</v>
      </c>
      <c r="C153" s="361">
        <v>89344</v>
      </c>
      <c r="D153" s="361">
        <v>71313</v>
      </c>
      <c r="E153" s="361">
        <f t="shared" ref="E153:E165" si="16">D153-C153</f>
        <v>-18031</v>
      </c>
      <c r="F153" s="362">
        <f t="shared" ref="F153:F165" si="17">IF(C153=0,0,E153/C153)</f>
        <v>-0.20181545487106017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622</v>
      </c>
      <c r="C154" s="361">
        <v>33957</v>
      </c>
      <c r="D154" s="361">
        <v>30421</v>
      </c>
      <c r="E154" s="361">
        <f t="shared" si="16"/>
        <v>-3536</v>
      </c>
      <c r="F154" s="362">
        <f t="shared" si="17"/>
        <v>-0.10413169596843067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623</v>
      </c>
      <c r="C155" s="366">
        <f>IF(C153=0,0,C154/C153)</f>
        <v>0.38007029011461319</v>
      </c>
      <c r="D155" s="366">
        <f>IF(LN_IE1=0,0,LN_IE2/LN_IE1)</f>
        <v>0.42658421325704993</v>
      </c>
      <c r="E155" s="367">
        <f t="shared" si="16"/>
        <v>4.6513923142436742E-2</v>
      </c>
      <c r="F155" s="362">
        <f t="shared" si="17"/>
        <v>0.12238242333650995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8</v>
      </c>
      <c r="D156" s="419">
        <v>2</v>
      </c>
      <c r="E156" s="419">
        <f t="shared" si="16"/>
        <v>-6</v>
      </c>
      <c r="F156" s="362">
        <f t="shared" si="17"/>
        <v>-0.75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624</v>
      </c>
      <c r="C157" s="372">
        <v>1.0669999999999999</v>
      </c>
      <c r="D157" s="372">
        <v>1.512</v>
      </c>
      <c r="E157" s="373">
        <f t="shared" si="16"/>
        <v>0.44500000000000006</v>
      </c>
      <c r="F157" s="362">
        <f t="shared" si="17"/>
        <v>0.4170571696344893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625</v>
      </c>
      <c r="C158" s="376">
        <f>C156*C157</f>
        <v>8.5359999999999996</v>
      </c>
      <c r="D158" s="376">
        <f>LN_IE4*LN_IE5</f>
        <v>3.024</v>
      </c>
      <c r="E158" s="376">
        <f t="shared" si="16"/>
        <v>-5.5119999999999996</v>
      </c>
      <c r="F158" s="362">
        <f t="shared" si="17"/>
        <v>-0.64573570759137766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626</v>
      </c>
      <c r="C159" s="378">
        <f>IF(C158=0,0,C154/C158)</f>
        <v>3978.0927835051548</v>
      </c>
      <c r="D159" s="378">
        <f>IF(LN_IE6=0,0,LN_IE2/LN_IE6)</f>
        <v>10059.854497354498</v>
      </c>
      <c r="E159" s="378">
        <f t="shared" si="16"/>
        <v>6081.7617138493424</v>
      </c>
      <c r="F159" s="362">
        <f t="shared" si="17"/>
        <v>1.5288134402160964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673</v>
      </c>
      <c r="C160" s="378">
        <f>C48-C159</f>
        <v>3440.0294027910436</v>
      </c>
      <c r="D160" s="378">
        <f>LN_IB7-LN_IE7</f>
        <v>-2746.1375155795358</v>
      </c>
      <c r="E160" s="378">
        <f t="shared" si="16"/>
        <v>-6186.1669183705799</v>
      </c>
      <c r="F160" s="362">
        <f t="shared" si="17"/>
        <v>-1.7982889661790324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674</v>
      </c>
      <c r="C161" s="378">
        <f>C21-C159</f>
        <v>2804.9027372214518</v>
      </c>
      <c r="D161" s="378">
        <f>LN_IA7-LN_IE7</f>
        <v>-3218.012094966185</v>
      </c>
      <c r="E161" s="378">
        <f t="shared" si="16"/>
        <v>-6022.9148321876364</v>
      </c>
      <c r="F161" s="362">
        <f t="shared" si="17"/>
        <v>-2.1472811703103689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643</v>
      </c>
      <c r="C162" s="391">
        <f>C161*C158</f>
        <v>23942.649764922313</v>
      </c>
      <c r="D162" s="391">
        <f>LN_IE9*LN_IE6</f>
        <v>-9731.2685751777444</v>
      </c>
      <c r="E162" s="391">
        <f t="shared" si="16"/>
        <v>-33673.918340100056</v>
      </c>
      <c r="F162" s="362">
        <f t="shared" si="17"/>
        <v>-1.406440751993739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24</v>
      </c>
      <c r="D163" s="369">
        <v>31</v>
      </c>
      <c r="E163" s="419">
        <f t="shared" si="16"/>
        <v>7</v>
      </c>
      <c r="F163" s="362">
        <f t="shared" si="17"/>
        <v>0.29166666666666669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627</v>
      </c>
      <c r="C164" s="378">
        <f>IF(C163=0,0,C154/C163)</f>
        <v>1414.875</v>
      </c>
      <c r="D164" s="378">
        <f>IF(LN_IE11=0,0,LN_IE2/LN_IE11)</f>
        <v>981.32258064516134</v>
      </c>
      <c r="E164" s="378">
        <f t="shared" si="16"/>
        <v>-433.55241935483866</v>
      </c>
      <c r="F164" s="362">
        <f t="shared" si="17"/>
        <v>-0.30642453881426884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628</v>
      </c>
      <c r="C165" s="379">
        <f>IF(C156=0,0,C163/C156)</f>
        <v>3</v>
      </c>
      <c r="D165" s="379">
        <f>IF(LN_IE4=0,0,LN_IE11/LN_IE4)</f>
        <v>15.5</v>
      </c>
      <c r="E165" s="379">
        <f t="shared" si="16"/>
        <v>12.5</v>
      </c>
      <c r="F165" s="362">
        <f t="shared" si="17"/>
        <v>4.166666666666667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630</v>
      </c>
      <c r="C168" s="424">
        <v>143655</v>
      </c>
      <c r="D168" s="424">
        <v>205041</v>
      </c>
      <c r="E168" s="424">
        <f t="shared" ref="E168:E176" si="18">D168-C168</f>
        <v>61386</v>
      </c>
      <c r="F168" s="362">
        <f t="shared" ref="F168:F176" si="19">IF(C168=0,0,E168/C168)</f>
        <v>0.42731544324945181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631</v>
      </c>
      <c r="C169" s="424">
        <v>33912</v>
      </c>
      <c r="D169" s="424">
        <v>37780</v>
      </c>
      <c r="E169" s="424">
        <f t="shared" si="18"/>
        <v>3868</v>
      </c>
      <c r="F169" s="362">
        <f t="shared" si="19"/>
        <v>0.11405991979240387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632</v>
      </c>
      <c r="C170" s="366">
        <f>IF(C168=0,0,C169/C168)</f>
        <v>0.23606557377049181</v>
      </c>
      <c r="D170" s="366">
        <f>IF(LN_IE14=0,0,LN_IE15/LN_IE14)</f>
        <v>0.18425583176047716</v>
      </c>
      <c r="E170" s="367">
        <f t="shared" si="18"/>
        <v>-5.1809742010014648E-2</v>
      </c>
      <c r="F170" s="362">
        <f t="shared" si="19"/>
        <v>-0.21947182379242317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633</v>
      </c>
      <c r="C171" s="366">
        <f>IF(C153=0,0,C168/C153)</f>
        <v>1.6078863717765044</v>
      </c>
      <c r="D171" s="366">
        <f>IF(LN_IE1=0,0,LN_IE14/LN_IE1)</f>
        <v>2.8752261158554542</v>
      </c>
      <c r="E171" s="367">
        <f t="shared" si="18"/>
        <v>1.2673397440789498</v>
      </c>
      <c r="F171" s="362">
        <f t="shared" si="19"/>
        <v>0.78820230479266074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634</v>
      </c>
      <c r="C172" s="376">
        <f>C171*C156</f>
        <v>12.863090974212035</v>
      </c>
      <c r="D172" s="376">
        <f>LN_IE17*LN_IE4</f>
        <v>5.7504522317109084</v>
      </c>
      <c r="E172" s="376">
        <f t="shared" si="18"/>
        <v>-7.1126387425011268</v>
      </c>
      <c r="F172" s="362">
        <f t="shared" si="19"/>
        <v>-0.55294942380183476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635</v>
      </c>
      <c r="C173" s="378">
        <f>IF(C172=0,0,C169/C172)</f>
        <v>2636.3803278688524</v>
      </c>
      <c r="D173" s="378">
        <f>IF(LN_IE18=0,0,LN_IE15/LN_IE18)</f>
        <v>6569.9180651674542</v>
      </c>
      <c r="E173" s="378">
        <f t="shared" si="18"/>
        <v>3933.5377372986018</v>
      </c>
      <c r="F173" s="362">
        <f t="shared" si="19"/>
        <v>1.4920221091462631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676</v>
      </c>
      <c r="C174" s="378">
        <f>C61-C173</f>
        <v>3351.0660525041044</v>
      </c>
      <c r="D174" s="378">
        <f>LN_IB18-LN_IE19</f>
        <v>-476.68885767618485</v>
      </c>
      <c r="E174" s="378">
        <f t="shared" si="18"/>
        <v>-3827.7549101802892</v>
      </c>
      <c r="F174" s="362">
        <f t="shared" si="19"/>
        <v>-1.1422499139699069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677</v>
      </c>
      <c r="C175" s="378">
        <f>C32-C173</f>
        <v>3591.9078110440928</v>
      </c>
      <c r="D175" s="378">
        <f>LN_IA16-LN_IE19</f>
        <v>-494.13755050971304</v>
      </c>
      <c r="E175" s="378">
        <f t="shared" si="18"/>
        <v>-4086.0453615538058</v>
      </c>
      <c r="F175" s="362">
        <f t="shared" si="19"/>
        <v>-1.1375696639513913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646</v>
      </c>
      <c r="C176" s="353">
        <f>C175*C172</f>
        <v>46203.036944442982</v>
      </c>
      <c r="D176" s="353">
        <f>LN_IE21*LN_IE18</f>
        <v>-2841.5143801007412</v>
      </c>
      <c r="E176" s="353">
        <f t="shared" si="18"/>
        <v>-49044.551324543725</v>
      </c>
      <c r="F176" s="362">
        <f t="shared" si="19"/>
        <v>-1.0615005975368574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637</v>
      </c>
      <c r="C179" s="361">
        <f>C153+C168</f>
        <v>232999</v>
      </c>
      <c r="D179" s="361">
        <f>LN_IE1+LN_IE14</f>
        <v>276354</v>
      </c>
      <c r="E179" s="361">
        <f>D179-C179</f>
        <v>43355</v>
      </c>
      <c r="F179" s="362">
        <f>IF(C179=0,0,E179/C179)</f>
        <v>0.18607375997321876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638</v>
      </c>
      <c r="C180" s="361">
        <f>C154+C169</f>
        <v>67869</v>
      </c>
      <c r="D180" s="361">
        <f>LN_IE15+LN_IE2</f>
        <v>68201</v>
      </c>
      <c r="E180" s="361">
        <f>D180-C180</f>
        <v>332</v>
      </c>
      <c r="F180" s="362">
        <f>IF(C180=0,0,E180/C180)</f>
        <v>4.8917768053161241E-3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639</v>
      </c>
      <c r="C181" s="361">
        <f>C179-C180</f>
        <v>165130</v>
      </c>
      <c r="D181" s="361">
        <f>LN_IE23-LN_IE24</f>
        <v>208153</v>
      </c>
      <c r="E181" s="361">
        <f>D181-C181</f>
        <v>43023</v>
      </c>
      <c r="F181" s="362">
        <f>IF(C181=0,0,E181/C181)</f>
        <v>0.26054018046387695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679</v>
      </c>
      <c r="C183" s="361">
        <f>C162+C176</f>
        <v>70145.686709365298</v>
      </c>
      <c r="D183" s="361">
        <f>LN_IE10+LN_IE22</f>
        <v>-12572.782955278486</v>
      </c>
      <c r="E183" s="353">
        <f>D183-C183</f>
        <v>-82718.469664643781</v>
      </c>
      <c r="F183" s="362">
        <f>IF(C183=0,0,E183/C183)</f>
        <v>-1.1792381477049516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621</v>
      </c>
      <c r="C188" s="361">
        <f>C118+C153</f>
        <v>12151370</v>
      </c>
      <c r="D188" s="361">
        <f>LN_ID1+LN_IE1</f>
        <v>11962036</v>
      </c>
      <c r="E188" s="361">
        <f t="shared" ref="E188:E200" si="20">D188-C188</f>
        <v>-189334</v>
      </c>
      <c r="F188" s="362">
        <f t="shared" ref="F188:F200" si="21">IF(C188=0,0,E188/C188)</f>
        <v>-1.5581288365015633E-2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622</v>
      </c>
      <c r="C189" s="361">
        <f>C119+C154</f>
        <v>5584649</v>
      </c>
      <c r="D189" s="361">
        <f>LN_1D2+LN_IE2</f>
        <v>5157587</v>
      </c>
      <c r="E189" s="361">
        <f t="shared" si="20"/>
        <v>-427062</v>
      </c>
      <c r="F189" s="362">
        <f t="shared" si="21"/>
        <v>-7.6470696725971496E-2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623</v>
      </c>
      <c r="C190" s="366">
        <f>IF(C188=0,0,C189/C188)</f>
        <v>0.45959007091381465</v>
      </c>
      <c r="D190" s="366">
        <f>IF(LN_IF1=0,0,LN_IF2/LN_IF1)</f>
        <v>0.4311629725909536</v>
      </c>
      <c r="E190" s="367">
        <f t="shared" si="20"/>
        <v>-2.8427098322861055E-2</v>
      </c>
      <c r="F190" s="362">
        <f t="shared" si="21"/>
        <v>-6.1853160287685789E-2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1200</v>
      </c>
      <c r="D191" s="369">
        <f>LN_ID4+LN_IE4</f>
        <v>1105</v>
      </c>
      <c r="E191" s="369">
        <f t="shared" si="20"/>
        <v>-95</v>
      </c>
      <c r="F191" s="362">
        <f t="shared" si="21"/>
        <v>-7.9166666666666663E-2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624</v>
      </c>
      <c r="C192" s="372">
        <f>IF((C121+C156)=0,0,(C123+C158)/(C121+C156))</f>
        <v>0.9732293333333335</v>
      </c>
      <c r="D192" s="372">
        <f>IF((LN_ID4+LN_IE4)=0,0,(LN_ID6+LN_IE6)/(LN_ID4+LN_IE4))</f>
        <v>1.0083133031674207</v>
      </c>
      <c r="E192" s="373">
        <f t="shared" si="20"/>
        <v>3.5083969834087236E-2</v>
      </c>
      <c r="F192" s="362">
        <f t="shared" si="21"/>
        <v>3.6049026300845055E-2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625</v>
      </c>
      <c r="C193" s="376">
        <f>C123+C158</f>
        <v>1167.8752000000002</v>
      </c>
      <c r="D193" s="376">
        <f>LN_IF4*LN_IF5</f>
        <v>1114.1861999999999</v>
      </c>
      <c r="E193" s="376">
        <f t="shared" si="20"/>
        <v>-53.689000000000306</v>
      </c>
      <c r="F193" s="362">
        <f t="shared" si="21"/>
        <v>-4.5971521614638529E-2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626</v>
      </c>
      <c r="C194" s="378">
        <f>IF(C193=0,0,C189/C193)</f>
        <v>4781.8885100051775</v>
      </c>
      <c r="D194" s="378">
        <f>IF(LN_IF6=0,0,LN_IF2/LN_IF6)</f>
        <v>4629.0171247857861</v>
      </c>
      <c r="E194" s="378">
        <f t="shared" si="20"/>
        <v>-152.87138521939141</v>
      </c>
      <c r="F194" s="362">
        <f t="shared" si="21"/>
        <v>-3.1968830912627422E-2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682</v>
      </c>
      <c r="C195" s="378">
        <f>C48-C194</f>
        <v>2636.2336762910209</v>
      </c>
      <c r="D195" s="378">
        <f>LN_IB7-LN_IF7</f>
        <v>2684.6998569891757</v>
      </c>
      <c r="E195" s="378">
        <f t="shared" si="20"/>
        <v>48.466180698154858</v>
      </c>
      <c r="F195" s="362">
        <f t="shared" si="21"/>
        <v>1.8384629987104582E-2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683</v>
      </c>
      <c r="C196" s="378">
        <f>C21-C194</f>
        <v>2001.1070107214291</v>
      </c>
      <c r="D196" s="378">
        <f>LN_IA7-LN_IF7</f>
        <v>2212.8252776025265</v>
      </c>
      <c r="E196" s="378">
        <f t="shared" si="20"/>
        <v>211.71826688109741</v>
      </c>
      <c r="F196" s="362">
        <f t="shared" si="21"/>
        <v>0.10580057225663798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643</v>
      </c>
      <c r="C197" s="391">
        <f>C127+C162</f>
        <v>2337043.2503676913</v>
      </c>
      <c r="D197" s="391">
        <f>LN_IF9*LN_IF6</f>
        <v>2465499.3873159038</v>
      </c>
      <c r="E197" s="391">
        <f t="shared" si="20"/>
        <v>128456.13694821252</v>
      </c>
      <c r="F197" s="362">
        <f t="shared" si="21"/>
        <v>5.4965237347662385E-2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4757</v>
      </c>
      <c r="D198" s="369">
        <f>LN_ID11+LN_IE11</f>
        <v>4203</v>
      </c>
      <c r="E198" s="369">
        <f t="shared" si="20"/>
        <v>-554</v>
      </c>
      <c r="F198" s="362">
        <f t="shared" si="21"/>
        <v>-0.11645995375236494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627</v>
      </c>
      <c r="C199" s="432">
        <f>IF(C198=0,0,C189/C198)</f>
        <v>1173.9854950599117</v>
      </c>
      <c r="D199" s="432">
        <f>IF(LN_IF11=0,0,LN_IF2/LN_IF11)</f>
        <v>1227.1203901974779</v>
      </c>
      <c r="E199" s="432">
        <f t="shared" si="20"/>
        <v>53.134895137566218</v>
      </c>
      <c r="F199" s="362">
        <f t="shared" si="21"/>
        <v>4.5260265447193276E-2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628</v>
      </c>
      <c r="C200" s="379">
        <f>IF(C191=0,0,C198/C191)</f>
        <v>3.9641666666666668</v>
      </c>
      <c r="D200" s="379">
        <f>IF(LN_IF4=0,0,LN_IF11/LN_IF4)</f>
        <v>3.8036199095022623</v>
      </c>
      <c r="E200" s="379">
        <f t="shared" si="20"/>
        <v>-0.16054675716440459</v>
      </c>
      <c r="F200" s="362">
        <f t="shared" si="21"/>
        <v>-4.0499497287636216E-2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630</v>
      </c>
      <c r="C203" s="361">
        <f>C133+C168</f>
        <v>26623321</v>
      </c>
      <c r="D203" s="361">
        <f>LN_ID14+LN_IE14</f>
        <v>30448286</v>
      </c>
      <c r="E203" s="361">
        <f t="shared" ref="E203:E211" si="22">D203-C203</f>
        <v>3824965</v>
      </c>
      <c r="F203" s="362">
        <f t="shared" ref="F203:F211" si="23">IF(C203=0,0,E203/C203)</f>
        <v>0.14366971723775557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631</v>
      </c>
      <c r="C204" s="361">
        <f>C134+C169</f>
        <v>9335869</v>
      </c>
      <c r="D204" s="361">
        <f>LN_ID15+LN_IE15</f>
        <v>9788843</v>
      </c>
      <c r="E204" s="361">
        <f t="shared" si="22"/>
        <v>452974</v>
      </c>
      <c r="F204" s="362">
        <f t="shared" si="23"/>
        <v>4.8519746795932975E-2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632</v>
      </c>
      <c r="C205" s="366">
        <f>IF(C203=0,0,C204/C203)</f>
        <v>0.35066508043831196</v>
      </c>
      <c r="D205" s="366">
        <f>IF(LN_IF14=0,0,LN_IF15/LN_IF14)</f>
        <v>0.32149077291247197</v>
      </c>
      <c r="E205" s="367">
        <f t="shared" si="22"/>
        <v>-2.9174307525839993E-2</v>
      </c>
      <c r="F205" s="362">
        <f t="shared" si="23"/>
        <v>-8.3197070804351902E-2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633</v>
      </c>
      <c r="C206" s="366">
        <f>IF(C188=0,0,C203/C188)</f>
        <v>2.1909727874305531</v>
      </c>
      <c r="D206" s="366">
        <f>IF(LN_IF1=0,0,LN_IF14/LN_IF1)</f>
        <v>2.545409995422184</v>
      </c>
      <c r="E206" s="367">
        <f t="shared" si="22"/>
        <v>0.35443720799163092</v>
      </c>
      <c r="F206" s="362">
        <f t="shared" si="23"/>
        <v>0.16177161579779112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634</v>
      </c>
      <c r="C207" s="376">
        <f>C137+C172</f>
        <v>2629.6508405612217</v>
      </c>
      <c r="D207" s="376">
        <f>LN_ID18+LN_IE18</f>
        <v>2811.1559128584531</v>
      </c>
      <c r="E207" s="376">
        <f t="shared" si="22"/>
        <v>181.50507229723144</v>
      </c>
      <c r="F207" s="362">
        <f t="shared" si="23"/>
        <v>6.9022498917953118E-2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635</v>
      </c>
      <c r="C208" s="378">
        <f>IF(C207=0,0,C204/C207)</f>
        <v>3550.2314056293244</v>
      </c>
      <c r="D208" s="378">
        <f>IF(LN_IF18=0,0,LN_IF15/LN_IF18)</f>
        <v>3482.141618408657</v>
      </c>
      <c r="E208" s="378">
        <f t="shared" si="22"/>
        <v>-68.089787220667404</v>
      </c>
      <c r="F208" s="362">
        <f t="shared" si="23"/>
        <v>-1.9178971577092904E-2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685</v>
      </c>
      <c r="C209" s="378">
        <f>C61-C208</f>
        <v>2437.2149747436324</v>
      </c>
      <c r="D209" s="378">
        <f>LN_IB18-LN_IF19</f>
        <v>2611.0875890826123</v>
      </c>
      <c r="E209" s="378">
        <f t="shared" si="22"/>
        <v>173.87261433897993</v>
      </c>
      <c r="F209" s="362">
        <f t="shared" si="23"/>
        <v>7.1340696713579552E-2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686</v>
      </c>
      <c r="C210" s="378">
        <f>C32-C208</f>
        <v>2678.0567332836208</v>
      </c>
      <c r="D210" s="378">
        <f>LN_IA16-LN_IF19</f>
        <v>2593.6388962490842</v>
      </c>
      <c r="E210" s="378">
        <f t="shared" si="22"/>
        <v>-84.41783703453666</v>
      </c>
      <c r="F210" s="362">
        <f t="shared" si="23"/>
        <v>-3.152204954636275E-2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646</v>
      </c>
      <c r="C211" s="391">
        <f>C141+C176</f>
        <v>7042354.1397499144</v>
      </c>
      <c r="D211" s="353">
        <f>LN_IF21*LN_IF18</f>
        <v>7291123.3190102847</v>
      </c>
      <c r="E211" s="353">
        <f t="shared" si="22"/>
        <v>248769.17926037032</v>
      </c>
      <c r="F211" s="362">
        <f t="shared" si="23"/>
        <v>3.5324718740884636E-2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637</v>
      </c>
      <c r="C214" s="361">
        <f>C188+C203</f>
        <v>38774691</v>
      </c>
      <c r="D214" s="361">
        <f>LN_IF1+LN_IF14</f>
        <v>42410322</v>
      </c>
      <c r="E214" s="361">
        <f>D214-C214</f>
        <v>3635631</v>
      </c>
      <c r="F214" s="362">
        <f>IF(C214=0,0,E214/C214)</f>
        <v>9.3762990915904398E-2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638</v>
      </c>
      <c r="C215" s="361">
        <f>C189+C204</f>
        <v>14920518</v>
      </c>
      <c r="D215" s="361">
        <f>LN_IF2+LN_IF15</f>
        <v>14946430</v>
      </c>
      <c r="E215" s="361">
        <f>D215-C215</f>
        <v>25912</v>
      </c>
      <c r="F215" s="362">
        <f>IF(C215=0,0,E215/C215)</f>
        <v>1.736668927982259E-3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639</v>
      </c>
      <c r="C216" s="361">
        <f>C214-C215</f>
        <v>23854173</v>
      </c>
      <c r="D216" s="361">
        <f>LN_IF23-LN_IF24</f>
        <v>27463892</v>
      </c>
      <c r="E216" s="361">
        <f>D216-C216</f>
        <v>3609719</v>
      </c>
      <c r="F216" s="362">
        <f>IF(C216=0,0,E216/C216)</f>
        <v>0.15132442445185587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621</v>
      </c>
      <c r="C221" s="361">
        <v>436042</v>
      </c>
      <c r="D221" s="361">
        <v>483092</v>
      </c>
      <c r="E221" s="361">
        <f t="shared" ref="E221:E230" si="24">D221-C221</f>
        <v>47050</v>
      </c>
      <c r="F221" s="362">
        <f t="shared" ref="F221:F230" si="25">IF(C221=0,0,E221/C221)</f>
        <v>0.10790244976401356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622</v>
      </c>
      <c r="C222" s="361">
        <v>257522</v>
      </c>
      <c r="D222" s="361">
        <v>282459</v>
      </c>
      <c r="E222" s="361">
        <f t="shared" si="24"/>
        <v>24937</v>
      </c>
      <c r="F222" s="362">
        <f t="shared" si="25"/>
        <v>9.683444521244787E-2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623</v>
      </c>
      <c r="C223" s="366">
        <f>IF(C221=0,0,C222/C221)</f>
        <v>0.59058989730347078</v>
      </c>
      <c r="D223" s="366">
        <f>IF(LN_IG1=0,0,LN_IG2/LN_IG1)</f>
        <v>0.58468987273645601</v>
      </c>
      <c r="E223" s="367">
        <f t="shared" si="24"/>
        <v>-5.9000245670147722E-3</v>
      </c>
      <c r="F223" s="362">
        <f t="shared" si="25"/>
        <v>-9.9900533245713199E-3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33</v>
      </c>
      <c r="D224" s="369">
        <v>31</v>
      </c>
      <c r="E224" s="369">
        <f t="shared" si="24"/>
        <v>-2</v>
      </c>
      <c r="F224" s="362">
        <f t="shared" si="25"/>
        <v>-6.0606060606060608E-2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624</v>
      </c>
      <c r="C225" s="372">
        <v>1.1505000000000001</v>
      </c>
      <c r="D225" s="372">
        <v>1.0644</v>
      </c>
      <c r="E225" s="373">
        <f t="shared" si="24"/>
        <v>-8.6100000000000065E-2</v>
      </c>
      <c r="F225" s="362">
        <f t="shared" si="25"/>
        <v>-7.4837027379400317E-2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625</v>
      </c>
      <c r="C226" s="376">
        <f>C224*C225</f>
        <v>37.966500000000003</v>
      </c>
      <c r="D226" s="376">
        <f>LN_IG3*LN_IG4</f>
        <v>32.996400000000001</v>
      </c>
      <c r="E226" s="376">
        <f t="shared" si="24"/>
        <v>-4.9701000000000022</v>
      </c>
      <c r="F226" s="362">
        <f t="shared" si="25"/>
        <v>-0.13090751056852756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626</v>
      </c>
      <c r="C227" s="378">
        <f>IF(C226=0,0,C222/C226)</f>
        <v>6782.8743760947145</v>
      </c>
      <c r="D227" s="378">
        <f>IF(LN_IG5=0,0,LN_IG2/LN_IG5)</f>
        <v>8560.297486998581</v>
      </c>
      <c r="E227" s="378">
        <f t="shared" si="24"/>
        <v>1777.4231109038665</v>
      </c>
      <c r="F227" s="362">
        <f t="shared" si="25"/>
        <v>0.26204570693040458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112</v>
      </c>
      <c r="D228" s="369">
        <v>120</v>
      </c>
      <c r="E228" s="369">
        <f t="shared" si="24"/>
        <v>8</v>
      </c>
      <c r="F228" s="362">
        <f t="shared" si="25"/>
        <v>7.1428571428571425E-2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627</v>
      </c>
      <c r="C229" s="378">
        <f>IF(C228=0,0,C222/C228)</f>
        <v>2299.3035714285716</v>
      </c>
      <c r="D229" s="378">
        <f>IF(LN_IG6=0,0,LN_IG2/LN_IG6)</f>
        <v>2353.8249999999998</v>
      </c>
      <c r="E229" s="378">
        <f t="shared" si="24"/>
        <v>54.52142857142826</v>
      </c>
      <c r="F229" s="362">
        <f t="shared" si="25"/>
        <v>2.3712148864951207E-2</v>
      </c>
      <c r="Q229" s="330"/>
      <c r="U229" s="375"/>
    </row>
    <row r="230" spans="1:21" ht="11.25" customHeight="1" x14ac:dyDescent="0.2">
      <c r="A230" s="364">
        <v>10</v>
      </c>
      <c r="B230" s="360" t="s">
        <v>628</v>
      </c>
      <c r="C230" s="379">
        <f>IF(C224=0,0,C228/C224)</f>
        <v>3.393939393939394</v>
      </c>
      <c r="D230" s="379">
        <f>IF(LN_IG3=0,0,LN_IG6/LN_IG3)</f>
        <v>3.870967741935484</v>
      </c>
      <c r="E230" s="379">
        <f t="shared" si="24"/>
        <v>0.47702834799608995</v>
      </c>
      <c r="F230" s="362">
        <f t="shared" si="25"/>
        <v>0.14055299539170507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630</v>
      </c>
      <c r="C233" s="361">
        <v>442575</v>
      </c>
      <c r="D233" s="361">
        <v>523735</v>
      </c>
      <c r="E233" s="361">
        <f>D233-C233</f>
        <v>81160</v>
      </c>
      <c r="F233" s="362">
        <f>IF(C233=0,0,E233/C233)</f>
        <v>0.18338134779415918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631</v>
      </c>
      <c r="C234" s="361">
        <v>201704</v>
      </c>
      <c r="D234" s="361">
        <v>189582</v>
      </c>
      <c r="E234" s="361">
        <f>D234-C234</f>
        <v>-12122</v>
      </c>
      <c r="F234" s="362">
        <f>IF(C234=0,0,E234/C234)</f>
        <v>-6.0097965335342882E-2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637</v>
      </c>
      <c r="C237" s="361">
        <f>C221+C233</f>
        <v>878617</v>
      </c>
      <c r="D237" s="361">
        <f>LN_IG1+LN_IG9</f>
        <v>1006827</v>
      </c>
      <c r="E237" s="361">
        <f>D237-C237</f>
        <v>128210</v>
      </c>
      <c r="F237" s="362">
        <f>IF(C237=0,0,E237/C237)</f>
        <v>0.14592251231196302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638</v>
      </c>
      <c r="C238" s="361">
        <f>C222+C234</f>
        <v>459226</v>
      </c>
      <c r="D238" s="361">
        <f>LN_IG2+LN_IG10</f>
        <v>472041</v>
      </c>
      <c r="E238" s="361">
        <f>D238-C238</f>
        <v>12815</v>
      </c>
      <c r="F238" s="362">
        <f>IF(C238=0,0,E238/C238)</f>
        <v>2.7905649941423177E-2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639</v>
      </c>
      <c r="C239" s="361">
        <f>C237-C238</f>
        <v>419391</v>
      </c>
      <c r="D239" s="361">
        <f>LN_IG13-LN_IG14</f>
        <v>534786</v>
      </c>
      <c r="E239" s="361">
        <f>D239-C239</f>
        <v>115395</v>
      </c>
      <c r="F239" s="362">
        <f>IF(C239=0,0,E239/C239)</f>
        <v>0.27514896600070099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693</v>
      </c>
      <c r="C243" s="361">
        <v>4949386</v>
      </c>
      <c r="D243" s="361">
        <v>5735128</v>
      </c>
      <c r="E243" s="353">
        <f>D243-C243</f>
        <v>785742</v>
      </c>
      <c r="F243" s="415">
        <f>IF(C243=0,0,E243/C243)</f>
        <v>0.15875544966587773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694</v>
      </c>
      <c r="C244" s="361">
        <v>113880767</v>
      </c>
      <c r="D244" s="361">
        <v>121882681</v>
      </c>
      <c r="E244" s="353">
        <f>D244-C244</f>
        <v>8001914</v>
      </c>
      <c r="F244" s="415">
        <f>IF(C244=0,0,E244/C244)</f>
        <v>7.0265719232467064E-2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695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697</v>
      </c>
      <c r="C248" s="353">
        <v>1726098</v>
      </c>
      <c r="D248" s="353">
        <v>1766984</v>
      </c>
      <c r="E248" s="353">
        <f>D248-C248</f>
        <v>40886</v>
      </c>
      <c r="F248" s="362">
        <f>IF(C248=0,0,E248/C248)</f>
        <v>2.3686951725800043E-2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698</v>
      </c>
      <c r="C249" s="353">
        <v>2129955</v>
      </c>
      <c r="D249" s="353">
        <v>3125364</v>
      </c>
      <c r="E249" s="353">
        <f>D249-C249</f>
        <v>995409</v>
      </c>
      <c r="F249" s="362">
        <f>IF(C249=0,0,E249/C249)</f>
        <v>0.46733804235300747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699</v>
      </c>
      <c r="C250" s="353">
        <f>C248+C249</f>
        <v>3856053</v>
      </c>
      <c r="D250" s="353">
        <f>LN_IH4+LN_IH5</f>
        <v>4892348</v>
      </c>
      <c r="E250" s="353">
        <f>D250-C250</f>
        <v>1036295</v>
      </c>
      <c r="F250" s="362">
        <f>IF(C250=0,0,E250/C250)</f>
        <v>0.26874500946952751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700</v>
      </c>
      <c r="C251" s="353">
        <f>C250*C313</f>
        <v>1982434.9251770256</v>
      </c>
      <c r="D251" s="353">
        <f>LN_IH6*LN_III10</f>
        <v>2331616.1415749029</v>
      </c>
      <c r="E251" s="353">
        <f>D251-C251</f>
        <v>349181.21639787732</v>
      </c>
      <c r="F251" s="362">
        <f>IF(C251=0,0,E251/C251)</f>
        <v>0.17613754275777627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637</v>
      </c>
      <c r="C254" s="353">
        <f>C188+C203</f>
        <v>38774691</v>
      </c>
      <c r="D254" s="353">
        <f>LN_IF23</f>
        <v>42410322</v>
      </c>
      <c r="E254" s="353">
        <f>D254-C254</f>
        <v>3635631</v>
      </c>
      <c r="F254" s="362">
        <f>IF(C254=0,0,E254/C254)</f>
        <v>9.3762990915904398E-2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638</v>
      </c>
      <c r="C255" s="353">
        <f>C189+C204</f>
        <v>14920518</v>
      </c>
      <c r="D255" s="353">
        <f>LN_IF24</f>
        <v>14946430</v>
      </c>
      <c r="E255" s="353">
        <f>D255-C255</f>
        <v>25912</v>
      </c>
      <c r="F255" s="362">
        <f>IF(C255=0,0,E255/C255)</f>
        <v>1.736668927982259E-3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702</v>
      </c>
      <c r="C256" s="353">
        <f>C254*C313</f>
        <v>19934451.536674235</v>
      </c>
      <c r="D256" s="353">
        <f>LN_IH8*LN_III10</f>
        <v>20212092.709796857</v>
      </c>
      <c r="E256" s="353">
        <f>D256-C256</f>
        <v>277641.17312262207</v>
      </c>
      <c r="F256" s="362">
        <f>IF(C256=0,0,E256/C256)</f>
        <v>1.392770564125299E-2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703</v>
      </c>
      <c r="C257" s="353">
        <f>C256-C255</f>
        <v>5013933.536674235</v>
      </c>
      <c r="D257" s="353">
        <f>LN_IH10-LN_IH9</f>
        <v>5265662.7097968571</v>
      </c>
      <c r="E257" s="353">
        <f>D257-C257</f>
        <v>251729.17312262207</v>
      </c>
      <c r="F257" s="362">
        <f>IF(C257=0,0,E257/C257)</f>
        <v>5.020592540394845E-2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706</v>
      </c>
      <c r="C261" s="361">
        <f>C15+C42+C188+C221</f>
        <v>87023589</v>
      </c>
      <c r="D261" s="361">
        <f>LN_IA1+LN_IB1+LN_IF1+LN_IG1</f>
        <v>89321803</v>
      </c>
      <c r="E261" s="361">
        <f t="shared" ref="E261:E274" si="26">D261-C261</f>
        <v>2298214</v>
      </c>
      <c r="F261" s="415">
        <f t="shared" ref="F261:F274" si="27">IF(C261=0,0,E261/C261)</f>
        <v>2.6409092366898358E-2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707</v>
      </c>
      <c r="C262" s="361">
        <f>C16+C43+C189+C222</f>
        <v>54491664</v>
      </c>
      <c r="D262" s="361">
        <f>+LN_IA2+LN_IB2+LN_IF2+LN_IG2</f>
        <v>52352448</v>
      </c>
      <c r="E262" s="361">
        <f t="shared" si="26"/>
        <v>-2139216</v>
      </c>
      <c r="F262" s="415">
        <f t="shared" si="27"/>
        <v>-3.9257674348135159E-2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708</v>
      </c>
      <c r="C263" s="366">
        <f>IF(C261=0,0,C262/C261)</f>
        <v>0.62617118675719063</v>
      </c>
      <c r="D263" s="366">
        <f>IF(LN_IIA1=0,0,LN_IIA2/LN_IIA1)</f>
        <v>0.58611051548074999</v>
      </c>
      <c r="E263" s="367">
        <f t="shared" si="26"/>
        <v>-4.006067127644064E-2</v>
      </c>
      <c r="F263" s="371">
        <f t="shared" si="27"/>
        <v>-6.3977187267121732E-2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709</v>
      </c>
      <c r="C264" s="369">
        <f>C18+C45+C191+C224</f>
        <v>6512</v>
      </c>
      <c r="D264" s="369">
        <f>LN_IA4+LN_IB4+LN_IF4+LN_IG3</f>
        <v>6338</v>
      </c>
      <c r="E264" s="369">
        <f t="shared" si="26"/>
        <v>-174</v>
      </c>
      <c r="F264" s="415">
        <f t="shared" si="27"/>
        <v>-2.6719901719901719E-2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710</v>
      </c>
      <c r="C265" s="439">
        <f>IF(C264=0,0,C266/C264)</f>
        <v>1.2575670915233417</v>
      </c>
      <c r="D265" s="439">
        <f>IF(LN_IIA4=0,0,LN_IIA6/LN_IIA4)</f>
        <v>1.2411220574313666</v>
      </c>
      <c r="E265" s="439">
        <f t="shared" si="26"/>
        <v>-1.6445034091975064E-2</v>
      </c>
      <c r="F265" s="415">
        <f t="shared" si="27"/>
        <v>-1.3076864210922164E-2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711</v>
      </c>
      <c r="C266" s="376">
        <f>C20+C47+C193+C226</f>
        <v>8189.2769000000008</v>
      </c>
      <c r="D266" s="376">
        <f>LN_IA6+LN_IB6+LN_IF6+LN_IG5</f>
        <v>7866.231600000001</v>
      </c>
      <c r="E266" s="376">
        <f t="shared" si="26"/>
        <v>-323.04529999999977</v>
      </c>
      <c r="F266" s="415">
        <f t="shared" si="27"/>
        <v>-3.9447353404303588E-2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712</v>
      </c>
      <c r="C267" s="361">
        <f>C27+C56+C203+C233</f>
        <v>121606008</v>
      </c>
      <c r="D267" s="361">
        <f>LN_IA11+LN_IB13+LN_IF14+LN_IG9</f>
        <v>147747616</v>
      </c>
      <c r="E267" s="361">
        <f t="shared" si="26"/>
        <v>26141608</v>
      </c>
      <c r="F267" s="415">
        <f t="shared" si="27"/>
        <v>0.21496970774667645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633</v>
      </c>
      <c r="C268" s="366">
        <f>IF(C261=0,0,C267/C261)</f>
        <v>1.3973913211049018</v>
      </c>
      <c r="D268" s="366">
        <f>IF(LN_IIA1=0,0,LN_IIA7/LN_IIA1)</f>
        <v>1.6541047206581803</v>
      </c>
      <c r="E268" s="367">
        <f t="shared" si="26"/>
        <v>0.25671339955327843</v>
      </c>
      <c r="F268" s="371">
        <f t="shared" si="27"/>
        <v>0.18370902672438097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713</v>
      </c>
      <c r="C269" s="361">
        <f>C28+C57+C204+C234</f>
        <v>52784048</v>
      </c>
      <c r="D269" s="361">
        <f>LN_IA12+LN_IB14+LN_IF15+LN_IG10</f>
        <v>60631110</v>
      </c>
      <c r="E269" s="361">
        <f t="shared" si="26"/>
        <v>7847062</v>
      </c>
      <c r="F269" s="415">
        <f t="shared" si="27"/>
        <v>0.14866351288555968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632</v>
      </c>
      <c r="C270" s="366">
        <f>IF(C267=0,0,C269/C267)</f>
        <v>0.43405789621841712</v>
      </c>
      <c r="D270" s="366">
        <f>IF(LN_IIA7=0,0,LN_IIA9/LN_IIA7)</f>
        <v>0.41036946410018554</v>
      </c>
      <c r="E270" s="367">
        <f t="shared" si="26"/>
        <v>-2.3688432118231573E-2</v>
      </c>
      <c r="F270" s="371">
        <f t="shared" si="27"/>
        <v>-5.4574360527959609E-2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714</v>
      </c>
      <c r="C271" s="353">
        <f>C261+C267</f>
        <v>208629597</v>
      </c>
      <c r="D271" s="353">
        <f>LN_IIA1+LN_IIA7</f>
        <v>237069419</v>
      </c>
      <c r="E271" s="353">
        <f t="shared" si="26"/>
        <v>28439822</v>
      </c>
      <c r="F271" s="415">
        <f t="shared" si="27"/>
        <v>0.1363172934662765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715</v>
      </c>
      <c r="C272" s="353">
        <f>C262+C269</f>
        <v>107275712</v>
      </c>
      <c r="D272" s="353">
        <f>LN_IIA2+LN_IIA9</f>
        <v>112983558</v>
      </c>
      <c r="E272" s="353">
        <f t="shared" si="26"/>
        <v>5707846</v>
      </c>
      <c r="F272" s="415">
        <f t="shared" si="27"/>
        <v>5.3207253474113508E-2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716</v>
      </c>
      <c r="C273" s="366">
        <f>IF(C271=0,0,C272/C271)</f>
        <v>0.51419220255695552</v>
      </c>
      <c r="D273" s="366">
        <f>IF(LN_IIA11=0,0,LN_IIA12/LN_IIA11)</f>
        <v>0.4765842784640224</v>
      </c>
      <c r="E273" s="367">
        <f t="shared" si="26"/>
        <v>-3.760792409293312E-2</v>
      </c>
      <c r="F273" s="371">
        <f t="shared" si="27"/>
        <v>-7.3139817962850975E-2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27425</v>
      </c>
      <c r="D274" s="421">
        <f>LN_IA8+LN_IB10+LN_IF11+LN_IG6</f>
        <v>25249</v>
      </c>
      <c r="E274" s="442">
        <f t="shared" si="26"/>
        <v>-2176</v>
      </c>
      <c r="F274" s="371">
        <f t="shared" si="27"/>
        <v>-7.9343664539653594E-2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718</v>
      </c>
      <c r="C277" s="361">
        <f>C15+C188+C221</f>
        <v>65717235</v>
      </c>
      <c r="D277" s="361">
        <f>LN_IA1+LN_IF1+LN_IG1</f>
        <v>67303058</v>
      </c>
      <c r="E277" s="361">
        <f t="shared" ref="E277:E291" si="28">D277-C277</f>
        <v>1585823</v>
      </c>
      <c r="F277" s="415">
        <f t="shared" ref="F277:F291" si="29">IF(C277=0,0,E277/C277)</f>
        <v>2.4131006120388359E-2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719</v>
      </c>
      <c r="C278" s="361">
        <f>C16+C189+C222</f>
        <v>39531264</v>
      </c>
      <c r="D278" s="361">
        <f>LN_IA2+LN_IF2+LN_IG2</f>
        <v>37756346</v>
      </c>
      <c r="E278" s="361">
        <f t="shared" si="28"/>
        <v>-1774918</v>
      </c>
      <c r="F278" s="415">
        <f t="shared" si="29"/>
        <v>-4.489909556142703E-2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720</v>
      </c>
      <c r="C279" s="366">
        <f>IF(C277=0,0,C278/C277)</f>
        <v>0.60153571585901322</v>
      </c>
      <c r="D279" s="366">
        <f>IF(D277=0,0,LN_IIB2/D277)</f>
        <v>0.56099005189333295</v>
      </c>
      <c r="E279" s="367">
        <f t="shared" si="28"/>
        <v>-4.0545663965680268E-2</v>
      </c>
      <c r="F279" s="371">
        <f t="shared" si="29"/>
        <v>-6.7403585351170206E-2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721</v>
      </c>
      <c r="C280" s="369">
        <f>C18+C191+C224</f>
        <v>4765</v>
      </c>
      <c r="D280" s="369">
        <f>LN_IA4+LN_IF4+LN_IG3</f>
        <v>4618</v>
      </c>
      <c r="E280" s="369">
        <f t="shared" si="28"/>
        <v>-147</v>
      </c>
      <c r="F280" s="415">
        <f t="shared" si="29"/>
        <v>-3.0849947534102834E-2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722</v>
      </c>
      <c r="C281" s="439">
        <f>IF(C280=0,0,C282/C280)</f>
        <v>1.2953914165792235</v>
      </c>
      <c r="D281" s="439">
        <f>IF(LN_IIB4=0,0,LN_IIB6/LN_IIB4)</f>
        <v>1.2712246860112604</v>
      </c>
      <c r="E281" s="439">
        <f t="shared" si="28"/>
        <v>-2.4166730567963146E-2</v>
      </c>
      <c r="F281" s="415">
        <f t="shared" si="29"/>
        <v>-1.8655929210787046E-2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723</v>
      </c>
      <c r="C282" s="376">
        <f>C20+C193+C226</f>
        <v>6172.5401000000002</v>
      </c>
      <c r="D282" s="376">
        <f>LN_IA6+LN_IF6+LN_IG5</f>
        <v>5870.5156000000006</v>
      </c>
      <c r="E282" s="376">
        <f t="shared" si="28"/>
        <v>-302.02449999999953</v>
      </c>
      <c r="F282" s="415">
        <f t="shared" si="29"/>
        <v>-4.8930342307537136E-2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724</v>
      </c>
      <c r="C283" s="361">
        <f>C27+C203+C233</f>
        <v>68251959</v>
      </c>
      <c r="D283" s="361">
        <f>LN_IA11+LN_IF14+LN_IG9</f>
        <v>85546455</v>
      </c>
      <c r="E283" s="361">
        <f t="shared" si="28"/>
        <v>17294496</v>
      </c>
      <c r="F283" s="415">
        <f t="shared" si="29"/>
        <v>0.25339193560729883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725</v>
      </c>
      <c r="C284" s="366">
        <f>IF(C277=0,0,C283/C277)</f>
        <v>1.0385701559111549</v>
      </c>
      <c r="D284" s="366">
        <f>IF(D277=0,0,LN_IIB7/D277)</f>
        <v>1.2710634188419789</v>
      </c>
      <c r="E284" s="367">
        <f t="shared" si="28"/>
        <v>0.23249326293082406</v>
      </c>
      <c r="F284" s="371">
        <f t="shared" si="29"/>
        <v>0.22385898690383016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726</v>
      </c>
      <c r="C285" s="361">
        <f>C28+C204+C234</f>
        <v>26590593</v>
      </c>
      <c r="D285" s="361">
        <f>LN_IA12+LN_IF15+LN_IG10</f>
        <v>31024963</v>
      </c>
      <c r="E285" s="361">
        <f t="shared" si="28"/>
        <v>4434370</v>
      </c>
      <c r="F285" s="415">
        <f t="shared" si="29"/>
        <v>0.16676461483954119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727</v>
      </c>
      <c r="C286" s="366">
        <f>IF(C283=0,0,C285/C283)</f>
        <v>0.38959457559306099</v>
      </c>
      <c r="D286" s="366">
        <f>IF(LN_IIB7=0,0,LN_IIB9/LN_IIB7)</f>
        <v>0.36266801470616172</v>
      </c>
      <c r="E286" s="367">
        <f t="shared" si="28"/>
        <v>-2.6926560886899265E-2</v>
      </c>
      <c r="F286" s="371">
        <f t="shared" si="29"/>
        <v>-6.9114311578671914E-2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728</v>
      </c>
      <c r="C287" s="353">
        <f>C277+C283</f>
        <v>133969194</v>
      </c>
      <c r="D287" s="353">
        <f>D277+LN_IIB7</f>
        <v>152849513</v>
      </c>
      <c r="E287" s="353">
        <f t="shared" si="28"/>
        <v>18880319</v>
      </c>
      <c r="F287" s="415">
        <f t="shared" si="29"/>
        <v>0.14093030223052622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729</v>
      </c>
      <c r="C288" s="353">
        <f>C278+C285</f>
        <v>66121857</v>
      </c>
      <c r="D288" s="353">
        <f>LN_IIB2+LN_IIB9</f>
        <v>68781309</v>
      </c>
      <c r="E288" s="353">
        <f t="shared" si="28"/>
        <v>2659452</v>
      </c>
      <c r="F288" s="415">
        <f t="shared" si="29"/>
        <v>4.0220467492314983E-2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730</v>
      </c>
      <c r="C289" s="366">
        <f>IF(C287=0,0,C288/C287)</f>
        <v>0.49356016130096297</v>
      </c>
      <c r="D289" s="366">
        <f>IF(LN_IIB11=0,0,LN_IIB12/LN_IIB11)</f>
        <v>0.44999364178543377</v>
      </c>
      <c r="E289" s="367">
        <f t="shared" si="28"/>
        <v>-4.3566519515529201E-2</v>
      </c>
      <c r="F289" s="371">
        <f t="shared" si="29"/>
        <v>-8.8269927217572208E-2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21589</v>
      </c>
      <c r="D290" s="421">
        <f>LN_IA8+LN_IF11+LN_IG6</f>
        <v>19716</v>
      </c>
      <c r="E290" s="442">
        <f t="shared" si="28"/>
        <v>-1873</v>
      </c>
      <c r="F290" s="371">
        <f t="shared" si="29"/>
        <v>-8.6757144842280795E-2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731</v>
      </c>
      <c r="C291" s="361">
        <f>C287-C288</f>
        <v>67847337</v>
      </c>
      <c r="D291" s="429">
        <f>LN_IIB11-LN_IIB12</f>
        <v>84068204</v>
      </c>
      <c r="E291" s="353">
        <f t="shared" si="28"/>
        <v>16220867</v>
      </c>
      <c r="F291" s="415">
        <f t="shared" si="29"/>
        <v>0.23907890445280114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619</v>
      </c>
      <c r="C294" s="379">
        <f>IF(C18=0,0,C22/C18)</f>
        <v>4.7338618346545864</v>
      </c>
      <c r="D294" s="379">
        <f>IF(LN_IA4=0,0,LN_IA8/LN_IA4)</f>
        <v>4.4207352096496271</v>
      </c>
      <c r="E294" s="379">
        <f t="shared" ref="E294:E300" si="30">D294-C294</f>
        <v>-0.31312662500495936</v>
      </c>
      <c r="F294" s="415">
        <f t="shared" ref="F294:F300" si="31">IF(C294=0,0,E294/C294)</f>
        <v>-6.61461267654017E-2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640</v>
      </c>
      <c r="C295" s="379">
        <f>IF(C45=0,0,C51/C45)</f>
        <v>3.3405838580423581</v>
      </c>
      <c r="D295" s="379">
        <f>IF(LN_IB4=0,0,(LN_IB10)/(LN_IB4))</f>
        <v>3.2168604651162789</v>
      </c>
      <c r="E295" s="379">
        <f t="shared" si="30"/>
        <v>-0.12372339292607926</v>
      </c>
      <c r="F295" s="415">
        <f t="shared" si="31"/>
        <v>-3.7036457752203648E-2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655</v>
      </c>
      <c r="C296" s="379">
        <f>IF(C86=0,0,C93/C86)</f>
        <v>3.911111111111111</v>
      </c>
      <c r="D296" s="379">
        <f>IF(LN_IC4=0,0,LN_IC11/LN_IC4)</f>
        <v>3.4385964912280702</v>
      </c>
      <c r="E296" s="379">
        <f t="shared" si="30"/>
        <v>-0.47251461988304078</v>
      </c>
      <c r="F296" s="415">
        <f t="shared" si="31"/>
        <v>-0.12081339712918657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3.9706375838926173</v>
      </c>
      <c r="D297" s="379">
        <f>IF(LN_ID4=0,0,LN_ID11/LN_ID4)</f>
        <v>3.7824116047144152</v>
      </c>
      <c r="E297" s="379">
        <f t="shared" si="30"/>
        <v>-0.18822597917820216</v>
      </c>
      <c r="F297" s="415">
        <f t="shared" si="31"/>
        <v>-4.740447225447221E-2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732</v>
      </c>
      <c r="C298" s="379">
        <f>IF(C156=0,0,C163/C156)</f>
        <v>3</v>
      </c>
      <c r="D298" s="379">
        <f>IF(LN_IE4=0,0,LN_IE11/LN_IE4)</f>
        <v>15.5</v>
      </c>
      <c r="E298" s="379">
        <f t="shared" si="30"/>
        <v>12.5</v>
      </c>
      <c r="F298" s="415">
        <f t="shared" si="31"/>
        <v>4.166666666666667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3.393939393939394</v>
      </c>
      <c r="D299" s="379">
        <f>IF(LN_IG3=0,0,LN_IG6/LN_IG3)</f>
        <v>3.870967741935484</v>
      </c>
      <c r="E299" s="379">
        <f t="shared" si="30"/>
        <v>0.47702834799608995</v>
      </c>
      <c r="F299" s="415">
        <f t="shared" si="31"/>
        <v>0.14055299539170507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733</v>
      </c>
      <c r="C300" s="379">
        <f>IF(C264=0,0,C274/C264)</f>
        <v>4.2114557739557741</v>
      </c>
      <c r="D300" s="379">
        <f>IF(LN_IIA4=0,0,LN_IIA14/LN_IIA4)</f>
        <v>3.9837488166614072</v>
      </c>
      <c r="E300" s="379">
        <f t="shared" si="30"/>
        <v>-0.22770695729436685</v>
      </c>
      <c r="F300" s="415">
        <f t="shared" si="31"/>
        <v>-5.4068466942604081E-2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728</v>
      </c>
      <c r="C304" s="353">
        <f>C35+C66+C214+C221+C233</f>
        <v>208629597</v>
      </c>
      <c r="D304" s="353">
        <f>LN_IIA11</f>
        <v>237069419</v>
      </c>
      <c r="E304" s="353">
        <f t="shared" ref="E304:E316" si="32">D304-C304</f>
        <v>28439822</v>
      </c>
      <c r="F304" s="362">
        <f>IF(C304=0,0,E304/C304)</f>
        <v>0.1363172934662765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731</v>
      </c>
      <c r="C305" s="353">
        <f>C291</f>
        <v>67847337</v>
      </c>
      <c r="D305" s="353">
        <f>LN_IIB14</f>
        <v>84068204</v>
      </c>
      <c r="E305" s="353">
        <f t="shared" si="32"/>
        <v>16220867</v>
      </c>
      <c r="F305" s="362">
        <f>IF(C305=0,0,E305/C305)</f>
        <v>0.23907890445280114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735</v>
      </c>
      <c r="C306" s="353">
        <f>C250</f>
        <v>3856053</v>
      </c>
      <c r="D306" s="353">
        <f>LN_IH6</f>
        <v>4892348</v>
      </c>
      <c r="E306" s="353">
        <f t="shared" si="32"/>
        <v>1036295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736</v>
      </c>
      <c r="C307" s="353">
        <f>C73-C74</f>
        <v>29667671</v>
      </c>
      <c r="D307" s="353">
        <f>LN_IB32-LN_IB33</f>
        <v>35125309</v>
      </c>
      <c r="E307" s="353">
        <f t="shared" si="32"/>
        <v>5457638</v>
      </c>
      <c r="F307" s="362">
        <f t="shared" ref="F307:F316" si="33">IF(C307=0,0,E307/C307)</f>
        <v>0.18395909810379116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737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738</v>
      </c>
      <c r="C309" s="353">
        <f>C305+C307+C308+C306</f>
        <v>101371061</v>
      </c>
      <c r="D309" s="353">
        <f>LN_III2+LN_III3+LN_III4+LN_III5</f>
        <v>124085861</v>
      </c>
      <c r="E309" s="353">
        <f t="shared" si="32"/>
        <v>22714800</v>
      </c>
      <c r="F309" s="362">
        <f t="shared" si="33"/>
        <v>0.22407578431086955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739</v>
      </c>
      <c r="C310" s="353">
        <f>C304-C309</f>
        <v>107258536</v>
      </c>
      <c r="D310" s="353">
        <f>LN_III1-LN_III6</f>
        <v>112983558</v>
      </c>
      <c r="E310" s="353">
        <f t="shared" si="32"/>
        <v>5725022</v>
      </c>
      <c r="F310" s="362">
        <f t="shared" si="33"/>
        <v>5.3375910333141222E-2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740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741</v>
      </c>
      <c r="C312" s="353">
        <f>C310+C311</f>
        <v>107258536</v>
      </c>
      <c r="D312" s="353">
        <f>LN_III7+LN_III8</f>
        <v>112983558</v>
      </c>
      <c r="E312" s="353">
        <f t="shared" si="32"/>
        <v>5725022</v>
      </c>
      <c r="F312" s="362">
        <f t="shared" si="33"/>
        <v>5.3375910333141222E-2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742</v>
      </c>
      <c r="C313" s="448">
        <f>IF(C304=0,0,C312/C304)</f>
        <v>0.51410987483238058</v>
      </c>
      <c r="D313" s="448">
        <f>IF(LN_III1=0,0,LN_III9/LN_III1)</f>
        <v>0.4765842784640224</v>
      </c>
      <c r="E313" s="448">
        <f t="shared" si="32"/>
        <v>-3.7525596368358172E-2</v>
      </c>
      <c r="F313" s="362">
        <f t="shared" si="33"/>
        <v>-7.2991393873912555E-2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700</v>
      </c>
      <c r="C314" s="353">
        <f>C306*C313</f>
        <v>1982434.9251770256</v>
      </c>
      <c r="D314" s="353">
        <f>D313*LN_III5</f>
        <v>2331616.1415749029</v>
      </c>
      <c r="E314" s="353">
        <f t="shared" si="32"/>
        <v>349181.21639787732</v>
      </c>
      <c r="F314" s="362">
        <f t="shared" si="33"/>
        <v>0.17613754275777627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703</v>
      </c>
      <c r="C315" s="353">
        <f>(C214*C313)-C215</f>
        <v>5013933.536674235</v>
      </c>
      <c r="D315" s="353">
        <f>D313*LN_IH8-LN_IH9</f>
        <v>5265662.7097968571</v>
      </c>
      <c r="E315" s="353">
        <f t="shared" si="32"/>
        <v>251729.17312262207</v>
      </c>
      <c r="F315" s="362">
        <f t="shared" si="33"/>
        <v>5.020592540394845E-2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745</v>
      </c>
      <c r="C318" s="353">
        <f>C314+C315+C316</f>
        <v>6996368.4618512606</v>
      </c>
      <c r="D318" s="353">
        <f>D314+D315+D316</f>
        <v>7597278.8513717595</v>
      </c>
      <c r="E318" s="353">
        <f>D318-C318</f>
        <v>600910.38952049892</v>
      </c>
      <c r="F318" s="362">
        <f>IF(C318=0,0,E318/C318)</f>
        <v>8.5888899762362747E-2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6996151.102805471</v>
      </c>
      <c r="D322" s="353">
        <f>LN_ID22</f>
        <v>7293964.8333903849</v>
      </c>
      <c r="E322" s="353">
        <f>LN_IV2-C322</f>
        <v>297813.73058491386</v>
      </c>
      <c r="F322" s="362">
        <f>IF(C322=0,0,E322/C322)</f>
        <v>4.2568224472094372E-2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732</v>
      </c>
      <c r="C323" s="353">
        <f>C162+C176</f>
        <v>70145.686709365298</v>
      </c>
      <c r="D323" s="353">
        <f>LN_IE10+LN_IE22</f>
        <v>-12572.782955278486</v>
      </c>
      <c r="E323" s="353">
        <f>LN_IV3-C323</f>
        <v>-82718.469664643781</v>
      </c>
      <c r="F323" s="362">
        <f>IF(C323=0,0,E323/C323)</f>
        <v>-1.1792381477049516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747</v>
      </c>
      <c r="C324" s="353">
        <f>C92+C106</f>
        <v>1692446.5047455917</v>
      </c>
      <c r="D324" s="353">
        <f>LN_IC10+LN_IC22</f>
        <v>1972871.372564123</v>
      </c>
      <c r="E324" s="353">
        <f>LN_IV1-C324</f>
        <v>280424.86781853135</v>
      </c>
      <c r="F324" s="362">
        <f>IF(C324=0,0,E324/C324)</f>
        <v>0.16569201273554274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748</v>
      </c>
      <c r="C325" s="429">
        <f>C324+C322+C323</f>
        <v>8758743.2942604274</v>
      </c>
      <c r="D325" s="429">
        <f>LN_IV1+LN_IV2+LN_IV3</f>
        <v>9254263.4229992293</v>
      </c>
      <c r="E325" s="353">
        <f>LN_IV4-C325</f>
        <v>495520.12873880193</v>
      </c>
      <c r="F325" s="362">
        <f>IF(C325=0,0,E325/C325)</f>
        <v>5.6574340871882213E-2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749</v>
      </c>
      <c r="B327" s="446" t="s">
        <v>750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751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752</v>
      </c>
      <c r="C330" s="429">
        <v>2304005</v>
      </c>
      <c r="D330" s="429">
        <v>3330273</v>
      </c>
      <c r="E330" s="431">
        <f t="shared" si="34"/>
        <v>1026268</v>
      </c>
      <c r="F330" s="463">
        <f t="shared" si="35"/>
        <v>0.44542785280413888</v>
      </c>
    </row>
    <row r="331" spans="1:22" s="333" customFormat="1" ht="11.25" customHeight="1" x14ac:dyDescent="0.2">
      <c r="A331" s="339">
        <v>3</v>
      </c>
      <c r="B331" s="360" t="s">
        <v>753</v>
      </c>
      <c r="C331" s="429">
        <v>109579717</v>
      </c>
      <c r="D331" s="429">
        <v>116313832</v>
      </c>
      <c r="E331" s="431">
        <f t="shared" si="34"/>
        <v>6734115</v>
      </c>
      <c r="F331" s="462">
        <f t="shared" si="35"/>
        <v>6.1454028029658082E-2</v>
      </c>
    </row>
    <row r="332" spans="1:22" s="333" customFormat="1" ht="11.25" customHeight="1" x14ac:dyDescent="0.2">
      <c r="A332" s="364">
        <v>4</v>
      </c>
      <c r="B332" s="360" t="s">
        <v>754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755</v>
      </c>
      <c r="C333" s="429">
        <v>208629597</v>
      </c>
      <c r="D333" s="429">
        <v>237069419</v>
      </c>
      <c r="E333" s="431">
        <f t="shared" si="34"/>
        <v>28439822</v>
      </c>
      <c r="F333" s="462">
        <f t="shared" si="35"/>
        <v>0.1363172934662765</v>
      </c>
    </row>
    <row r="334" spans="1:22" s="333" customFormat="1" ht="11.25" customHeight="1" x14ac:dyDescent="0.2">
      <c r="A334" s="339">
        <v>6</v>
      </c>
      <c r="B334" s="360" t="s">
        <v>756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757</v>
      </c>
      <c r="C335" s="429">
        <v>3856053</v>
      </c>
      <c r="D335" s="429">
        <v>4892348</v>
      </c>
      <c r="E335" s="429">
        <f t="shared" si="34"/>
        <v>1036295</v>
      </c>
      <c r="F335" s="462">
        <f t="shared" si="35"/>
        <v>0.26874500946952751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FILING&amp;RCHARLOTTE HUNGERFORD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758</v>
      </c>
      <c r="B5" s="710"/>
      <c r="C5" s="710"/>
      <c r="D5" s="710"/>
      <c r="E5" s="710"/>
    </row>
    <row r="6" spans="1:5" s="338" customFormat="1" ht="15.75" customHeight="1" x14ac:dyDescent="0.25">
      <c r="A6" s="710" t="s">
        <v>759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760</v>
      </c>
      <c r="D9" s="494" t="s">
        <v>761</v>
      </c>
      <c r="E9" s="495" t="s">
        <v>762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640</v>
      </c>
      <c r="C14" s="513">
        <v>21306354</v>
      </c>
      <c r="D14" s="513">
        <v>22018745</v>
      </c>
      <c r="E14" s="514">
        <f t="shared" ref="E14:E22" si="0">D14-C14</f>
        <v>712391</v>
      </c>
    </row>
    <row r="15" spans="1:5" s="506" customFormat="1" x14ac:dyDescent="0.2">
      <c r="A15" s="512">
        <v>2</v>
      </c>
      <c r="B15" s="511" t="s">
        <v>619</v>
      </c>
      <c r="C15" s="513">
        <v>53129823</v>
      </c>
      <c r="D15" s="515">
        <v>54857930</v>
      </c>
      <c r="E15" s="514">
        <f t="shared" si="0"/>
        <v>1728107</v>
      </c>
    </row>
    <row r="16" spans="1:5" s="506" customFormat="1" x14ac:dyDescent="0.2">
      <c r="A16" s="512">
        <v>3</v>
      </c>
      <c r="B16" s="511" t="s">
        <v>765</v>
      </c>
      <c r="C16" s="513">
        <v>12151370</v>
      </c>
      <c r="D16" s="515">
        <v>11962036</v>
      </c>
      <c r="E16" s="514">
        <f t="shared" si="0"/>
        <v>-189334</v>
      </c>
    </row>
    <row r="17" spans="1:5" s="506" customFormat="1" x14ac:dyDescent="0.2">
      <c r="A17" s="512">
        <v>4</v>
      </c>
      <c r="B17" s="511" t="s">
        <v>114</v>
      </c>
      <c r="C17" s="513">
        <v>12062026</v>
      </c>
      <c r="D17" s="515">
        <v>11890723</v>
      </c>
      <c r="E17" s="514">
        <f t="shared" si="0"/>
        <v>-171303</v>
      </c>
    </row>
    <row r="18" spans="1:5" s="506" customFormat="1" x14ac:dyDescent="0.2">
      <c r="A18" s="512">
        <v>5</v>
      </c>
      <c r="B18" s="511" t="s">
        <v>732</v>
      </c>
      <c r="C18" s="513">
        <v>89344</v>
      </c>
      <c r="D18" s="515">
        <v>71313</v>
      </c>
      <c r="E18" s="514">
        <f t="shared" si="0"/>
        <v>-18031</v>
      </c>
    </row>
    <row r="19" spans="1:5" s="506" customFormat="1" x14ac:dyDescent="0.2">
      <c r="A19" s="512">
        <v>6</v>
      </c>
      <c r="B19" s="511" t="s">
        <v>430</v>
      </c>
      <c r="C19" s="513">
        <v>436042</v>
      </c>
      <c r="D19" s="515">
        <v>483092</v>
      </c>
      <c r="E19" s="514">
        <f t="shared" si="0"/>
        <v>47050</v>
      </c>
    </row>
    <row r="20" spans="1:5" s="506" customFormat="1" x14ac:dyDescent="0.2">
      <c r="A20" s="512">
        <v>7</v>
      </c>
      <c r="B20" s="511" t="s">
        <v>747</v>
      </c>
      <c r="C20" s="513">
        <v>925266</v>
      </c>
      <c r="D20" s="515">
        <v>1298459</v>
      </c>
      <c r="E20" s="514">
        <f t="shared" si="0"/>
        <v>373193</v>
      </c>
    </row>
    <row r="21" spans="1:5" s="506" customFormat="1" x14ac:dyDescent="0.2">
      <c r="A21" s="512"/>
      <c r="B21" s="516" t="s">
        <v>766</v>
      </c>
      <c r="C21" s="517">
        <f>SUM(C15+C16+C19)</f>
        <v>65717235</v>
      </c>
      <c r="D21" s="517">
        <f>SUM(D15+D16+D19)</f>
        <v>67303058</v>
      </c>
      <c r="E21" s="517">
        <f t="shared" si="0"/>
        <v>1585823</v>
      </c>
    </row>
    <row r="22" spans="1:5" s="506" customFormat="1" x14ac:dyDescent="0.2">
      <c r="A22" s="512"/>
      <c r="B22" s="516" t="s">
        <v>706</v>
      </c>
      <c r="C22" s="517">
        <f>SUM(C14+C21)</f>
        <v>87023589</v>
      </c>
      <c r="D22" s="517">
        <f>SUM(D14+D21)</f>
        <v>89321803</v>
      </c>
      <c r="E22" s="517">
        <f t="shared" si="0"/>
        <v>2298214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640</v>
      </c>
      <c r="C25" s="513">
        <v>53354049</v>
      </c>
      <c r="D25" s="513">
        <v>62201161</v>
      </c>
      <c r="E25" s="514">
        <f t="shared" ref="E25:E33" si="1">D25-C25</f>
        <v>8847112</v>
      </c>
    </row>
    <row r="26" spans="1:5" s="506" customFormat="1" x14ac:dyDescent="0.2">
      <c r="A26" s="512">
        <v>2</v>
      </c>
      <c r="B26" s="511" t="s">
        <v>619</v>
      </c>
      <c r="C26" s="513">
        <v>41186063</v>
      </c>
      <c r="D26" s="515">
        <v>54574434</v>
      </c>
      <c r="E26" s="514">
        <f t="shared" si="1"/>
        <v>13388371</v>
      </c>
    </row>
    <row r="27" spans="1:5" s="506" customFormat="1" x14ac:dyDescent="0.2">
      <c r="A27" s="512">
        <v>3</v>
      </c>
      <c r="B27" s="511" t="s">
        <v>765</v>
      </c>
      <c r="C27" s="513">
        <v>26623321</v>
      </c>
      <c r="D27" s="515">
        <v>30448286</v>
      </c>
      <c r="E27" s="514">
        <f t="shared" si="1"/>
        <v>3824965</v>
      </c>
    </row>
    <row r="28" spans="1:5" s="506" customFormat="1" x14ac:dyDescent="0.2">
      <c r="A28" s="512">
        <v>4</v>
      </c>
      <c r="B28" s="511" t="s">
        <v>114</v>
      </c>
      <c r="C28" s="513">
        <v>26479666</v>
      </c>
      <c r="D28" s="515">
        <v>30243245</v>
      </c>
      <c r="E28" s="514">
        <f t="shared" si="1"/>
        <v>3763579</v>
      </c>
    </row>
    <row r="29" spans="1:5" s="506" customFormat="1" x14ac:dyDescent="0.2">
      <c r="A29" s="512">
        <v>5</v>
      </c>
      <c r="B29" s="511" t="s">
        <v>732</v>
      </c>
      <c r="C29" s="513">
        <v>143655</v>
      </c>
      <c r="D29" s="515">
        <v>205041</v>
      </c>
      <c r="E29" s="514">
        <f t="shared" si="1"/>
        <v>61386</v>
      </c>
    </row>
    <row r="30" spans="1:5" s="506" customFormat="1" x14ac:dyDescent="0.2">
      <c r="A30" s="512">
        <v>6</v>
      </c>
      <c r="B30" s="511" t="s">
        <v>430</v>
      </c>
      <c r="C30" s="513">
        <v>442575</v>
      </c>
      <c r="D30" s="515">
        <v>523735</v>
      </c>
      <c r="E30" s="514">
        <f t="shared" si="1"/>
        <v>81160</v>
      </c>
    </row>
    <row r="31" spans="1:5" s="506" customFormat="1" x14ac:dyDescent="0.2">
      <c r="A31" s="512">
        <v>7</v>
      </c>
      <c r="B31" s="511" t="s">
        <v>747</v>
      </c>
      <c r="C31" s="514">
        <v>4234743</v>
      </c>
      <c r="D31" s="518">
        <v>5212131</v>
      </c>
      <c r="E31" s="514">
        <f t="shared" si="1"/>
        <v>977388</v>
      </c>
    </row>
    <row r="32" spans="1:5" s="506" customFormat="1" x14ac:dyDescent="0.2">
      <c r="A32" s="512"/>
      <c r="B32" s="516" t="s">
        <v>768</v>
      </c>
      <c r="C32" s="517">
        <f>SUM(C26+C27+C30)</f>
        <v>68251959</v>
      </c>
      <c r="D32" s="517">
        <f>SUM(D26+D27+D30)</f>
        <v>85546455</v>
      </c>
      <c r="E32" s="517">
        <f t="shared" si="1"/>
        <v>17294496</v>
      </c>
    </row>
    <row r="33" spans="1:5" s="506" customFormat="1" x14ac:dyDescent="0.2">
      <c r="A33" s="512"/>
      <c r="B33" s="516" t="s">
        <v>712</v>
      </c>
      <c r="C33" s="517">
        <f>SUM(C25+C32)</f>
        <v>121606008</v>
      </c>
      <c r="D33" s="517">
        <f>SUM(D25+D32)</f>
        <v>147747616</v>
      </c>
      <c r="E33" s="517">
        <f t="shared" si="1"/>
        <v>26141608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769</v>
      </c>
      <c r="C36" s="514">
        <f t="shared" ref="C36:D42" si="2">C14+C25</f>
        <v>74660403</v>
      </c>
      <c r="D36" s="514">
        <f t="shared" si="2"/>
        <v>84219906</v>
      </c>
      <c r="E36" s="514">
        <f t="shared" ref="E36:E44" si="3">D36-C36</f>
        <v>9559503</v>
      </c>
    </row>
    <row r="37" spans="1:5" s="506" customFormat="1" x14ac:dyDescent="0.2">
      <c r="A37" s="512">
        <v>2</v>
      </c>
      <c r="B37" s="511" t="s">
        <v>770</v>
      </c>
      <c r="C37" s="514">
        <f t="shared" si="2"/>
        <v>94315886</v>
      </c>
      <c r="D37" s="514">
        <f t="shared" si="2"/>
        <v>109432364</v>
      </c>
      <c r="E37" s="514">
        <f t="shared" si="3"/>
        <v>15116478</v>
      </c>
    </row>
    <row r="38" spans="1:5" s="506" customFormat="1" x14ac:dyDescent="0.2">
      <c r="A38" s="512">
        <v>3</v>
      </c>
      <c r="B38" s="511" t="s">
        <v>771</v>
      </c>
      <c r="C38" s="514">
        <f t="shared" si="2"/>
        <v>38774691</v>
      </c>
      <c r="D38" s="514">
        <f t="shared" si="2"/>
        <v>42410322</v>
      </c>
      <c r="E38" s="514">
        <f t="shared" si="3"/>
        <v>3635631</v>
      </c>
    </row>
    <row r="39" spans="1:5" s="506" customFormat="1" x14ac:dyDescent="0.2">
      <c r="A39" s="512">
        <v>4</v>
      </c>
      <c r="B39" s="511" t="s">
        <v>772</v>
      </c>
      <c r="C39" s="514">
        <f t="shared" si="2"/>
        <v>38541692</v>
      </c>
      <c r="D39" s="514">
        <f t="shared" si="2"/>
        <v>42133968</v>
      </c>
      <c r="E39" s="514">
        <f t="shared" si="3"/>
        <v>3592276</v>
      </c>
    </row>
    <row r="40" spans="1:5" s="506" customFormat="1" x14ac:dyDescent="0.2">
      <c r="A40" s="512">
        <v>5</v>
      </c>
      <c r="B40" s="511" t="s">
        <v>773</v>
      </c>
      <c r="C40" s="514">
        <f t="shared" si="2"/>
        <v>232999</v>
      </c>
      <c r="D40" s="514">
        <f t="shared" si="2"/>
        <v>276354</v>
      </c>
      <c r="E40" s="514">
        <f t="shared" si="3"/>
        <v>43355</v>
      </c>
    </row>
    <row r="41" spans="1:5" s="506" customFormat="1" x14ac:dyDescent="0.2">
      <c r="A41" s="512">
        <v>6</v>
      </c>
      <c r="B41" s="511" t="s">
        <v>774</v>
      </c>
      <c r="C41" s="514">
        <f t="shared" si="2"/>
        <v>878617</v>
      </c>
      <c r="D41" s="514">
        <f t="shared" si="2"/>
        <v>1006827</v>
      </c>
      <c r="E41" s="514">
        <f t="shared" si="3"/>
        <v>128210</v>
      </c>
    </row>
    <row r="42" spans="1:5" s="506" customFormat="1" x14ac:dyDescent="0.2">
      <c r="A42" s="512">
        <v>7</v>
      </c>
      <c r="B42" s="511" t="s">
        <v>775</v>
      </c>
      <c r="C42" s="514">
        <f t="shared" si="2"/>
        <v>5160009</v>
      </c>
      <c r="D42" s="514">
        <f t="shared" si="2"/>
        <v>6510590</v>
      </c>
      <c r="E42" s="514">
        <f t="shared" si="3"/>
        <v>1350581</v>
      </c>
    </row>
    <row r="43" spans="1:5" s="506" customFormat="1" x14ac:dyDescent="0.2">
      <c r="A43" s="512"/>
      <c r="B43" s="516" t="s">
        <v>776</v>
      </c>
      <c r="C43" s="517">
        <f>SUM(C37+C38+C41)</f>
        <v>133969194</v>
      </c>
      <c r="D43" s="517">
        <f>SUM(D37+D38+D41)</f>
        <v>152849513</v>
      </c>
      <c r="E43" s="517">
        <f t="shared" si="3"/>
        <v>18880319</v>
      </c>
    </row>
    <row r="44" spans="1:5" s="506" customFormat="1" x14ac:dyDescent="0.2">
      <c r="A44" s="512"/>
      <c r="B44" s="516" t="s">
        <v>714</v>
      </c>
      <c r="C44" s="517">
        <f>SUM(C36+C43)</f>
        <v>208629597</v>
      </c>
      <c r="D44" s="517">
        <f>SUM(D36+D43)</f>
        <v>237069419</v>
      </c>
      <c r="E44" s="517">
        <f t="shared" si="3"/>
        <v>28439822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640</v>
      </c>
      <c r="C47" s="513">
        <v>14960400</v>
      </c>
      <c r="D47" s="513">
        <v>14596102</v>
      </c>
      <c r="E47" s="514">
        <f t="shared" ref="E47:E55" si="4">D47-C47</f>
        <v>-364298</v>
      </c>
    </row>
    <row r="48" spans="1:5" s="506" customFormat="1" x14ac:dyDescent="0.2">
      <c r="A48" s="512">
        <v>2</v>
      </c>
      <c r="B48" s="511" t="s">
        <v>619</v>
      </c>
      <c r="C48" s="513">
        <v>33689093</v>
      </c>
      <c r="D48" s="515">
        <v>32316300</v>
      </c>
      <c r="E48" s="514">
        <f t="shared" si="4"/>
        <v>-1372793</v>
      </c>
    </row>
    <row r="49" spans="1:5" s="506" customFormat="1" x14ac:dyDescent="0.2">
      <c r="A49" s="512">
        <v>3</v>
      </c>
      <c r="B49" s="511" t="s">
        <v>765</v>
      </c>
      <c r="C49" s="513">
        <v>5584649</v>
      </c>
      <c r="D49" s="515">
        <v>5157587</v>
      </c>
      <c r="E49" s="514">
        <f t="shared" si="4"/>
        <v>-427062</v>
      </c>
    </row>
    <row r="50" spans="1:5" s="506" customFormat="1" x14ac:dyDescent="0.2">
      <c r="A50" s="512">
        <v>4</v>
      </c>
      <c r="B50" s="511" t="s">
        <v>114</v>
      </c>
      <c r="C50" s="513">
        <v>5550692</v>
      </c>
      <c r="D50" s="515">
        <v>5127166</v>
      </c>
      <c r="E50" s="514">
        <f t="shared" si="4"/>
        <v>-423526</v>
      </c>
    </row>
    <row r="51" spans="1:5" s="506" customFormat="1" x14ac:dyDescent="0.2">
      <c r="A51" s="512">
        <v>5</v>
      </c>
      <c r="B51" s="511" t="s">
        <v>732</v>
      </c>
      <c r="C51" s="513">
        <v>33957</v>
      </c>
      <c r="D51" s="515">
        <v>30421</v>
      </c>
      <c r="E51" s="514">
        <f t="shared" si="4"/>
        <v>-3536</v>
      </c>
    </row>
    <row r="52" spans="1:5" s="506" customFormat="1" x14ac:dyDescent="0.2">
      <c r="A52" s="512">
        <v>6</v>
      </c>
      <c r="B52" s="511" t="s">
        <v>430</v>
      </c>
      <c r="C52" s="513">
        <v>257522</v>
      </c>
      <c r="D52" s="515">
        <v>282459</v>
      </c>
      <c r="E52" s="514">
        <f t="shared" si="4"/>
        <v>24937</v>
      </c>
    </row>
    <row r="53" spans="1:5" s="506" customFormat="1" x14ac:dyDescent="0.2">
      <c r="A53" s="512">
        <v>7</v>
      </c>
      <c r="B53" s="511" t="s">
        <v>747</v>
      </c>
      <c r="C53" s="513">
        <v>263226</v>
      </c>
      <c r="D53" s="515">
        <v>330637</v>
      </c>
      <c r="E53" s="514">
        <f t="shared" si="4"/>
        <v>67411</v>
      </c>
    </row>
    <row r="54" spans="1:5" s="506" customFormat="1" x14ac:dyDescent="0.2">
      <c r="A54" s="512"/>
      <c r="B54" s="516" t="s">
        <v>778</v>
      </c>
      <c r="C54" s="517">
        <f>SUM(C48+C49+C52)</f>
        <v>39531264</v>
      </c>
      <c r="D54" s="517">
        <f>SUM(D48+D49+D52)</f>
        <v>37756346</v>
      </c>
      <c r="E54" s="517">
        <f t="shared" si="4"/>
        <v>-1774918</v>
      </c>
    </row>
    <row r="55" spans="1:5" s="506" customFormat="1" x14ac:dyDescent="0.2">
      <c r="A55" s="512"/>
      <c r="B55" s="516" t="s">
        <v>707</v>
      </c>
      <c r="C55" s="517">
        <f>SUM(C47+C54)</f>
        <v>54491664</v>
      </c>
      <c r="D55" s="517">
        <f>SUM(D47+D54)</f>
        <v>52352448</v>
      </c>
      <c r="E55" s="517">
        <f t="shared" si="4"/>
        <v>-2139216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640</v>
      </c>
      <c r="C58" s="513">
        <v>26193455</v>
      </c>
      <c r="D58" s="513">
        <v>29606147</v>
      </c>
      <c r="E58" s="514">
        <f t="shared" ref="E58:E66" si="5">D58-C58</f>
        <v>3412692</v>
      </c>
    </row>
    <row r="59" spans="1:5" s="506" customFormat="1" x14ac:dyDescent="0.2">
      <c r="A59" s="512">
        <v>2</v>
      </c>
      <c r="B59" s="511" t="s">
        <v>619</v>
      </c>
      <c r="C59" s="513">
        <v>17053020</v>
      </c>
      <c r="D59" s="515">
        <v>21046538</v>
      </c>
      <c r="E59" s="514">
        <f t="shared" si="5"/>
        <v>3993518</v>
      </c>
    </row>
    <row r="60" spans="1:5" s="506" customFormat="1" x14ac:dyDescent="0.2">
      <c r="A60" s="512">
        <v>3</v>
      </c>
      <c r="B60" s="511" t="s">
        <v>765</v>
      </c>
      <c r="C60" s="513">
        <f>C61+C62</f>
        <v>9335869</v>
      </c>
      <c r="D60" s="515">
        <f>D61+D62</f>
        <v>9788843</v>
      </c>
      <c r="E60" s="514">
        <f t="shared" si="5"/>
        <v>452974</v>
      </c>
    </row>
    <row r="61" spans="1:5" s="506" customFormat="1" x14ac:dyDescent="0.2">
      <c r="A61" s="512">
        <v>4</v>
      </c>
      <c r="B61" s="511" t="s">
        <v>114</v>
      </c>
      <c r="C61" s="513">
        <v>9301957</v>
      </c>
      <c r="D61" s="515">
        <v>9751063</v>
      </c>
      <c r="E61" s="514">
        <f t="shared" si="5"/>
        <v>449106</v>
      </c>
    </row>
    <row r="62" spans="1:5" s="506" customFormat="1" x14ac:dyDescent="0.2">
      <c r="A62" s="512">
        <v>5</v>
      </c>
      <c r="B62" s="511" t="s">
        <v>732</v>
      </c>
      <c r="C62" s="513">
        <v>33912</v>
      </c>
      <c r="D62" s="515">
        <v>37780</v>
      </c>
      <c r="E62" s="514">
        <f t="shared" si="5"/>
        <v>3868</v>
      </c>
    </row>
    <row r="63" spans="1:5" s="506" customFormat="1" x14ac:dyDescent="0.2">
      <c r="A63" s="512">
        <v>6</v>
      </c>
      <c r="B63" s="511" t="s">
        <v>430</v>
      </c>
      <c r="C63" s="513">
        <v>201704</v>
      </c>
      <c r="D63" s="515">
        <v>189582</v>
      </c>
      <c r="E63" s="514">
        <f t="shared" si="5"/>
        <v>-12122</v>
      </c>
    </row>
    <row r="64" spans="1:5" s="506" customFormat="1" x14ac:dyDescent="0.2">
      <c r="A64" s="512">
        <v>7</v>
      </c>
      <c r="B64" s="511" t="s">
        <v>747</v>
      </c>
      <c r="C64" s="513">
        <v>1204728</v>
      </c>
      <c r="D64" s="515">
        <v>1327208</v>
      </c>
      <c r="E64" s="514">
        <f t="shared" si="5"/>
        <v>122480</v>
      </c>
    </row>
    <row r="65" spans="1:5" s="506" customFormat="1" x14ac:dyDescent="0.2">
      <c r="A65" s="512"/>
      <c r="B65" s="516" t="s">
        <v>780</v>
      </c>
      <c r="C65" s="517">
        <f>SUM(C59+C60+C63)</f>
        <v>26590593</v>
      </c>
      <c r="D65" s="517">
        <f>SUM(D59+D60+D63)</f>
        <v>31024963</v>
      </c>
      <c r="E65" s="517">
        <f t="shared" si="5"/>
        <v>4434370</v>
      </c>
    </row>
    <row r="66" spans="1:5" s="506" customFormat="1" x14ac:dyDescent="0.2">
      <c r="A66" s="512"/>
      <c r="B66" s="516" t="s">
        <v>713</v>
      </c>
      <c r="C66" s="517">
        <f>SUM(C58+C65)</f>
        <v>52784048</v>
      </c>
      <c r="D66" s="517">
        <f>SUM(D58+D65)</f>
        <v>60631110</v>
      </c>
      <c r="E66" s="517">
        <f t="shared" si="5"/>
        <v>7847062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769</v>
      </c>
      <c r="C69" s="514">
        <f t="shared" ref="C69:D75" si="6">C47+C58</f>
        <v>41153855</v>
      </c>
      <c r="D69" s="514">
        <f t="shared" si="6"/>
        <v>44202249</v>
      </c>
      <c r="E69" s="514">
        <f t="shared" ref="E69:E77" si="7">D69-C69</f>
        <v>3048394</v>
      </c>
    </row>
    <row r="70" spans="1:5" s="506" customFormat="1" x14ac:dyDescent="0.2">
      <c r="A70" s="512">
        <v>2</v>
      </c>
      <c r="B70" s="511" t="s">
        <v>770</v>
      </c>
      <c r="C70" s="514">
        <f t="shared" si="6"/>
        <v>50742113</v>
      </c>
      <c r="D70" s="514">
        <f t="shared" si="6"/>
        <v>53362838</v>
      </c>
      <c r="E70" s="514">
        <f t="shared" si="7"/>
        <v>2620725</v>
      </c>
    </row>
    <row r="71" spans="1:5" s="506" customFormat="1" x14ac:dyDescent="0.2">
      <c r="A71" s="512">
        <v>3</v>
      </c>
      <c r="B71" s="511" t="s">
        <v>771</v>
      </c>
      <c r="C71" s="514">
        <f t="shared" si="6"/>
        <v>14920518</v>
      </c>
      <c r="D71" s="514">
        <f t="shared" si="6"/>
        <v>14946430</v>
      </c>
      <c r="E71" s="514">
        <f t="shared" si="7"/>
        <v>25912</v>
      </c>
    </row>
    <row r="72" spans="1:5" s="506" customFormat="1" x14ac:dyDescent="0.2">
      <c r="A72" s="512">
        <v>4</v>
      </c>
      <c r="B72" s="511" t="s">
        <v>772</v>
      </c>
      <c r="C72" s="514">
        <f t="shared" si="6"/>
        <v>14852649</v>
      </c>
      <c r="D72" s="514">
        <f t="shared" si="6"/>
        <v>14878229</v>
      </c>
      <c r="E72" s="514">
        <f t="shared" si="7"/>
        <v>25580</v>
      </c>
    </row>
    <row r="73" spans="1:5" s="506" customFormat="1" x14ac:dyDescent="0.2">
      <c r="A73" s="512">
        <v>5</v>
      </c>
      <c r="B73" s="511" t="s">
        <v>773</v>
      </c>
      <c r="C73" s="514">
        <f t="shared" si="6"/>
        <v>67869</v>
      </c>
      <c r="D73" s="514">
        <f t="shared" si="6"/>
        <v>68201</v>
      </c>
      <c r="E73" s="514">
        <f t="shared" si="7"/>
        <v>332</v>
      </c>
    </row>
    <row r="74" spans="1:5" s="506" customFormat="1" x14ac:dyDescent="0.2">
      <c r="A74" s="512">
        <v>6</v>
      </c>
      <c r="B74" s="511" t="s">
        <v>774</v>
      </c>
      <c r="C74" s="514">
        <f t="shared" si="6"/>
        <v>459226</v>
      </c>
      <c r="D74" s="514">
        <f t="shared" si="6"/>
        <v>472041</v>
      </c>
      <c r="E74" s="514">
        <f t="shared" si="7"/>
        <v>12815</v>
      </c>
    </row>
    <row r="75" spans="1:5" s="506" customFormat="1" x14ac:dyDescent="0.2">
      <c r="A75" s="512">
        <v>7</v>
      </c>
      <c r="B75" s="511" t="s">
        <v>775</v>
      </c>
      <c r="C75" s="514">
        <f t="shared" si="6"/>
        <v>1467954</v>
      </c>
      <c r="D75" s="514">
        <f t="shared" si="6"/>
        <v>1657845</v>
      </c>
      <c r="E75" s="514">
        <f t="shared" si="7"/>
        <v>189891</v>
      </c>
    </row>
    <row r="76" spans="1:5" s="506" customFormat="1" x14ac:dyDescent="0.2">
      <c r="A76" s="512"/>
      <c r="B76" s="516" t="s">
        <v>781</v>
      </c>
      <c r="C76" s="517">
        <f>SUM(C70+C71+C74)</f>
        <v>66121857</v>
      </c>
      <c r="D76" s="517">
        <f>SUM(D70+D71+D74)</f>
        <v>68781309</v>
      </c>
      <c r="E76" s="517">
        <f t="shared" si="7"/>
        <v>2659452</v>
      </c>
    </row>
    <row r="77" spans="1:5" s="506" customFormat="1" x14ac:dyDescent="0.2">
      <c r="A77" s="512"/>
      <c r="B77" s="516" t="s">
        <v>715</v>
      </c>
      <c r="C77" s="517">
        <f>SUM(C69+C76)</f>
        <v>107275712</v>
      </c>
      <c r="D77" s="517">
        <f>SUM(D69+D76)</f>
        <v>112983558</v>
      </c>
      <c r="E77" s="517">
        <f t="shared" si="7"/>
        <v>5707846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640</v>
      </c>
      <c r="C83" s="523">
        <f t="shared" ref="C83:D89" si="8">IF(C$44=0,0,C14/C$44)</f>
        <v>0.10212527036612164</v>
      </c>
      <c r="D83" s="523">
        <f t="shared" si="8"/>
        <v>9.287889215268208E-2</v>
      </c>
      <c r="E83" s="523">
        <f t="shared" ref="E83:E91" si="9">D83-C83</f>
        <v>-9.2463782134395572E-3</v>
      </c>
    </row>
    <row r="84" spans="1:5" s="506" customFormat="1" x14ac:dyDescent="0.2">
      <c r="A84" s="512">
        <v>2</v>
      </c>
      <c r="B84" s="511" t="s">
        <v>619</v>
      </c>
      <c r="C84" s="523">
        <f t="shared" si="8"/>
        <v>0.25466100574406997</v>
      </c>
      <c r="D84" s="523">
        <f t="shared" si="8"/>
        <v>0.23140028026980569</v>
      </c>
      <c r="E84" s="523">
        <f t="shared" si="9"/>
        <v>-2.3260725474264277E-2</v>
      </c>
    </row>
    <row r="85" spans="1:5" s="506" customFormat="1" x14ac:dyDescent="0.2">
      <c r="A85" s="512">
        <v>3</v>
      </c>
      <c r="B85" s="511" t="s">
        <v>765</v>
      </c>
      <c r="C85" s="523">
        <f t="shared" si="8"/>
        <v>5.8243749567325288E-2</v>
      </c>
      <c r="D85" s="523">
        <f t="shared" si="8"/>
        <v>5.0457946244007117E-2</v>
      </c>
      <c r="E85" s="523">
        <f t="shared" si="9"/>
        <v>-7.7858033233181717E-3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5.7815507355842712E-2</v>
      </c>
      <c r="D86" s="523">
        <f t="shared" si="8"/>
        <v>5.0157135619419556E-2</v>
      </c>
      <c r="E86" s="523">
        <f t="shared" si="9"/>
        <v>-7.6583717364231557E-3</v>
      </c>
    </row>
    <row r="87" spans="1:5" s="506" customFormat="1" x14ac:dyDescent="0.2">
      <c r="A87" s="512">
        <v>5</v>
      </c>
      <c r="B87" s="511" t="s">
        <v>732</v>
      </c>
      <c r="C87" s="523">
        <f t="shared" si="8"/>
        <v>4.282422114825827E-4</v>
      </c>
      <c r="D87" s="523">
        <f t="shared" si="8"/>
        <v>3.0081062458756015E-4</v>
      </c>
      <c r="E87" s="523">
        <f t="shared" si="9"/>
        <v>-1.2743158689502255E-4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2.0900294410289254E-3</v>
      </c>
      <c r="D88" s="523">
        <f t="shared" si="8"/>
        <v>2.0377659929220987E-3</v>
      </c>
      <c r="E88" s="523">
        <f t="shared" si="9"/>
        <v>-5.2263448106826694E-5</v>
      </c>
    </row>
    <row r="89" spans="1:5" s="506" customFormat="1" x14ac:dyDescent="0.2">
      <c r="A89" s="512">
        <v>7</v>
      </c>
      <c r="B89" s="511" t="s">
        <v>747</v>
      </c>
      <c r="C89" s="523">
        <f t="shared" si="8"/>
        <v>4.434969981751918E-3</v>
      </c>
      <c r="D89" s="523">
        <f t="shared" si="8"/>
        <v>5.4771256684102302E-3</v>
      </c>
      <c r="E89" s="523">
        <f t="shared" si="9"/>
        <v>1.0421556866583121E-3</v>
      </c>
    </row>
    <row r="90" spans="1:5" s="506" customFormat="1" x14ac:dyDescent="0.2">
      <c r="A90" s="512"/>
      <c r="B90" s="516" t="s">
        <v>784</v>
      </c>
      <c r="C90" s="524">
        <f>SUM(C84+C85+C88)</f>
        <v>0.31499478475242421</v>
      </c>
      <c r="D90" s="524">
        <f>SUM(D84+D85+D88)</f>
        <v>0.28389599250673492</v>
      </c>
      <c r="E90" s="525">
        <f t="shared" si="9"/>
        <v>-3.1098792245689288E-2</v>
      </c>
    </row>
    <row r="91" spans="1:5" s="506" customFormat="1" x14ac:dyDescent="0.2">
      <c r="A91" s="512"/>
      <c r="B91" s="516" t="s">
        <v>785</v>
      </c>
      <c r="C91" s="524">
        <f>SUM(C83+C90)</f>
        <v>0.41712005511854583</v>
      </c>
      <c r="D91" s="524">
        <f>SUM(D83+D90)</f>
        <v>0.376774884659417</v>
      </c>
      <c r="E91" s="525">
        <f t="shared" si="9"/>
        <v>-4.0345170459128832E-2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640</v>
      </c>
      <c r="C95" s="523">
        <f t="shared" ref="C95:D101" si="10">IF(C$44=0,0,C25/C$44)</f>
        <v>0.25573576216992838</v>
      </c>
      <c r="D95" s="523">
        <f t="shared" si="10"/>
        <v>0.26237530450943569</v>
      </c>
      <c r="E95" s="523">
        <f t="shared" ref="E95:E103" si="11">D95-C95</f>
        <v>6.6395423395073094E-3</v>
      </c>
    </row>
    <row r="96" spans="1:5" s="506" customFormat="1" x14ac:dyDescent="0.2">
      <c r="A96" s="512">
        <v>2</v>
      </c>
      <c r="B96" s="511" t="s">
        <v>619</v>
      </c>
      <c r="C96" s="523">
        <f t="shared" si="10"/>
        <v>0.19741236906094392</v>
      </c>
      <c r="D96" s="523">
        <f t="shared" si="10"/>
        <v>0.23020444488455932</v>
      </c>
      <c r="E96" s="523">
        <f t="shared" si="11"/>
        <v>3.2792075823615402E-2</v>
      </c>
    </row>
    <row r="97" spans="1:5" s="506" customFormat="1" x14ac:dyDescent="0.2">
      <c r="A97" s="512">
        <v>3</v>
      </c>
      <c r="B97" s="511" t="s">
        <v>765</v>
      </c>
      <c r="C97" s="523">
        <f t="shared" si="10"/>
        <v>0.12761047033992975</v>
      </c>
      <c r="D97" s="523">
        <f t="shared" si="10"/>
        <v>0.12843616071797095</v>
      </c>
      <c r="E97" s="523">
        <f t="shared" si="11"/>
        <v>8.2569037804119949E-4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0.12692190552426749</v>
      </c>
      <c r="D98" s="523">
        <f t="shared" si="10"/>
        <v>0.12757126215423004</v>
      </c>
      <c r="E98" s="523">
        <f t="shared" si="11"/>
        <v>6.4935662996254417E-4</v>
      </c>
    </row>
    <row r="99" spans="1:5" s="506" customFormat="1" x14ac:dyDescent="0.2">
      <c r="A99" s="512">
        <v>5</v>
      </c>
      <c r="B99" s="511" t="s">
        <v>732</v>
      </c>
      <c r="C99" s="523">
        <f t="shared" si="10"/>
        <v>6.8856481566227634E-4</v>
      </c>
      <c r="D99" s="523">
        <f t="shared" si="10"/>
        <v>8.648985637409437E-4</v>
      </c>
      <c r="E99" s="523">
        <f t="shared" si="11"/>
        <v>1.7633374807866735E-4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2.1213433106521315E-3</v>
      </c>
      <c r="D100" s="523">
        <f t="shared" si="10"/>
        <v>2.2092052286170239E-3</v>
      </c>
      <c r="E100" s="523">
        <f t="shared" si="11"/>
        <v>8.786191796489231E-5</v>
      </c>
    </row>
    <row r="101" spans="1:5" s="506" customFormat="1" x14ac:dyDescent="0.2">
      <c r="A101" s="512">
        <v>7</v>
      </c>
      <c r="B101" s="511" t="s">
        <v>747</v>
      </c>
      <c r="C101" s="523">
        <f t="shared" si="10"/>
        <v>2.0297901452592079E-2</v>
      </c>
      <c r="D101" s="523">
        <f t="shared" si="10"/>
        <v>2.1985674162385321E-2</v>
      </c>
      <c r="E101" s="523">
        <f t="shared" si="11"/>
        <v>1.6877727097932421E-3</v>
      </c>
    </row>
    <row r="102" spans="1:5" s="506" customFormat="1" x14ac:dyDescent="0.2">
      <c r="A102" s="512"/>
      <c r="B102" s="516" t="s">
        <v>787</v>
      </c>
      <c r="C102" s="524">
        <f>SUM(C96+C97+C100)</f>
        <v>0.32714418271152579</v>
      </c>
      <c r="D102" s="524">
        <f>SUM(D96+D97+D100)</f>
        <v>0.36084981083114731</v>
      </c>
      <c r="E102" s="525">
        <f t="shared" si="11"/>
        <v>3.3705628119621522E-2</v>
      </c>
    </row>
    <row r="103" spans="1:5" s="506" customFormat="1" x14ac:dyDescent="0.2">
      <c r="A103" s="512"/>
      <c r="B103" s="516" t="s">
        <v>788</v>
      </c>
      <c r="C103" s="524">
        <f>SUM(C95+C102)</f>
        <v>0.58287994488145412</v>
      </c>
      <c r="D103" s="524">
        <f>SUM(D95+D102)</f>
        <v>0.623225115340583</v>
      </c>
      <c r="E103" s="525">
        <f t="shared" si="11"/>
        <v>4.0345170459128887E-2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640</v>
      </c>
      <c r="C109" s="523">
        <f t="shared" ref="C109:D115" si="12">IF(C$77=0,0,C47/C$77)</f>
        <v>0.13945747570521835</v>
      </c>
      <c r="D109" s="523">
        <f t="shared" si="12"/>
        <v>0.12918784165037536</v>
      </c>
      <c r="E109" s="523">
        <f t="shared" ref="E109:E117" si="13">D109-C109</f>
        <v>-1.0269634054842991E-2</v>
      </c>
    </row>
    <row r="110" spans="1:5" s="506" customFormat="1" x14ac:dyDescent="0.2">
      <c r="A110" s="512">
        <v>2</v>
      </c>
      <c r="B110" s="511" t="s">
        <v>619</v>
      </c>
      <c r="C110" s="523">
        <f t="shared" si="12"/>
        <v>0.31404212912611573</v>
      </c>
      <c r="D110" s="523">
        <f t="shared" si="12"/>
        <v>0.28602657388431685</v>
      </c>
      <c r="E110" s="523">
        <f t="shared" si="13"/>
        <v>-2.8015555241798884E-2</v>
      </c>
    </row>
    <row r="111" spans="1:5" s="506" customFormat="1" x14ac:dyDescent="0.2">
      <c r="A111" s="512">
        <v>3</v>
      </c>
      <c r="B111" s="511" t="s">
        <v>765</v>
      </c>
      <c r="C111" s="523">
        <f t="shared" si="12"/>
        <v>5.2058838817121998E-2</v>
      </c>
      <c r="D111" s="523">
        <f t="shared" si="12"/>
        <v>4.5649004964067423E-2</v>
      </c>
      <c r="E111" s="523">
        <f t="shared" si="13"/>
        <v>-6.4098338530545751E-3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5.1742299319346395E-2</v>
      </c>
      <c r="D112" s="523">
        <f t="shared" si="12"/>
        <v>4.5379753397392565E-2</v>
      </c>
      <c r="E112" s="523">
        <f t="shared" si="13"/>
        <v>-6.36254592195383E-3</v>
      </c>
    </row>
    <row r="113" spans="1:5" s="506" customFormat="1" x14ac:dyDescent="0.2">
      <c r="A113" s="512">
        <v>5</v>
      </c>
      <c r="B113" s="511" t="s">
        <v>732</v>
      </c>
      <c r="C113" s="523">
        <f t="shared" si="12"/>
        <v>3.1653949777560086E-4</v>
      </c>
      <c r="D113" s="523">
        <f t="shared" si="12"/>
        <v>2.6925156667486076E-4</v>
      </c>
      <c r="E113" s="523">
        <f t="shared" si="13"/>
        <v>-4.7287931100740098E-5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2.4005620209726504E-3</v>
      </c>
      <c r="D114" s="523">
        <f t="shared" si="12"/>
        <v>2.5000009293387627E-3</v>
      </c>
      <c r="E114" s="523">
        <f t="shared" si="13"/>
        <v>9.9438908366112234E-5</v>
      </c>
    </row>
    <row r="115" spans="1:5" s="506" customFormat="1" x14ac:dyDescent="0.2">
      <c r="A115" s="512">
        <v>7</v>
      </c>
      <c r="B115" s="511" t="s">
        <v>747</v>
      </c>
      <c r="C115" s="523">
        <f t="shared" si="12"/>
        <v>2.4537334229019145E-3</v>
      </c>
      <c r="D115" s="523">
        <f t="shared" si="12"/>
        <v>2.9264169570584774E-3</v>
      </c>
      <c r="E115" s="523">
        <f t="shared" si="13"/>
        <v>4.7268353415656295E-4</v>
      </c>
    </row>
    <row r="116" spans="1:5" s="506" customFormat="1" x14ac:dyDescent="0.2">
      <c r="A116" s="512"/>
      <c r="B116" s="516" t="s">
        <v>784</v>
      </c>
      <c r="C116" s="524">
        <f>SUM(C110+C111+C114)</f>
        <v>0.36850152996421037</v>
      </c>
      <c r="D116" s="524">
        <f>SUM(D110+D111+D114)</f>
        <v>0.33417557977772305</v>
      </c>
      <c r="E116" s="525">
        <f t="shared" si="13"/>
        <v>-3.432595018648732E-2</v>
      </c>
    </row>
    <row r="117" spans="1:5" s="506" customFormat="1" x14ac:dyDescent="0.2">
      <c r="A117" s="512"/>
      <c r="B117" s="516" t="s">
        <v>785</v>
      </c>
      <c r="C117" s="524">
        <f>SUM(C109+C116)</f>
        <v>0.50795900566942875</v>
      </c>
      <c r="D117" s="524">
        <f>SUM(D109+D116)</f>
        <v>0.46336342142809839</v>
      </c>
      <c r="E117" s="525">
        <f t="shared" si="13"/>
        <v>-4.4595584241330366E-2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640</v>
      </c>
      <c r="C121" s="523">
        <f t="shared" ref="C121:D127" si="14">IF(C$77=0,0,C58/C$77)</f>
        <v>0.24416948171828493</v>
      </c>
      <c r="D121" s="523">
        <f t="shared" si="14"/>
        <v>0.26203942878130992</v>
      </c>
      <c r="E121" s="523">
        <f t="shared" ref="E121:E129" si="15">D121-C121</f>
        <v>1.7869947063024999E-2</v>
      </c>
    </row>
    <row r="122" spans="1:5" s="506" customFormat="1" x14ac:dyDescent="0.2">
      <c r="A122" s="512">
        <v>2</v>
      </c>
      <c r="B122" s="511" t="s">
        <v>619</v>
      </c>
      <c r="C122" s="523">
        <f t="shared" si="14"/>
        <v>0.15896440752590857</v>
      </c>
      <c r="D122" s="523">
        <f t="shared" si="14"/>
        <v>0.18627965318635123</v>
      </c>
      <c r="E122" s="523">
        <f t="shared" si="15"/>
        <v>2.7315245660442661E-2</v>
      </c>
    </row>
    <row r="123" spans="1:5" s="506" customFormat="1" x14ac:dyDescent="0.2">
      <c r="A123" s="512">
        <v>3</v>
      </c>
      <c r="B123" s="511" t="s">
        <v>765</v>
      </c>
      <c r="C123" s="523">
        <f t="shared" si="14"/>
        <v>8.7026865876219953E-2</v>
      </c>
      <c r="D123" s="523">
        <f t="shared" si="14"/>
        <v>8.6639535639336129E-2</v>
      </c>
      <c r="E123" s="523">
        <f t="shared" si="15"/>
        <v>-3.8733023688382329E-4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8.6710745858298285E-2</v>
      </c>
      <c r="D124" s="523">
        <f t="shared" si="14"/>
        <v>8.6305150701662267E-2</v>
      </c>
      <c r="E124" s="523">
        <f t="shared" si="15"/>
        <v>-4.0559515663601831E-4</v>
      </c>
    </row>
    <row r="125" spans="1:5" s="506" customFormat="1" x14ac:dyDescent="0.2">
      <c r="A125" s="512">
        <v>5</v>
      </c>
      <c r="B125" s="511" t="s">
        <v>732</v>
      </c>
      <c r="C125" s="523">
        <f t="shared" si="14"/>
        <v>3.1612001792167085E-4</v>
      </c>
      <c r="D125" s="523">
        <f t="shared" si="14"/>
        <v>3.3438493767385161E-4</v>
      </c>
      <c r="E125" s="523">
        <f t="shared" si="15"/>
        <v>1.8264919752180762E-5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1.8802392101578407E-3</v>
      </c>
      <c r="D126" s="523">
        <f t="shared" si="14"/>
        <v>1.6779609649042917E-3</v>
      </c>
      <c r="E126" s="523">
        <f t="shared" si="15"/>
        <v>-2.0227824525354899E-4</v>
      </c>
    </row>
    <row r="127" spans="1:5" s="506" customFormat="1" x14ac:dyDescent="0.2">
      <c r="A127" s="512">
        <v>7</v>
      </c>
      <c r="B127" s="511" t="s">
        <v>747</v>
      </c>
      <c r="C127" s="523">
        <f t="shared" si="14"/>
        <v>1.123020278812039E-2</v>
      </c>
      <c r="D127" s="523">
        <f t="shared" si="14"/>
        <v>1.1746912767608185E-2</v>
      </c>
      <c r="E127" s="523">
        <f t="shared" si="15"/>
        <v>5.167099794877953E-4</v>
      </c>
    </row>
    <row r="128" spans="1:5" s="506" customFormat="1" x14ac:dyDescent="0.2">
      <c r="A128" s="512"/>
      <c r="B128" s="516" t="s">
        <v>787</v>
      </c>
      <c r="C128" s="524">
        <f>SUM(C122+C123+C126)</f>
        <v>0.24787151261228635</v>
      </c>
      <c r="D128" s="524">
        <f>SUM(D122+D123+D126)</f>
        <v>0.27459714979059163</v>
      </c>
      <c r="E128" s="525">
        <f t="shared" si="15"/>
        <v>2.6725637178305284E-2</v>
      </c>
    </row>
    <row r="129" spans="1:5" s="506" customFormat="1" x14ac:dyDescent="0.2">
      <c r="A129" s="512"/>
      <c r="B129" s="516" t="s">
        <v>788</v>
      </c>
      <c r="C129" s="524">
        <f>SUM(C121+C128)</f>
        <v>0.49204099433057125</v>
      </c>
      <c r="D129" s="524">
        <f>SUM(D121+D128)</f>
        <v>0.53663657857190161</v>
      </c>
      <c r="E129" s="525">
        <f t="shared" si="15"/>
        <v>4.4595584241330366E-2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640</v>
      </c>
      <c r="C137" s="530">
        <v>1747</v>
      </c>
      <c r="D137" s="530">
        <v>1720</v>
      </c>
      <c r="E137" s="531">
        <f t="shared" ref="E137:E145" si="16">D137-C137</f>
        <v>-27</v>
      </c>
    </row>
    <row r="138" spans="1:5" s="506" customFormat="1" x14ac:dyDescent="0.2">
      <c r="A138" s="512">
        <v>2</v>
      </c>
      <c r="B138" s="511" t="s">
        <v>619</v>
      </c>
      <c r="C138" s="530">
        <v>3532</v>
      </c>
      <c r="D138" s="530">
        <v>3482</v>
      </c>
      <c r="E138" s="531">
        <f t="shared" si="16"/>
        <v>-50</v>
      </c>
    </row>
    <row r="139" spans="1:5" s="506" customFormat="1" x14ac:dyDescent="0.2">
      <c r="A139" s="512">
        <v>3</v>
      </c>
      <c r="B139" s="511" t="s">
        <v>765</v>
      </c>
      <c r="C139" s="530">
        <f>C140+C141</f>
        <v>1200</v>
      </c>
      <c r="D139" s="530">
        <f>D140+D141</f>
        <v>1105</v>
      </c>
      <c r="E139" s="531">
        <f t="shared" si="16"/>
        <v>-95</v>
      </c>
    </row>
    <row r="140" spans="1:5" s="506" customFormat="1" x14ac:dyDescent="0.2">
      <c r="A140" s="512">
        <v>4</v>
      </c>
      <c r="B140" s="511" t="s">
        <v>114</v>
      </c>
      <c r="C140" s="530">
        <v>1192</v>
      </c>
      <c r="D140" s="530">
        <v>1103</v>
      </c>
      <c r="E140" s="531">
        <f t="shared" si="16"/>
        <v>-89</v>
      </c>
    </row>
    <row r="141" spans="1:5" s="506" customFormat="1" x14ac:dyDescent="0.2">
      <c r="A141" s="512">
        <v>5</v>
      </c>
      <c r="B141" s="511" t="s">
        <v>732</v>
      </c>
      <c r="C141" s="530">
        <v>8</v>
      </c>
      <c r="D141" s="530">
        <v>2</v>
      </c>
      <c r="E141" s="531">
        <f t="shared" si="16"/>
        <v>-6</v>
      </c>
    </row>
    <row r="142" spans="1:5" s="506" customFormat="1" x14ac:dyDescent="0.2">
      <c r="A142" s="512">
        <v>6</v>
      </c>
      <c r="B142" s="511" t="s">
        <v>430</v>
      </c>
      <c r="C142" s="530">
        <v>33</v>
      </c>
      <c r="D142" s="530">
        <v>31</v>
      </c>
      <c r="E142" s="531">
        <f t="shared" si="16"/>
        <v>-2</v>
      </c>
    </row>
    <row r="143" spans="1:5" s="506" customFormat="1" x14ac:dyDescent="0.2">
      <c r="A143" s="512">
        <v>7</v>
      </c>
      <c r="B143" s="511" t="s">
        <v>747</v>
      </c>
      <c r="C143" s="530">
        <v>90</v>
      </c>
      <c r="D143" s="530">
        <v>114</v>
      </c>
      <c r="E143" s="531">
        <f t="shared" si="16"/>
        <v>24</v>
      </c>
    </row>
    <row r="144" spans="1:5" s="506" customFormat="1" x14ac:dyDescent="0.2">
      <c r="A144" s="512"/>
      <c r="B144" s="516" t="s">
        <v>795</v>
      </c>
      <c r="C144" s="532">
        <f>SUM(C138+C139+C142)</f>
        <v>4765</v>
      </c>
      <c r="D144" s="532">
        <f>SUM(D138+D139+D142)</f>
        <v>4618</v>
      </c>
      <c r="E144" s="533">
        <f t="shared" si="16"/>
        <v>-147</v>
      </c>
    </row>
    <row r="145" spans="1:5" s="506" customFormat="1" x14ac:dyDescent="0.2">
      <c r="A145" s="512"/>
      <c r="B145" s="516" t="s">
        <v>709</v>
      </c>
      <c r="C145" s="532">
        <f>SUM(C137+C144)</f>
        <v>6512</v>
      </c>
      <c r="D145" s="532">
        <f>SUM(D137+D144)</f>
        <v>6338</v>
      </c>
      <c r="E145" s="533">
        <f t="shared" si="16"/>
        <v>-174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640</v>
      </c>
      <c r="C149" s="534">
        <v>5836</v>
      </c>
      <c r="D149" s="534">
        <v>5533</v>
      </c>
      <c r="E149" s="531">
        <f t="shared" ref="E149:E157" si="17">D149-C149</f>
        <v>-303</v>
      </c>
    </row>
    <row r="150" spans="1:5" s="506" customFormat="1" x14ac:dyDescent="0.2">
      <c r="A150" s="512">
        <v>2</v>
      </c>
      <c r="B150" s="511" t="s">
        <v>619</v>
      </c>
      <c r="C150" s="534">
        <v>16720</v>
      </c>
      <c r="D150" s="534">
        <v>15393</v>
      </c>
      <c r="E150" s="531">
        <f t="shared" si="17"/>
        <v>-1327</v>
      </c>
    </row>
    <row r="151" spans="1:5" s="506" customFormat="1" x14ac:dyDescent="0.2">
      <c r="A151" s="512">
        <v>3</v>
      </c>
      <c r="B151" s="511" t="s">
        <v>765</v>
      </c>
      <c r="C151" s="534">
        <f>C152+C153</f>
        <v>4757</v>
      </c>
      <c r="D151" s="534">
        <f>D152+D153</f>
        <v>4203</v>
      </c>
      <c r="E151" s="531">
        <f t="shared" si="17"/>
        <v>-554</v>
      </c>
    </row>
    <row r="152" spans="1:5" s="506" customFormat="1" x14ac:dyDescent="0.2">
      <c r="A152" s="512">
        <v>4</v>
      </c>
      <c r="B152" s="511" t="s">
        <v>114</v>
      </c>
      <c r="C152" s="534">
        <v>4733</v>
      </c>
      <c r="D152" s="534">
        <v>4172</v>
      </c>
      <c r="E152" s="531">
        <f t="shared" si="17"/>
        <v>-561</v>
      </c>
    </row>
    <row r="153" spans="1:5" s="506" customFormat="1" x14ac:dyDescent="0.2">
      <c r="A153" s="512">
        <v>5</v>
      </c>
      <c r="B153" s="511" t="s">
        <v>732</v>
      </c>
      <c r="C153" s="535">
        <v>24</v>
      </c>
      <c r="D153" s="534">
        <v>31</v>
      </c>
      <c r="E153" s="531">
        <f t="shared" si="17"/>
        <v>7</v>
      </c>
    </row>
    <row r="154" spans="1:5" s="506" customFormat="1" x14ac:dyDescent="0.2">
      <c r="A154" s="512">
        <v>6</v>
      </c>
      <c r="B154" s="511" t="s">
        <v>430</v>
      </c>
      <c r="C154" s="534">
        <v>112</v>
      </c>
      <c r="D154" s="534">
        <v>120</v>
      </c>
      <c r="E154" s="531">
        <f t="shared" si="17"/>
        <v>8</v>
      </c>
    </row>
    <row r="155" spans="1:5" s="506" customFormat="1" x14ac:dyDescent="0.2">
      <c r="A155" s="512">
        <v>7</v>
      </c>
      <c r="B155" s="511" t="s">
        <v>747</v>
      </c>
      <c r="C155" s="534">
        <v>352</v>
      </c>
      <c r="D155" s="534">
        <v>392</v>
      </c>
      <c r="E155" s="531">
        <f t="shared" si="17"/>
        <v>40</v>
      </c>
    </row>
    <row r="156" spans="1:5" s="506" customFormat="1" x14ac:dyDescent="0.2">
      <c r="A156" s="512"/>
      <c r="B156" s="516" t="s">
        <v>796</v>
      </c>
      <c r="C156" s="532">
        <f>SUM(C150+C151+C154)</f>
        <v>21589</v>
      </c>
      <c r="D156" s="532">
        <f>SUM(D150+D151+D154)</f>
        <v>19716</v>
      </c>
      <c r="E156" s="533">
        <f t="shared" si="17"/>
        <v>-1873</v>
      </c>
    </row>
    <row r="157" spans="1:5" s="506" customFormat="1" x14ac:dyDescent="0.2">
      <c r="A157" s="512"/>
      <c r="B157" s="516" t="s">
        <v>797</v>
      </c>
      <c r="C157" s="532">
        <f>SUM(C149+C156)</f>
        <v>27425</v>
      </c>
      <c r="D157" s="532">
        <f>SUM(D149+D156)</f>
        <v>25249</v>
      </c>
      <c r="E157" s="533">
        <f t="shared" si="17"/>
        <v>-2176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640</v>
      </c>
      <c r="C161" s="536">
        <f t="shared" ref="C161:D169" si="18">IF(C137=0,0,C149/C137)</f>
        <v>3.3405838580423581</v>
      </c>
      <c r="D161" s="536">
        <f t="shared" si="18"/>
        <v>3.2168604651162789</v>
      </c>
      <c r="E161" s="537">
        <f t="shared" ref="E161:E169" si="19">D161-C161</f>
        <v>-0.12372339292607926</v>
      </c>
    </row>
    <row r="162" spans="1:5" s="506" customFormat="1" x14ac:dyDescent="0.2">
      <c r="A162" s="512">
        <v>2</v>
      </c>
      <c r="B162" s="511" t="s">
        <v>619</v>
      </c>
      <c r="C162" s="536">
        <f t="shared" si="18"/>
        <v>4.7338618346545864</v>
      </c>
      <c r="D162" s="536">
        <f t="shared" si="18"/>
        <v>4.4207352096496271</v>
      </c>
      <c r="E162" s="537">
        <f t="shared" si="19"/>
        <v>-0.31312662500495936</v>
      </c>
    </row>
    <row r="163" spans="1:5" s="506" customFormat="1" x14ac:dyDescent="0.2">
      <c r="A163" s="512">
        <v>3</v>
      </c>
      <c r="B163" s="511" t="s">
        <v>765</v>
      </c>
      <c r="C163" s="536">
        <f t="shared" si="18"/>
        <v>3.9641666666666668</v>
      </c>
      <c r="D163" s="536">
        <f t="shared" si="18"/>
        <v>3.8036199095022623</v>
      </c>
      <c r="E163" s="537">
        <f t="shared" si="19"/>
        <v>-0.16054675716440459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3.9706375838926173</v>
      </c>
      <c r="D164" s="536">
        <f t="shared" si="18"/>
        <v>3.7824116047144152</v>
      </c>
      <c r="E164" s="537">
        <f t="shared" si="19"/>
        <v>-0.18822597917820216</v>
      </c>
    </row>
    <row r="165" spans="1:5" s="506" customFormat="1" x14ac:dyDescent="0.2">
      <c r="A165" s="512">
        <v>5</v>
      </c>
      <c r="B165" s="511" t="s">
        <v>732</v>
      </c>
      <c r="C165" s="536">
        <f t="shared" si="18"/>
        <v>3</v>
      </c>
      <c r="D165" s="536">
        <f t="shared" si="18"/>
        <v>15.5</v>
      </c>
      <c r="E165" s="537">
        <f t="shared" si="19"/>
        <v>12.5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3.393939393939394</v>
      </c>
      <c r="D166" s="536">
        <f t="shared" si="18"/>
        <v>3.870967741935484</v>
      </c>
      <c r="E166" s="537">
        <f t="shared" si="19"/>
        <v>0.47702834799608995</v>
      </c>
    </row>
    <row r="167" spans="1:5" s="506" customFormat="1" x14ac:dyDescent="0.2">
      <c r="A167" s="512">
        <v>7</v>
      </c>
      <c r="B167" s="511" t="s">
        <v>747</v>
      </c>
      <c r="C167" s="536">
        <f t="shared" si="18"/>
        <v>3.911111111111111</v>
      </c>
      <c r="D167" s="536">
        <f t="shared" si="18"/>
        <v>3.4385964912280702</v>
      </c>
      <c r="E167" s="537">
        <f t="shared" si="19"/>
        <v>-0.47251461988304078</v>
      </c>
    </row>
    <row r="168" spans="1:5" s="506" customFormat="1" x14ac:dyDescent="0.2">
      <c r="A168" s="512"/>
      <c r="B168" s="516" t="s">
        <v>799</v>
      </c>
      <c r="C168" s="538">
        <f t="shared" si="18"/>
        <v>4.5307450157397691</v>
      </c>
      <c r="D168" s="538">
        <f t="shared" si="18"/>
        <v>4.269380684278909</v>
      </c>
      <c r="E168" s="539">
        <f t="shared" si="19"/>
        <v>-0.26136433146086002</v>
      </c>
    </row>
    <row r="169" spans="1:5" s="506" customFormat="1" x14ac:dyDescent="0.2">
      <c r="A169" s="512"/>
      <c r="B169" s="516" t="s">
        <v>733</v>
      </c>
      <c r="C169" s="538">
        <f t="shared" si="18"/>
        <v>4.2114557739557741</v>
      </c>
      <c r="D169" s="538">
        <f t="shared" si="18"/>
        <v>3.9837488166614072</v>
      </c>
      <c r="E169" s="539">
        <f t="shared" si="19"/>
        <v>-0.22770695729436685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640</v>
      </c>
      <c r="C173" s="541">
        <f t="shared" ref="C173:D181" si="20">IF(C137=0,0,C203/C137)</f>
        <v>1.1544000000000001</v>
      </c>
      <c r="D173" s="541">
        <f t="shared" si="20"/>
        <v>1.1603000000000001</v>
      </c>
      <c r="E173" s="542">
        <f t="shared" ref="E173:E181" si="21">D173-C173</f>
        <v>5.9000000000000163E-3</v>
      </c>
    </row>
    <row r="174" spans="1:5" s="506" customFormat="1" x14ac:dyDescent="0.2">
      <c r="A174" s="512">
        <v>2</v>
      </c>
      <c r="B174" s="511" t="s">
        <v>619</v>
      </c>
      <c r="C174" s="541">
        <f t="shared" si="20"/>
        <v>1.4061999999999999</v>
      </c>
      <c r="D174" s="541">
        <f t="shared" si="20"/>
        <v>1.3565000000000003</v>
      </c>
      <c r="E174" s="542">
        <f t="shared" si="21"/>
        <v>-4.9699999999999633E-2</v>
      </c>
    </row>
    <row r="175" spans="1:5" s="506" customFormat="1" x14ac:dyDescent="0.2">
      <c r="A175" s="512">
        <v>0</v>
      </c>
      <c r="B175" s="511" t="s">
        <v>765</v>
      </c>
      <c r="C175" s="541">
        <f t="shared" si="20"/>
        <v>0.9732293333333335</v>
      </c>
      <c r="D175" s="541">
        <f t="shared" si="20"/>
        <v>1.0083133031674207</v>
      </c>
      <c r="E175" s="542">
        <f t="shared" si="21"/>
        <v>3.5083969834087236E-2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0.97260000000000013</v>
      </c>
      <c r="D176" s="541">
        <f t="shared" si="20"/>
        <v>1.0074000000000001</v>
      </c>
      <c r="E176" s="542">
        <f t="shared" si="21"/>
        <v>3.4799999999999942E-2</v>
      </c>
    </row>
    <row r="177" spans="1:5" s="506" customFormat="1" x14ac:dyDescent="0.2">
      <c r="A177" s="512">
        <v>5</v>
      </c>
      <c r="B177" s="511" t="s">
        <v>732</v>
      </c>
      <c r="C177" s="541">
        <f t="shared" si="20"/>
        <v>1.0669999999999999</v>
      </c>
      <c r="D177" s="541">
        <f t="shared" si="20"/>
        <v>1.512</v>
      </c>
      <c r="E177" s="542">
        <f t="shared" si="21"/>
        <v>0.44500000000000006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1.1505000000000001</v>
      </c>
      <c r="D178" s="541">
        <f t="shared" si="20"/>
        <v>1.0644</v>
      </c>
      <c r="E178" s="542">
        <f t="shared" si="21"/>
        <v>-8.6100000000000065E-2</v>
      </c>
    </row>
    <row r="179" spans="1:5" s="506" customFormat="1" x14ac:dyDescent="0.2">
      <c r="A179" s="512">
        <v>7</v>
      </c>
      <c r="B179" s="511" t="s">
        <v>747</v>
      </c>
      <c r="C179" s="541">
        <f t="shared" si="20"/>
        <v>0.97450000000000003</v>
      </c>
      <c r="D179" s="541">
        <f t="shared" si="20"/>
        <v>1.0903</v>
      </c>
      <c r="E179" s="542">
        <f t="shared" si="21"/>
        <v>0.11580000000000001</v>
      </c>
    </row>
    <row r="180" spans="1:5" s="506" customFormat="1" x14ac:dyDescent="0.2">
      <c r="A180" s="512"/>
      <c r="B180" s="516" t="s">
        <v>801</v>
      </c>
      <c r="C180" s="543">
        <f t="shared" si="20"/>
        <v>1.2953914165792235</v>
      </c>
      <c r="D180" s="543">
        <f t="shared" si="20"/>
        <v>1.2712246860112604</v>
      </c>
      <c r="E180" s="544">
        <f t="shared" si="21"/>
        <v>-2.4166730567963146E-2</v>
      </c>
    </row>
    <row r="181" spans="1:5" s="506" customFormat="1" x14ac:dyDescent="0.2">
      <c r="A181" s="512"/>
      <c r="B181" s="516" t="s">
        <v>710</v>
      </c>
      <c r="C181" s="543">
        <f t="shared" si="20"/>
        <v>1.2575670915233417</v>
      </c>
      <c r="D181" s="543">
        <f t="shared" si="20"/>
        <v>1.2411220574313666</v>
      </c>
      <c r="E181" s="544">
        <f t="shared" si="21"/>
        <v>-1.6445034091975064E-2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803</v>
      </c>
      <c r="C185" s="513">
        <v>74660403</v>
      </c>
      <c r="D185" s="513">
        <v>84219906</v>
      </c>
      <c r="E185" s="514">
        <f>D185-C185</f>
        <v>9559503</v>
      </c>
    </row>
    <row r="186" spans="1:5" s="506" customFormat="1" ht="25.5" x14ac:dyDescent="0.2">
      <c r="A186" s="512">
        <v>2</v>
      </c>
      <c r="B186" s="511" t="s">
        <v>804</v>
      </c>
      <c r="C186" s="513">
        <v>44992732</v>
      </c>
      <c r="D186" s="513">
        <v>49094597</v>
      </c>
      <c r="E186" s="514">
        <f>D186-C186</f>
        <v>4101865</v>
      </c>
    </row>
    <row r="187" spans="1:5" s="506" customFormat="1" x14ac:dyDescent="0.2">
      <c r="A187" s="512"/>
      <c r="B187" s="511" t="s">
        <v>652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736</v>
      </c>
      <c r="C188" s="546">
        <f>+C185-C186</f>
        <v>29667671</v>
      </c>
      <c r="D188" s="546">
        <f>+D185-D186</f>
        <v>35125309</v>
      </c>
      <c r="E188" s="514">
        <f t="shared" ref="E188:E197" si="22">D188-C188</f>
        <v>5457638</v>
      </c>
    </row>
    <row r="189" spans="1:5" s="506" customFormat="1" x14ac:dyDescent="0.2">
      <c r="A189" s="512">
        <v>4</v>
      </c>
      <c r="B189" s="511" t="s">
        <v>654</v>
      </c>
      <c r="C189" s="547">
        <f>IF(C185=0,0,+C188/C185)</f>
        <v>0.39736821404513445</v>
      </c>
      <c r="D189" s="547">
        <f>IF(D185=0,0,+D188/D185)</f>
        <v>0.41706658993421342</v>
      </c>
      <c r="E189" s="523">
        <f t="shared" si="22"/>
        <v>1.9698375889078967E-2</v>
      </c>
    </row>
    <row r="190" spans="1:5" s="506" customFormat="1" x14ac:dyDescent="0.2">
      <c r="A190" s="512">
        <v>5</v>
      </c>
      <c r="B190" s="511" t="s">
        <v>751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737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805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806</v>
      </c>
      <c r="C193" s="513">
        <v>1726098</v>
      </c>
      <c r="D193" s="513">
        <v>1766984</v>
      </c>
      <c r="E193" s="546">
        <f t="shared" si="22"/>
        <v>40886</v>
      </c>
    </row>
    <row r="194" spans="1:5" s="506" customFormat="1" x14ac:dyDescent="0.2">
      <c r="A194" s="512">
        <v>9</v>
      </c>
      <c r="B194" s="511" t="s">
        <v>807</v>
      </c>
      <c r="C194" s="513">
        <v>2129955</v>
      </c>
      <c r="D194" s="513">
        <v>3125364</v>
      </c>
      <c r="E194" s="546">
        <f t="shared" si="22"/>
        <v>995409</v>
      </c>
    </row>
    <row r="195" spans="1:5" s="506" customFormat="1" x14ac:dyDescent="0.2">
      <c r="A195" s="512">
        <v>10</v>
      </c>
      <c r="B195" s="511" t="s">
        <v>808</v>
      </c>
      <c r="C195" s="513">
        <f>+C193+C194</f>
        <v>3856053</v>
      </c>
      <c r="D195" s="513">
        <f>+D193+D194</f>
        <v>4892348</v>
      </c>
      <c r="E195" s="549">
        <f t="shared" si="22"/>
        <v>1036295</v>
      </c>
    </row>
    <row r="196" spans="1:5" s="506" customFormat="1" x14ac:dyDescent="0.2">
      <c r="A196" s="512">
        <v>11</v>
      </c>
      <c r="B196" s="511" t="s">
        <v>809</v>
      </c>
      <c r="C196" s="513">
        <v>74660403</v>
      </c>
      <c r="D196" s="513">
        <v>84219906</v>
      </c>
      <c r="E196" s="546">
        <f t="shared" si="22"/>
        <v>9559503</v>
      </c>
    </row>
    <row r="197" spans="1:5" s="506" customFormat="1" x14ac:dyDescent="0.2">
      <c r="A197" s="512">
        <v>12</v>
      </c>
      <c r="B197" s="511" t="s">
        <v>694</v>
      </c>
      <c r="C197" s="513">
        <v>113880767</v>
      </c>
      <c r="D197" s="513">
        <v>121882681</v>
      </c>
      <c r="E197" s="546">
        <f t="shared" si="22"/>
        <v>8001914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640</v>
      </c>
      <c r="C203" s="553">
        <v>2016.7368000000001</v>
      </c>
      <c r="D203" s="553">
        <v>1995.7160000000001</v>
      </c>
      <c r="E203" s="554">
        <f t="shared" ref="E203:E211" si="23">D203-C203</f>
        <v>-21.020800000000008</v>
      </c>
    </row>
    <row r="204" spans="1:5" s="506" customFormat="1" x14ac:dyDescent="0.2">
      <c r="A204" s="512">
        <v>2</v>
      </c>
      <c r="B204" s="511" t="s">
        <v>619</v>
      </c>
      <c r="C204" s="553">
        <v>4966.6983999999993</v>
      </c>
      <c r="D204" s="553">
        <v>4723.3330000000005</v>
      </c>
      <c r="E204" s="554">
        <f t="shared" si="23"/>
        <v>-243.36539999999877</v>
      </c>
    </row>
    <row r="205" spans="1:5" s="506" customFormat="1" x14ac:dyDescent="0.2">
      <c r="A205" s="512">
        <v>3</v>
      </c>
      <c r="B205" s="511" t="s">
        <v>765</v>
      </c>
      <c r="C205" s="553">
        <f>C206+C207</f>
        <v>1167.8752000000002</v>
      </c>
      <c r="D205" s="553">
        <f>D206+D207</f>
        <v>1114.1861999999999</v>
      </c>
      <c r="E205" s="554">
        <f t="shared" si="23"/>
        <v>-53.689000000000306</v>
      </c>
    </row>
    <row r="206" spans="1:5" s="506" customFormat="1" x14ac:dyDescent="0.2">
      <c r="A206" s="512">
        <v>4</v>
      </c>
      <c r="B206" s="511" t="s">
        <v>114</v>
      </c>
      <c r="C206" s="553">
        <v>1159.3392000000001</v>
      </c>
      <c r="D206" s="553">
        <v>1111.1622</v>
      </c>
      <c r="E206" s="554">
        <f t="shared" si="23"/>
        <v>-48.177000000000135</v>
      </c>
    </row>
    <row r="207" spans="1:5" s="506" customFormat="1" x14ac:dyDescent="0.2">
      <c r="A207" s="512">
        <v>5</v>
      </c>
      <c r="B207" s="511" t="s">
        <v>732</v>
      </c>
      <c r="C207" s="553">
        <v>8.5359999999999996</v>
      </c>
      <c r="D207" s="553">
        <v>3.024</v>
      </c>
      <c r="E207" s="554">
        <f t="shared" si="23"/>
        <v>-5.5119999999999996</v>
      </c>
    </row>
    <row r="208" spans="1:5" s="506" customFormat="1" x14ac:dyDescent="0.2">
      <c r="A208" s="512">
        <v>6</v>
      </c>
      <c r="B208" s="511" t="s">
        <v>430</v>
      </c>
      <c r="C208" s="553">
        <v>37.966500000000003</v>
      </c>
      <c r="D208" s="553">
        <v>32.996400000000001</v>
      </c>
      <c r="E208" s="554">
        <f t="shared" si="23"/>
        <v>-4.9701000000000022</v>
      </c>
    </row>
    <row r="209" spans="1:5" s="506" customFormat="1" x14ac:dyDescent="0.2">
      <c r="A209" s="512">
        <v>7</v>
      </c>
      <c r="B209" s="511" t="s">
        <v>747</v>
      </c>
      <c r="C209" s="553">
        <v>87.704999999999998</v>
      </c>
      <c r="D209" s="553">
        <v>124.2942</v>
      </c>
      <c r="E209" s="554">
        <f t="shared" si="23"/>
        <v>36.589200000000005</v>
      </c>
    </row>
    <row r="210" spans="1:5" s="506" customFormat="1" x14ac:dyDescent="0.2">
      <c r="A210" s="512"/>
      <c r="B210" s="516" t="s">
        <v>812</v>
      </c>
      <c r="C210" s="555">
        <f>C204+C205+C208</f>
        <v>6172.5401000000002</v>
      </c>
      <c r="D210" s="555">
        <f>D204+D205+D208</f>
        <v>5870.5156000000006</v>
      </c>
      <c r="E210" s="556">
        <f t="shared" si="23"/>
        <v>-302.02449999999953</v>
      </c>
    </row>
    <row r="211" spans="1:5" s="506" customFormat="1" x14ac:dyDescent="0.2">
      <c r="A211" s="512"/>
      <c r="B211" s="516" t="s">
        <v>711</v>
      </c>
      <c r="C211" s="555">
        <f>C210+C203</f>
        <v>8189.2769000000008</v>
      </c>
      <c r="D211" s="555">
        <f>D210+D203</f>
        <v>7866.231600000001</v>
      </c>
      <c r="E211" s="556">
        <f t="shared" si="23"/>
        <v>-323.04529999999977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640</v>
      </c>
      <c r="C215" s="557">
        <f>IF(C14*C137=0,0,C25/C14*C137)</f>
        <v>4374.728947195752</v>
      </c>
      <c r="D215" s="557">
        <f>IF(D14*D137=0,0,D25/D14*D137)</f>
        <v>4858.8598905160125</v>
      </c>
      <c r="E215" s="557">
        <f t="shared" ref="E215:E223" si="24">D215-C215</f>
        <v>484.13094332026049</v>
      </c>
    </row>
    <row r="216" spans="1:5" s="506" customFormat="1" x14ac:dyDescent="0.2">
      <c r="A216" s="512">
        <v>2</v>
      </c>
      <c r="B216" s="511" t="s">
        <v>619</v>
      </c>
      <c r="C216" s="557">
        <f>IF(C15*C138=0,0,C26/C15*C138)</f>
        <v>2737.9947137410941</v>
      </c>
      <c r="D216" s="557">
        <f>IF(D15*D138=0,0,D26/D15*D138)</f>
        <v>3464.0056449085846</v>
      </c>
      <c r="E216" s="557">
        <f t="shared" si="24"/>
        <v>726.01093116749053</v>
      </c>
    </row>
    <row r="217" spans="1:5" s="506" customFormat="1" x14ac:dyDescent="0.2">
      <c r="A217" s="512">
        <v>3</v>
      </c>
      <c r="B217" s="511" t="s">
        <v>765</v>
      </c>
      <c r="C217" s="557">
        <f>C218+C219</f>
        <v>2629.6508405612217</v>
      </c>
      <c r="D217" s="557">
        <f>D218+D219</f>
        <v>2811.1559128584531</v>
      </c>
      <c r="E217" s="557">
        <f t="shared" si="24"/>
        <v>181.50507229723144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2616.7877495870098</v>
      </c>
      <c r="D218" s="557">
        <f t="shared" si="25"/>
        <v>2805.4054606267423</v>
      </c>
      <c r="E218" s="557">
        <f t="shared" si="24"/>
        <v>188.61771103973251</v>
      </c>
    </row>
    <row r="219" spans="1:5" s="506" customFormat="1" x14ac:dyDescent="0.2">
      <c r="A219" s="512">
        <v>5</v>
      </c>
      <c r="B219" s="511" t="s">
        <v>732</v>
      </c>
      <c r="C219" s="557">
        <f t="shared" si="25"/>
        <v>12.863090974212035</v>
      </c>
      <c r="D219" s="557">
        <f t="shared" si="25"/>
        <v>5.7504522317109084</v>
      </c>
      <c r="E219" s="557">
        <f t="shared" si="24"/>
        <v>-7.1126387425011268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33.494422555625377</v>
      </c>
      <c r="D220" s="557">
        <f t="shared" si="25"/>
        <v>33.608060162453526</v>
      </c>
      <c r="E220" s="557">
        <f t="shared" si="24"/>
        <v>0.11363760682814927</v>
      </c>
    </row>
    <row r="221" spans="1:5" s="506" customFormat="1" x14ac:dyDescent="0.2">
      <c r="A221" s="512">
        <v>7</v>
      </c>
      <c r="B221" s="511" t="s">
        <v>747</v>
      </c>
      <c r="C221" s="557">
        <f t="shared" si="25"/>
        <v>411.91059652035204</v>
      </c>
      <c r="D221" s="557">
        <f t="shared" si="25"/>
        <v>457.60623477522199</v>
      </c>
      <c r="E221" s="557">
        <f t="shared" si="24"/>
        <v>45.695638254869948</v>
      </c>
    </row>
    <row r="222" spans="1:5" s="506" customFormat="1" x14ac:dyDescent="0.2">
      <c r="A222" s="512"/>
      <c r="B222" s="516" t="s">
        <v>814</v>
      </c>
      <c r="C222" s="558">
        <f>C216+C218+C219+C220</f>
        <v>5401.1399768579413</v>
      </c>
      <c r="D222" s="558">
        <f>D216+D218+D219+D220</f>
        <v>6308.7696179294917</v>
      </c>
      <c r="E222" s="558">
        <f t="shared" si="24"/>
        <v>907.6296410715504</v>
      </c>
    </row>
    <row r="223" spans="1:5" s="506" customFormat="1" x14ac:dyDescent="0.2">
      <c r="A223" s="512"/>
      <c r="B223" s="516" t="s">
        <v>815</v>
      </c>
      <c r="C223" s="558">
        <f>C215+C222</f>
        <v>9775.8689240536933</v>
      </c>
      <c r="D223" s="558">
        <f>D215+D222</f>
        <v>11167.629508445505</v>
      </c>
      <c r="E223" s="558">
        <f t="shared" si="24"/>
        <v>1391.7605843918118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640</v>
      </c>
      <c r="C227" s="560">
        <f t="shared" ref="C227:D235" si="26">IF(C203=0,0,C47/C203)</f>
        <v>7418.1221862961984</v>
      </c>
      <c r="D227" s="560">
        <f t="shared" si="26"/>
        <v>7313.7169817749618</v>
      </c>
      <c r="E227" s="560">
        <f t="shared" ref="E227:E235" si="27">D227-C227</f>
        <v>-104.40520452123656</v>
      </c>
    </row>
    <row r="228" spans="1:5" s="506" customFormat="1" x14ac:dyDescent="0.2">
      <c r="A228" s="512">
        <v>2</v>
      </c>
      <c r="B228" s="511" t="s">
        <v>619</v>
      </c>
      <c r="C228" s="560">
        <f t="shared" si="26"/>
        <v>6782.9955207266066</v>
      </c>
      <c r="D228" s="560">
        <f t="shared" si="26"/>
        <v>6841.8424023883126</v>
      </c>
      <c r="E228" s="560">
        <f t="shared" si="27"/>
        <v>58.846881661705993</v>
      </c>
    </row>
    <row r="229" spans="1:5" s="506" customFormat="1" x14ac:dyDescent="0.2">
      <c r="A229" s="512">
        <v>3</v>
      </c>
      <c r="B229" s="511" t="s">
        <v>765</v>
      </c>
      <c r="C229" s="560">
        <f t="shared" si="26"/>
        <v>4781.8885100051775</v>
      </c>
      <c r="D229" s="560">
        <f t="shared" si="26"/>
        <v>4629.0171247857861</v>
      </c>
      <c r="E229" s="560">
        <f t="shared" si="27"/>
        <v>-152.87138521939141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4787.8067092012407</v>
      </c>
      <c r="D230" s="560">
        <f t="shared" si="26"/>
        <v>4614.2372373718254</v>
      </c>
      <c r="E230" s="560">
        <f t="shared" si="27"/>
        <v>-173.56947182941531</v>
      </c>
    </row>
    <row r="231" spans="1:5" s="506" customFormat="1" x14ac:dyDescent="0.2">
      <c r="A231" s="512">
        <v>5</v>
      </c>
      <c r="B231" s="511" t="s">
        <v>732</v>
      </c>
      <c r="C231" s="560">
        <f t="shared" si="26"/>
        <v>3978.0927835051548</v>
      </c>
      <c r="D231" s="560">
        <f t="shared" si="26"/>
        <v>10059.854497354498</v>
      </c>
      <c r="E231" s="560">
        <f t="shared" si="27"/>
        <v>6081.7617138493424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6782.8743760947145</v>
      </c>
      <c r="D232" s="560">
        <f t="shared" si="26"/>
        <v>8560.297486998581</v>
      </c>
      <c r="E232" s="560">
        <f t="shared" si="27"/>
        <v>1777.4231109038665</v>
      </c>
    </row>
    <row r="233" spans="1:5" s="506" customFormat="1" x14ac:dyDescent="0.2">
      <c r="A233" s="512">
        <v>7</v>
      </c>
      <c r="B233" s="511" t="s">
        <v>747</v>
      </c>
      <c r="C233" s="560">
        <f t="shared" si="26"/>
        <v>3001.2656062938258</v>
      </c>
      <c r="D233" s="560">
        <f t="shared" si="26"/>
        <v>2660.1160794308985</v>
      </c>
      <c r="E233" s="560">
        <f t="shared" si="27"/>
        <v>-341.14952686292736</v>
      </c>
    </row>
    <row r="234" spans="1:5" x14ac:dyDescent="0.2">
      <c r="A234" s="512"/>
      <c r="B234" s="516" t="s">
        <v>817</v>
      </c>
      <c r="C234" s="561">
        <f t="shared" si="26"/>
        <v>6404.3754045437463</v>
      </c>
      <c r="D234" s="561">
        <f t="shared" si="26"/>
        <v>6431.5212789827174</v>
      </c>
      <c r="E234" s="561">
        <f t="shared" si="27"/>
        <v>27.145874438971077</v>
      </c>
    </row>
    <row r="235" spans="1:5" s="506" customFormat="1" x14ac:dyDescent="0.2">
      <c r="A235" s="512"/>
      <c r="B235" s="516" t="s">
        <v>818</v>
      </c>
      <c r="C235" s="561">
        <f t="shared" si="26"/>
        <v>6654.0263158032913</v>
      </c>
      <c r="D235" s="561">
        <f t="shared" si="26"/>
        <v>6655.3402775478917</v>
      </c>
      <c r="E235" s="561">
        <f t="shared" si="27"/>
        <v>1.3139617446004195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640</v>
      </c>
      <c r="C239" s="560">
        <f t="shared" ref="C239:D247" si="28">IF(C215=0,0,C58/C215)</f>
        <v>5987.4463803729568</v>
      </c>
      <c r="D239" s="560">
        <f t="shared" si="28"/>
        <v>6093.2292074912693</v>
      </c>
      <c r="E239" s="562">
        <f t="shared" ref="E239:E247" si="29">D239-C239</f>
        <v>105.78282711831253</v>
      </c>
    </row>
    <row r="240" spans="1:5" s="506" customFormat="1" x14ac:dyDescent="0.2">
      <c r="A240" s="512">
        <v>2</v>
      </c>
      <c r="B240" s="511" t="s">
        <v>619</v>
      </c>
      <c r="C240" s="560">
        <f t="shared" si="28"/>
        <v>6228.2881389129452</v>
      </c>
      <c r="D240" s="560">
        <f t="shared" si="28"/>
        <v>6075.7805146577412</v>
      </c>
      <c r="E240" s="562">
        <f t="shared" si="29"/>
        <v>-152.50762425520406</v>
      </c>
    </row>
    <row r="241" spans="1:5" x14ac:dyDescent="0.2">
      <c r="A241" s="512">
        <v>3</v>
      </c>
      <c r="B241" s="511" t="s">
        <v>765</v>
      </c>
      <c r="C241" s="560">
        <f t="shared" si="28"/>
        <v>3550.2314056293244</v>
      </c>
      <c r="D241" s="560">
        <f t="shared" si="28"/>
        <v>3482.141618408657</v>
      </c>
      <c r="E241" s="562">
        <f t="shared" si="29"/>
        <v>-68.089787220667404</v>
      </c>
    </row>
    <row r="242" spans="1:5" x14ac:dyDescent="0.2">
      <c r="A242" s="512">
        <v>4</v>
      </c>
      <c r="B242" s="511" t="s">
        <v>114</v>
      </c>
      <c r="C242" s="560">
        <f t="shared" si="28"/>
        <v>3554.723535169433</v>
      </c>
      <c r="D242" s="560">
        <f t="shared" si="28"/>
        <v>3475.8123689620115</v>
      </c>
      <c r="E242" s="562">
        <f t="shared" si="29"/>
        <v>-78.911166207421502</v>
      </c>
    </row>
    <row r="243" spans="1:5" x14ac:dyDescent="0.2">
      <c r="A243" s="512">
        <v>5</v>
      </c>
      <c r="B243" s="511" t="s">
        <v>732</v>
      </c>
      <c r="C243" s="560">
        <f t="shared" si="28"/>
        <v>2636.3803278688524</v>
      </c>
      <c r="D243" s="560">
        <f t="shared" si="28"/>
        <v>6569.9180651674542</v>
      </c>
      <c r="E243" s="562">
        <f t="shared" si="29"/>
        <v>3933.5377372986018</v>
      </c>
    </row>
    <row r="244" spans="1:5" x14ac:dyDescent="0.2">
      <c r="A244" s="512">
        <v>6</v>
      </c>
      <c r="B244" s="511" t="s">
        <v>430</v>
      </c>
      <c r="C244" s="560">
        <f t="shared" si="28"/>
        <v>6022.0175363531944</v>
      </c>
      <c r="D244" s="560">
        <f t="shared" si="28"/>
        <v>5640.9682404638888</v>
      </c>
      <c r="E244" s="562">
        <f t="shared" si="29"/>
        <v>-381.04929588930554</v>
      </c>
    </row>
    <row r="245" spans="1:5" x14ac:dyDescent="0.2">
      <c r="A245" s="512">
        <v>7</v>
      </c>
      <c r="B245" s="511" t="s">
        <v>747</v>
      </c>
      <c r="C245" s="560">
        <f t="shared" si="28"/>
        <v>2924.7317504745856</v>
      </c>
      <c r="D245" s="560">
        <f t="shared" si="28"/>
        <v>2900.32761606041</v>
      </c>
      <c r="E245" s="562">
        <f t="shared" si="29"/>
        <v>-24.404134414175587</v>
      </c>
    </row>
    <row r="246" spans="1:5" ht="25.5" x14ac:dyDescent="0.2">
      <c r="A246" s="512"/>
      <c r="B246" s="516" t="s">
        <v>820</v>
      </c>
      <c r="C246" s="561">
        <f t="shared" si="28"/>
        <v>4923.1445794650208</v>
      </c>
      <c r="D246" s="561">
        <f t="shared" si="28"/>
        <v>4917.7517771178727</v>
      </c>
      <c r="E246" s="563">
        <f t="shared" si="29"/>
        <v>-5.3928023471480628</v>
      </c>
    </row>
    <row r="247" spans="1:5" x14ac:dyDescent="0.2">
      <c r="A247" s="512"/>
      <c r="B247" s="516" t="s">
        <v>821</v>
      </c>
      <c r="C247" s="561">
        <f t="shared" si="28"/>
        <v>5399.4226405924846</v>
      </c>
      <c r="D247" s="561">
        <f t="shared" si="28"/>
        <v>5429.1835124139643</v>
      </c>
      <c r="E247" s="563">
        <f t="shared" si="29"/>
        <v>29.760871821479668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749</v>
      </c>
      <c r="B249" s="550" t="s">
        <v>746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6996151.102805471</v>
      </c>
      <c r="D251" s="546">
        <f>((IF((IF(D15=0,0,D26/D15)*D138)=0,0,D59/(IF(D15=0,0,D26/D15)*D138)))-(IF((IF(D17=0,0,D28/D17)*D140)=0,0,D61/(IF(D17=0,0,D28/D17)*D140))))*(IF(D17=0,0,D28/D17)*D140)</f>
        <v>7293964.8333903849</v>
      </c>
      <c r="E251" s="546">
        <f>D251-C251</f>
        <v>297813.73058491386</v>
      </c>
    </row>
    <row r="252" spans="1:5" x14ac:dyDescent="0.2">
      <c r="A252" s="512">
        <v>2</v>
      </c>
      <c r="B252" s="511" t="s">
        <v>732</v>
      </c>
      <c r="C252" s="546">
        <f>IF(C231=0,0,(C228-C231)*C207)+IF(C243=0,0,(C240-C243)*C219)</f>
        <v>70145.686709365298</v>
      </c>
      <c r="D252" s="546">
        <f>IF(D231=0,0,(D228-D231)*D207)+IF(D243=0,0,(D240-D243)*D219)</f>
        <v>-12572.782955278486</v>
      </c>
      <c r="E252" s="546">
        <f>D252-C252</f>
        <v>-82718.469664643781</v>
      </c>
    </row>
    <row r="253" spans="1:5" x14ac:dyDescent="0.2">
      <c r="A253" s="512">
        <v>3</v>
      </c>
      <c r="B253" s="511" t="s">
        <v>747</v>
      </c>
      <c r="C253" s="546">
        <f>IF(C233=0,0,(C228-C233)*C209+IF(C221=0,0,(C240-C245)*C221))</f>
        <v>1692446.5047455917</v>
      </c>
      <c r="D253" s="546">
        <f>IF(D233=0,0,(D228-D233)*D209+IF(D221=0,0,(D240-D245)*D221))</f>
        <v>1972871.372564123</v>
      </c>
      <c r="E253" s="546">
        <f>D253-C253</f>
        <v>280424.86781853135</v>
      </c>
    </row>
    <row r="254" spans="1:5" ht="15" customHeight="1" x14ac:dyDescent="0.2">
      <c r="A254" s="512"/>
      <c r="B254" s="516" t="s">
        <v>748</v>
      </c>
      <c r="C254" s="564">
        <f>+C251+C252+C253</f>
        <v>8758743.2942604274</v>
      </c>
      <c r="D254" s="564">
        <f>+D251+D252+D253</f>
        <v>9254263.4229992293</v>
      </c>
      <c r="E254" s="564">
        <f>D254-C254</f>
        <v>495520.12873880193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822</v>
      </c>
      <c r="B256" s="550" t="s">
        <v>823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714</v>
      </c>
      <c r="C258" s="546">
        <f>+C44</f>
        <v>208629597</v>
      </c>
      <c r="D258" s="549">
        <f>+D44</f>
        <v>237069419</v>
      </c>
      <c r="E258" s="546">
        <f t="shared" ref="E258:E271" si="30">D258-C258</f>
        <v>28439822</v>
      </c>
    </row>
    <row r="259" spans="1:5" x14ac:dyDescent="0.2">
      <c r="A259" s="512">
        <v>2</v>
      </c>
      <c r="B259" s="511" t="s">
        <v>731</v>
      </c>
      <c r="C259" s="546">
        <f>+(C43-C76)</f>
        <v>67847337</v>
      </c>
      <c r="D259" s="549">
        <f>+(D43-D76)</f>
        <v>84068204</v>
      </c>
      <c r="E259" s="546">
        <f t="shared" si="30"/>
        <v>16220867</v>
      </c>
    </row>
    <row r="260" spans="1:5" x14ac:dyDescent="0.2">
      <c r="A260" s="512">
        <v>3</v>
      </c>
      <c r="B260" s="511" t="s">
        <v>735</v>
      </c>
      <c r="C260" s="546">
        <f>C195</f>
        <v>3856053</v>
      </c>
      <c r="D260" s="546">
        <f>D195</f>
        <v>4892348</v>
      </c>
      <c r="E260" s="546">
        <f t="shared" si="30"/>
        <v>1036295</v>
      </c>
    </row>
    <row r="261" spans="1:5" x14ac:dyDescent="0.2">
      <c r="A261" s="512">
        <v>4</v>
      </c>
      <c r="B261" s="511" t="s">
        <v>736</v>
      </c>
      <c r="C261" s="546">
        <f>C188</f>
        <v>29667671</v>
      </c>
      <c r="D261" s="546">
        <f>D188</f>
        <v>35125309</v>
      </c>
      <c r="E261" s="546">
        <f t="shared" si="30"/>
        <v>5457638</v>
      </c>
    </row>
    <row r="262" spans="1:5" x14ac:dyDescent="0.2">
      <c r="A262" s="512">
        <v>5</v>
      </c>
      <c r="B262" s="511" t="s">
        <v>737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738</v>
      </c>
      <c r="C263" s="546">
        <f>+C259+C260+C261+C262</f>
        <v>101371061</v>
      </c>
      <c r="D263" s="546">
        <f>+D259+D260+D261+D262</f>
        <v>124085861</v>
      </c>
      <c r="E263" s="546">
        <f t="shared" si="30"/>
        <v>22714800</v>
      </c>
    </row>
    <row r="264" spans="1:5" x14ac:dyDescent="0.2">
      <c r="A264" s="512">
        <v>7</v>
      </c>
      <c r="B264" s="511" t="s">
        <v>638</v>
      </c>
      <c r="C264" s="546">
        <f>+C258-C263</f>
        <v>107258536</v>
      </c>
      <c r="D264" s="546">
        <f>+D258-D263</f>
        <v>112983558</v>
      </c>
      <c r="E264" s="546">
        <f t="shared" si="30"/>
        <v>5725022</v>
      </c>
    </row>
    <row r="265" spans="1:5" x14ac:dyDescent="0.2">
      <c r="A265" s="512">
        <v>8</v>
      </c>
      <c r="B265" s="511" t="s">
        <v>824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825</v>
      </c>
      <c r="C266" s="546">
        <f>+C264+C265</f>
        <v>107258536</v>
      </c>
      <c r="D266" s="546">
        <f>+D264+D265</f>
        <v>112983558</v>
      </c>
      <c r="E266" s="565">
        <f t="shared" si="30"/>
        <v>5725022</v>
      </c>
    </row>
    <row r="267" spans="1:5" x14ac:dyDescent="0.2">
      <c r="A267" s="512">
        <v>10</v>
      </c>
      <c r="B267" s="511" t="s">
        <v>826</v>
      </c>
      <c r="C267" s="566">
        <f>IF(C258=0,0,C266/C258)</f>
        <v>0.51410987483238058</v>
      </c>
      <c r="D267" s="566">
        <f>IF(D258=0,0,D266/D258)</f>
        <v>0.4765842784640224</v>
      </c>
      <c r="E267" s="567">
        <f t="shared" si="30"/>
        <v>-3.7525596368358172E-2</v>
      </c>
    </row>
    <row r="268" spans="1:5" x14ac:dyDescent="0.2">
      <c r="A268" s="512">
        <v>11</v>
      </c>
      <c r="B268" s="511" t="s">
        <v>700</v>
      </c>
      <c r="C268" s="546">
        <f>+C260*C267</f>
        <v>1982434.9251770256</v>
      </c>
      <c r="D268" s="568">
        <f>+D260*D267</f>
        <v>2331616.1415749029</v>
      </c>
      <c r="E268" s="546">
        <f t="shared" si="30"/>
        <v>349181.21639787732</v>
      </c>
    </row>
    <row r="269" spans="1:5" x14ac:dyDescent="0.2">
      <c r="A269" s="512">
        <v>12</v>
      </c>
      <c r="B269" s="511" t="s">
        <v>827</v>
      </c>
      <c r="C269" s="546">
        <f>((C17+C18+C28+C29)*C267)-(C50+C51+C61+C62)</f>
        <v>5013933.536674235</v>
      </c>
      <c r="D269" s="568">
        <f>((D17+D18+D28+D29)*D267)-(D50+D51+D61+D62)</f>
        <v>5265662.7097968571</v>
      </c>
      <c r="E269" s="546">
        <f t="shared" si="30"/>
        <v>251729.17312262207</v>
      </c>
    </row>
    <row r="270" spans="1:5" s="569" customFormat="1" x14ac:dyDescent="0.2">
      <c r="A270" s="570">
        <v>13</v>
      </c>
      <c r="B270" s="571" t="s">
        <v>828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829</v>
      </c>
      <c r="C271" s="546">
        <f>+C268+C269+C270</f>
        <v>6996368.4618512606</v>
      </c>
      <c r="D271" s="546">
        <f>+D268+D269+D270</f>
        <v>7597278.8513717595</v>
      </c>
      <c r="E271" s="549">
        <f t="shared" si="30"/>
        <v>600910.38952049892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830</v>
      </c>
      <c r="B273" s="550" t="s">
        <v>831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832</v>
      </c>
      <c r="C275" s="340"/>
      <c r="D275" s="340"/>
      <c r="E275" s="520"/>
    </row>
    <row r="276" spans="1:5" x14ac:dyDescent="0.2">
      <c r="A276" s="512">
        <v>1</v>
      </c>
      <c r="B276" s="511" t="s">
        <v>640</v>
      </c>
      <c r="C276" s="547">
        <f t="shared" ref="C276:D284" si="31">IF(C14=0,0,+C47/C14)</f>
        <v>0.70215673690580749</v>
      </c>
      <c r="D276" s="547">
        <f t="shared" si="31"/>
        <v>0.6628943656870544</v>
      </c>
      <c r="E276" s="574">
        <f t="shared" ref="E276:E284" si="32">D276-C276</f>
        <v>-3.9262371218753089E-2</v>
      </c>
    </row>
    <row r="277" spans="1:5" x14ac:dyDescent="0.2">
      <c r="A277" s="512">
        <v>2</v>
      </c>
      <c r="B277" s="511" t="s">
        <v>619</v>
      </c>
      <c r="C277" s="547">
        <f t="shared" si="31"/>
        <v>0.63409006651499666</v>
      </c>
      <c r="D277" s="547">
        <f t="shared" si="31"/>
        <v>0.5890907659111454</v>
      </c>
      <c r="E277" s="574">
        <f t="shared" si="32"/>
        <v>-4.4999300603851267E-2</v>
      </c>
    </row>
    <row r="278" spans="1:5" x14ac:dyDescent="0.2">
      <c r="A278" s="512">
        <v>3</v>
      </c>
      <c r="B278" s="511" t="s">
        <v>765</v>
      </c>
      <c r="C278" s="547">
        <f t="shared" si="31"/>
        <v>0.45959007091381465</v>
      </c>
      <c r="D278" s="547">
        <f t="shared" si="31"/>
        <v>0.4311629725909536</v>
      </c>
      <c r="E278" s="574">
        <f t="shared" si="32"/>
        <v>-2.8427098322861055E-2</v>
      </c>
    </row>
    <row r="279" spans="1:5" x14ac:dyDescent="0.2">
      <c r="A279" s="512">
        <v>4</v>
      </c>
      <c r="B279" s="511" t="s">
        <v>114</v>
      </c>
      <c r="C279" s="547">
        <f t="shared" si="31"/>
        <v>0.4601790777104941</v>
      </c>
      <c r="D279" s="547">
        <f t="shared" si="31"/>
        <v>0.43119043307963695</v>
      </c>
      <c r="E279" s="574">
        <f t="shared" si="32"/>
        <v>-2.8988644630857152E-2</v>
      </c>
    </row>
    <row r="280" spans="1:5" x14ac:dyDescent="0.2">
      <c r="A280" s="512">
        <v>5</v>
      </c>
      <c r="B280" s="511" t="s">
        <v>732</v>
      </c>
      <c r="C280" s="547">
        <f t="shared" si="31"/>
        <v>0.38007029011461319</v>
      </c>
      <c r="D280" s="547">
        <f t="shared" si="31"/>
        <v>0.42658421325704993</v>
      </c>
      <c r="E280" s="574">
        <f t="shared" si="32"/>
        <v>4.6513923142436742E-2</v>
      </c>
    </row>
    <row r="281" spans="1:5" x14ac:dyDescent="0.2">
      <c r="A281" s="512">
        <v>6</v>
      </c>
      <c r="B281" s="511" t="s">
        <v>430</v>
      </c>
      <c r="C281" s="547">
        <f t="shared" si="31"/>
        <v>0.59058989730347078</v>
      </c>
      <c r="D281" s="547">
        <f t="shared" si="31"/>
        <v>0.58468987273645601</v>
      </c>
      <c r="E281" s="574">
        <f t="shared" si="32"/>
        <v>-5.9000245670147722E-3</v>
      </c>
    </row>
    <row r="282" spans="1:5" x14ac:dyDescent="0.2">
      <c r="A282" s="512">
        <v>7</v>
      </c>
      <c r="B282" s="511" t="s">
        <v>747</v>
      </c>
      <c r="C282" s="547">
        <f t="shared" si="31"/>
        <v>0.28448683946022008</v>
      </c>
      <c r="D282" s="547">
        <f t="shared" si="31"/>
        <v>0.25463799781125163</v>
      </c>
      <c r="E282" s="574">
        <f t="shared" si="32"/>
        <v>-2.9848841648968449E-2</v>
      </c>
    </row>
    <row r="283" spans="1:5" ht="29.25" customHeight="1" x14ac:dyDescent="0.2">
      <c r="A283" s="512"/>
      <c r="B283" s="516" t="s">
        <v>833</v>
      </c>
      <c r="C283" s="575">
        <f t="shared" si="31"/>
        <v>0.60153571585901322</v>
      </c>
      <c r="D283" s="575">
        <f t="shared" si="31"/>
        <v>0.56099005189333295</v>
      </c>
      <c r="E283" s="576">
        <f t="shared" si="32"/>
        <v>-4.0545663965680268E-2</v>
      </c>
    </row>
    <row r="284" spans="1:5" x14ac:dyDescent="0.2">
      <c r="A284" s="512"/>
      <c r="B284" s="516" t="s">
        <v>834</v>
      </c>
      <c r="C284" s="575">
        <f t="shared" si="31"/>
        <v>0.62617118675719063</v>
      </c>
      <c r="D284" s="575">
        <f t="shared" si="31"/>
        <v>0.58611051548074999</v>
      </c>
      <c r="E284" s="576">
        <f t="shared" si="32"/>
        <v>-4.006067127644064E-2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835</v>
      </c>
      <c r="C286" s="520"/>
      <c r="D286" s="520"/>
      <c r="E286" s="520"/>
    </row>
    <row r="287" spans="1:5" x14ac:dyDescent="0.2">
      <c r="A287" s="512">
        <v>1</v>
      </c>
      <c r="B287" s="511" t="s">
        <v>640</v>
      </c>
      <c r="C287" s="547">
        <f t="shared" ref="C287:D295" si="33">IF(C25=0,0,+C58/C25)</f>
        <v>0.49093659227250025</v>
      </c>
      <c r="D287" s="547">
        <f t="shared" si="33"/>
        <v>0.47597418639822492</v>
      </c>
      <c r="E287" s="574">
        <f t="shared" ref="E287:E295" si="34">D287-C287</f>
        <v>-1.4962405874275331E-2</v>
      </c>
    </row>
    <row r="288" spans="1:5" x14ac:dyDescent="0.2">
      <c r="A288" s="512">
        <v>2</v>
      </c>
      <c r="B288" s="511" t="s">
        <v>619</v>
      </c>
      <c r="C288" s="547">
        <f t="shared" si="33"/>
        <v>0.41404831532453101</v>
      </c>
      <c r="D288" s="547">
        <f t="shared" si="33"/>
        <v>0.38564830557839591</v>
      </c>
      <c r="E288" s="574">
        <f t="shared" si="34"/>
        <v>-2.8400009746135102E-2</v>
      </c>
    </row>
    <row r="289" spans="1:5" x14ac:dyDescent="0.2">
      <c r="A289" s="512">
        <v>3</v>
      </c>
      <c r="B289" s="511" t="s">
        <v>765</v>
      </c>
      <c r="C289" s="547">
        <f t="shared" si="33"/>
        <v>0.35066508043831196</v>
      </c>
      <c r="D289" s="547">
        <f t="shared" si="33"/>
        <v>0.32149077291247197</v>
      </c>
      <c r="E289" s="574">
        <f t="shared" si="34"/>
        <v>-2.9174307525839993E-2</v>
      </c>
    </row>
    <row r="290" spans="1:5" x14ac:dyDescent="0.2">
      <c r="A290" s="512">
        <v>4</v>
      </c>
      <c r="B290" s="511" t="s">
        <v>114</v>
      </c>
      <c r="C290" s="547">
        <f t="shared" si="33"/>
        <v>0.3512867949316279</v>
      </c>
      <c r="D290" s="547">
        <f t="shared" si="33"/>
        <v>0.32242118859930541</v>
      </c>
      <c r="E290" s="574">
        <f t="shared" si="34"/>
        <v>-2.8865606332322491E-2</v>
      </c>
    </row>
    <row r="291" spans="1:5" x14ac:dyDescent="0.2">
      <c r="A291" s="512">
        <v>5</v>
      </c>
      <c r="B291" s="511" t="s">
        <v>732</v>
      </c>
      <c r="C291" s="547">
        <f t="shared" si="33"/>
        <v>0.23606557377049181</v>
      </c>
      <c r="D291" s="547">
        <f t="shared" si="33"/>
        <v>0.18425583176047716</v>
      </c>
      <c r="E291" s="574">
        <f t="shared" si="34"/>
        <v>-5.1809742010014648E-2</v>
      </c>
    </row>
    <row r="292" spans="1:5" x14ac:dyDescent="0.2">
      <c r="A292" s="512">
        <v>6</v>
      </c>
      <c r="B292" s="511" t="s">
        <v>430</v>
      </c>
      <c r="C292" s="547">
        <f t="shared" si="33"/>
        <v>0.45575100265491725</v>
      </c>
      <c r="D292" s="547">
        <f t="shared" si="33"/>
        <v>0.36198077271902773</v>
      </c>
      <c r="E292" s="574">
        <f t="shared" si="34"/>
        <v>-9.3770229935889515E-2</v>
      </c>
    </row>
    <row r="293" spans="1:5" x14ac:dyDescent="0.2">
      <c r="A293" s="512">
        <v>7</v>
      </c>
      <c r="B293" s="511" t="s">
        <v>747</v>
      </c>
      <c r="C293" s="547">
        <f t="shared" si="33"/>
        <v>0.28448668549661693</v>
      </c>
      <c r="D293" s="547">
        <f t="shared" si="33"/>
        <v>0.25463826599907025</v>
      </c>
      <c r="E293" s="574">
        <f t="shared" si="34"/>
        <v>-2.9848419497546685E-2</v>
      </c>
    </row>
    <row r="294" spans="1:5" ht="29.25" customHeight="1" x14ac:dyDescent="0.2">
      <c r="A294" s="512"/>
      <c r="B294" s="516" t="s">
        <v>836</v>
      </c>
      <c r="C294" s="575">
        <f t="shared" si="33"/>
        <v>0.38959457559306099</v>
      </c>
      <c r="D294" s="575">
        <f t="shared" si="33"/>
        <v>0.36266801470616172</v>
      </c>
      <c r="E294" s="576">
        <f t="shared" si="34"/>
        <v>-2.6926560886899265E-2</v>
      </c>
    </row>
    <row r="295" spans="1:5" x14ac:dyDescent="0.2">
      <c r="A295" s="512"/>
      <c r="B295" s="516" t="s">
        <v>837</v>
      </c>
      <c r="C295" s="575">
        <f t="shared" si="33"/>
        <v>0.43405789621841712</v>
      </c>
      <c r="D295" s="575">
        <f t="shared" si="33"/>
        <v>0.41036946410018554</v>
      </c>
      <c r="E295" s="576">
        <f t="shared" si="34"/>
        <v>-2.3688432118231573E-2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838</v>
      </c>
      <c r="B297" s="501" t="s">
        <v>839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638</v>
      </c>
      <c r="C301" s="514">
        <f>+C48+C47+C50+C51+C52+C59+C58+C61+C62+C63</f>
        <v>107275712</v>
      </c>
      <c r="D301" s="514">
        <f>+D48+D47+D50+D51+D52+D59+D58+D61+D62+D63</f>
        <v>112983558</v>
      </c>
      <c r="E301" s="514">
        <f>D301-C301</f>
        <v>5707846</v>
      </c>
    </row>
    <row r="302" spans="1:5" ht="25.5" x14ac:dyDescent="0.2">
      <c r="A302" s="512">
        <v>2</v>
      </c>
      <c r="B302" s="511" t="s">
        <v>841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842</v>
      </c>
      <c r="C303" s="517">
        <f>+C301+C302</f>
        <v>107275712</v>
      </c>
      <c r="D303" s="517">
        <f>+D301+D302</f>
        <v>112983558</v>
      </c>
      <c r="E303" s="517">
        <f>D303-C303</f>
        <v>5707846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843</v>
      </c>
      <c r="C305" s="513">
        <v>2304005</v>
      </c>
      <c r="D305" s="578">
        <v>3330273</v>
      </c>
      <c r="E305" s="579">
        <f>D305-C305</f>
        <v>1026268</v>
      </c>
    </row>
    <row r="306" spans="1:5" x14ac:dyDescent="0.2">
      <c r="A306" s="512">
        <v>4</v>
      </c>
      <c r="B306" s="516" t="s">
        <v>844</v>
      </c>
      <c r="C306" s="580">
        <f>+C303+C305</f>
        <v>109579717</v>
      </c>
      <c r="D306" s="580">
        <f>+D303+D305</f>
        <v>116313831</v>
      </c>
      <c r="E306" s="580">
        <f>D306-C306</f>
        <v>6734114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845</v>
      </c>
      <c r="C308" s="513">
        <v>109579717</v>
      </c>
      <c r="D308" s="513">
        <v>116313832</v>
      </c>
      <c r="E308" s="514">
        <f>D308-C308</f>
        <v>6734115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846</v>
      </c>
      <c r="C310" s="581">
        <f>C306-C308</f>
        <v>0</v>
      </c>
      <c r="D310" s="582">
        <f>D306-D308</f>
        <v>-1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848</v>
      </c>
      <c r="C314" s="514">
        <f>+C14+C15+C16+C19+C25+C26+C27+C30</f>
        <v>208629597</v>
      </c>
      <c r="D314" s="514">
        <f>+D14+D15+D16+D19+D25+D26+D27+D30</f>
        <v>237069419</v>
      </c>
      <c r="E314" s="514">
        <f>D314-C314</f>
        <v>28439822</v>
      </c>
    </row>
    <row r="315" spans="1:5" x14ac:dyDescent="0.2">
      <c r="A315" s="512">
        <v>2</v>
      </c>
      <c r="B315" s="583" t="s">
        <v>849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850</v>
      </c>
      <c r="C316" s="581">
        <f>C314+C315</f>
        <v>208629597</v>
      </c>
      <c r="D316" s="581">
        <f>D314+D315</f>
        <v>237069419</v>
      </c>
      <c r="E316" s="517">
        <f>D316-C316</f>
        <v>28439822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851</v>
      </c>
      <c r="C318" s="513">
        <v>208629597</v>
      </c>
      <c r="D318" s="513">
        <v>237069419</v>
      </c>
      <c r="E318" s="514">
        <f>D318-C318</f>
        <v>28439822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846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853</v>
      </c>
      <c r="C324" s="513">
        <f>+C193+C194</f>
        <v>3856053</v>
      </c>
      <c r="D324" s="513">
        <f>+D193+D194</f>
        <v>4892348</v>
      </c>
      <c r="E324" s="514">
        <f>D324-C324</f>
        <v>1036295</v>
      </c>
    </row>
    <row r="325" spans="1:5" x14ac:dyDescent="0.2">
      <c r="A325" s="512">
        <v>2</v>
      </c>
      <c r="B325" s="511" t="s">
        <v>854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855</v>
      </c>
      <c r="C326" s="581">
        <f>C324+C325</f>
        <v>3856053</v>
      </c>
      <c r="D326" s="581">
        <f>D324+D325</f>
        <v>4892348</v>
      </c>
      <c r="E326" s="517">
        <f>D326-C326</f>
        <v>1036295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856</v>
      </c>
      <c r="C328" s="513">
        <v>3856053</v>
      </c>
      <c r="D328" s="513">
        <v>4892348</v>
      </c>
      <c r="E328" s="514">
        <f>D328-C328</f>
        <v>1036295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857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FILING&amp;RCHARLOTTE HUNGERFORD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858</v>
      </c>
      <c r="B5" s="696"/>
      <c r="C5" s="697"/>
      <c r="D5" s="585"/>
    </row>
    <row r="6" spans="1:58" s="338" customFormat="1" ht="15.75" customHeight="1" x14ac:dyDescent="0.25">
      <c r="A6" s="695" t="s">
        <v>859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640</v>
      </c>
      <c r="C14" s="513">
        <v>22018745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619</v>
      </c>
      <c r="C15" s="515">
        <v>54857930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765</v>
      </c>
      <c r="C16" s="515">
        <v>11962036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11890723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732</v>
      </c>
      <c r="C18" s="515">
        <v>71313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483092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747</v>
      </c>
      <c r="C20" s="515">
        <v>1298459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766</v>
      </c>
      <c r="C21" s="517">
        <f>SUM(C15+C16+C19)</f>
        <v>67303058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706</v>
      </c>
      <c r="C22" s="517">
        <f>SUM(C14+C21)</f>
        <v>89321803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640</v>
      </c>
      <c r="C25" s="513">
        <v>62201161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619</v>
      </c>
      <c r="C26" s="515">
        <v>54574434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765</v>
      </c>
      <c r="C27" s="515">
        <v>30448286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30243245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732</v>
      </c>
      <c r="C29" s="515">
        <v>205041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523735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747</v>
      </c>
      <c r="C31" s="518">
        <v>5212131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768</v>
      </c>
      <c r="C32" s="517">
        <f>SUM(C26+C27+C30)</f>
        <v>85546455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712</v>
      </c>
      <c r="C33" s="517">
        <f>SUM(C25+C32)</f>
        <v>147747616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862</v>
      </c>
      <c r="C36" s="514">
        <f>SUM(C14+C25)</f>
        <v>84219906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863</v>
      </c>
      <c r="C37" s="518">
        <f>SUM(C21+C32)</f>
        <v>152849513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637</v>
      </c>
      <c r="C38" s="517">
        <f>SUM(+C36+C37)</f>
        <v>237069419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640</v>
      </c>
      <c r="C41" s="513">
        <v>14596102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619</v>
      </c>
      <c r="C42" s="515">
        <v>32316300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765</v>
      </c>
      <c r="C43" s="515">
        <v>5157587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5127166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732</v>
      </c>
      <c r="C45" s="515">
        <v>30421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282459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747</v>
      </c>
      <c r="C47" s="515">
        <v>330637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778</v>
      </c>
      <c r="C48" s="517">
        <f>SUM(C42+C43+C46)</f>
        <v>37756346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707</v>
      </c>
      <c r="C49" s="517">
        <f>SUM(C41+C48)</f>
        <v>52352448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640</v>
      </c>
      <c r="C52" s="513">
        <v>29606147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619</v>
      </c>
      <c r="C53" s="515">
        <v>21046538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765</v>
      </c>
      <c r="C54" s="515">
        <v>9788843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9751063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732</v>
      </c>
      <c r="C56" s="515">
        <v>37780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189582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747</v>
      </c>
      <c r="C58" s="515">
        <v>1327208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780</v>
      </c>
      <c r="C59" s="517">
        <f>SUM(C53+C54+C57)</f>
        <v>31024963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713</v>
      </c>
      <c r="C60" s="517">
        <f>SUM(C52+C59)</f>
        <v>60631110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864</v>
      </c>
      <c r="C63" s="514">
        <f>SUM(C41+C52)</f>
        <v>44202249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865</v>
      </c>
      <c r="C64" s="518">
        <f>SUM(C48+C59)</f>
        <v>68781309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638</v>
      </c>
      <c r="C65" s="517">
        <f>SUM(+C63+C64)</f>
        <v>112983558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640</v>
      </c>
      <c r="C70" s="530">
        <v>1720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619</v>
      </c>
      <c r="C71" s="530">
        <v>3482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765</v>
      </c>
      <c r="C72" s="530">
        <v>1105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1103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732</v>
      </c>
      <c r="C74" s="530">
        <v>2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31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747</v>
      </c>
      <c r="C76" s="545">
        <v>114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795</v>
      </c>
      <c r="C77" s="532">
        <f>SUM(C71+C72+C75)</f>
        <v>4618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709</v>
      </c>
      <c r="C78" s="596">
        <f>SUM(C70+C77)</f>
        <v>6338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640</v>
      </c>
      <c r="C81" s="541">
        <v>1.1603000000000001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619</v>
      </c>
      <c r="C82" s="541">
        <v>1.3565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765</v>
      </c>
      <c r="C83" s="541">
        <f>((C73*C84)+(C74*C85))/(C73+C74)</f>
        <v>1.0083133031674207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1.0074000000000001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732</v>
      </c>
      <c r="C85" s="541">
        <v>1.512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1.0644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747</v>
      </c>
      <c r="C87" s="541">
        <v>1.0903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801</v>
      </c>
      <c r="C88" s="543">
        <f>((C71*C82)+(C73*C84)+(C74*C85)+(C75*C86))/(C71+C73+C74+C75)</f>
        <v>1.2712246860112604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710</v>
      </c>
      <c r="C89" s="543">
        <f>((C70*C81)+(C71*C82)+(C73*C84)+(C74*C85)+(C75*C86))/(C70+C71+C73+C74+C75)</f>
        <v>1.2411220574313666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803</v>
      </c>
      <c r="C92" s="513">
        <v>84219906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804</v>
      </c>
      <c r="C93" s="546">
        <v>49094597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736</v>
      </c>
      <c r="C95" s="513">
        <f>+C92-C93</f>
        <v>35125309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654</v>
      </c>
      <c r="C96" s="597">
        <f>(+C92-C93)/C92</f>
        <v>0.41706658993421342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751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737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868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806</v>
      </c>
      <c r="C103" s="513">
        <v>1766984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807</v>
      </c>
      <c r="C104" s="513">
        <v>3125364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808</v>
      </c>
      <c r="C105" s="578">
        <f>+C103+C104</f>
        <v>4892348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809</v>
      </c>
      <c r="C107" s="513">
        <v>5735128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694</v>
      </c>
      <c r="C108" s="513">
        <v>121882681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638</v>
      </c>
      <c r="C114" s="514">
        <f>+C65</f>
        <v>112983558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841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842</v>
      </c>
      <c r="C116" s="517">
        <f>+C114+C115</f>
        <v>112983558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843</v>
      </c>
      <c r="C118" s="578">
        <v>3330273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844</v>
      </c>
      <c r="C119" s="580">
        <f>+C116+C118</f>
        <v>116313831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845</v>
      </c>
      <c r="C121" s="513">
        <v>116313832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846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848</v>
      </c>
      <c r="C127" s="514">
        <f>+C38</f>
        <v>237069419</v>
      </c>
      <c r="D127" s="588"/>
      <c r="AR127" s="507"/>
    </row>
    <row r="128" spans="1:58" s="506" customFormat="1" x14ac:dyDescent="0.2">
      <c r="A128" s="512">
        <v>2</v>
      </c>
      <c r="B128" s="583" t="s">
        <v>849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850</v>
      </c>
      <c r="C129" s="581">
        <f>C127+C128</f>
        <v>237069419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851</v>
      </c>
      <c r="C131" s="513">
        <v>237069419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846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853</v>
      </c>
      <c r="C137" s="513">
        <f>C105</f>
        <v>4892348</v>
      </c>
      <c r="D137" s="588"/>
      <c r="AR137" s="507"/>
    </row>
    <row r="138" spans="1:44" s="506" customFormat="1" x14ac:dyDescent="0.2">
      <c r="A138" s="512">
        <v>2</v>
      </c>
      <c r="B138" s="511" t="s">
        <v>869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855</v>
      </c>
      <c r="C139" s="581">
        <f>C137+C138</f>
        <v>4892348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870</v>
      </c>
      <c r="C141" s="513">
        <v>4892348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857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FILING&amp;RCHARLOTTE HUNGERFORD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614</v>
      </c>
      <c r="D8" s="35" t="s">
        <v>614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616</v>
      </c>
      <c r="D9" s="607" t="s">
        <v>617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873</v>
      </c>
      <c r="C12" s="49">
        <v>1814</v>
      </c>
      <c r="D12" s="49">
        <v>1715</v>
      </c>
      <c r="E12" s="49">
        <f>+D12-C12</f>
        <v>-99</v>
      </c>
      <c r="F12" s="70">
        <f>IF(C12=0,0,+E12/C12)</f>
        <v>-5.4575523704520394E-2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874</v>
      </c>
      <c r="C13" s="49">
        <v>1798</v>
      </c>
      <c r="D13" s="49">
        <v>1708</v>
      </c>
      <c r="E13" s="49">
        <f>+D13-C13</f>
        <v>-90</v>
      </c>
      <c r="F13" s="70">
        <f>IF(C13=0,0,+E13/C13)</f>
        <v>-5.0055617352614018E-2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875</v>
      </c>
      <c r="C15" s="51">
        <v>1726098</v>
      </c>
      <c r="D15" s="51">
        <v>1766984</v>
      </c>
      <c r="E15" s="51">
        <f>+D15-C15</f>
        <v>40886</v>
      </c>
      <c r="F15" s="70">
        <f>IF(C15=0,0,+E15/C15)</f>
        <v>2.3686951725800043E-2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876</v>
      </c>
      <c r="C16" s="27">
        <f>IF(C13=0,0,+C15/+C13)</f>
        <v>960.01001112347058</v>
      </c>
      <c r="D16" s="27">
        <f>IF(D13=0,0,+D15/+D13)</f>
        <v>1034.5339578454332</v>
      </c>
      <c r="E16" s="27">
        <f>+D16-C16</f>
        <v>74.523946721962602</v>
      </c>
      <c r="F16" s="28">
        <f>IF(C16=0,0,+E16/C16)</f>
        <v>7.7628301641093814E-2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877</v>
      </c>
      <c r="C18" s="210">
        <v>0.562774</v>
      </c>
      <c r="D18" s="210">
        <v>0.53320199999999995</v>
      </c>
      <c r="E18" s="210">
        <f>+D18-C18</f>
        <v>-2.9572000000000043E-2</v>
      </c>
      <c r="F18" s="70">
        <f>IF(C18=0,0,+E18/C18)</f>
        <v>-5.2546848290788206E-2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878</v>
      </c>
      <c r="C19" s="27">
        <f>+C15*C18</f>
        <v>971403.07585200004</v>
      </c>
      <c r="D19" s="27">
        <f>+D15*D18</f>
        <v>942159.40276799991</v>
      </c>
      <c r="E19" s="27">
        <f>+D19-C19</f>
        <v>-29243.673084000126</v>
      </c>
      <c r="F19" s="28">
        <f>IF(C19=0,0,+E19/C19)</f>
        <v>-3.0104571223795056E-2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879</v>
      </c>
      <c r="C20" s="27">
        <f>IF(C13=0,0,+C19/C13)</f>
        <v>540.26867400000003</v>
      </c>
      <c r="D20" s="27">
        <f>IF(D13=0,0,+D19/D13)</f>
        <v>551.61557539110061</v>
      </c>
      <c r="E20" s="27">
        <f>+D20-C20</f>
        <v>11.346901391100573</v>
      </c>
      <c r="F20" s="28">
        <f>IF(C20=0,0,+E20/C20)</f>
        <v>2.1002330760899478E-2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880</v>
      </c>
      <c r="C22" s="51">
        <v>505905</v>
      </c>
      <c r="D22" s="51">
        <v>510564</v>
      </c>
      <c r="E22" s="51">
        <f>+D22-C22</f>
        <v>4659</v>
      </c>
      <c r="F22" s="70">
        <f>IF(C22=0,0,+E22/C22)</f>
        <v>9.209238888724167E-3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881</v>
      </c>
      <c r="C23" s="49">
        <v>566888</v>
      </c>
      <c r="D23" s="49">
        <v>618186</v>
      </c>
      <c r="E23" s="49">
        <f>+D23-C23</f>
        <v>51298</v>
      </c>
      <c r="F23" s="70">
        <f>IF(C23=0,0,+E23/C23)</f>
        <v>9.0490537813465804E-2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882</v>
      </c>
      <c r="C24" s="49">
        <v>653305</v>
      </c>
      <c r="D24" s="49">
        <v>638234</v>
      </c>
      <c r="E24" s="49">
        <f>+D24-C24</f>
        <v>-15071</v>
      </c>
      <c r="F24" s="70">
        <f>IF(C24=0,0,+E24/C24)</f>
        <v>-2.306885757800721E-2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875</v>
      </c>
      <c r="C25" s="27">
        <f>+C22+C23+C24</f>
        <v>1726098</v>
      </c>
      <c r="D25" s="27">
        <f>+D22+D23+D24</f>
        <v>1766984</v>
      </c>
      <c r="E25" s="27">
        <f>+E22+E23+E24</f>
        <v>40886</v>
      </c>
      <c r="F25" s="28">
        <f>IF(C25=0,0,+E25/C25)</f>
        <v>2.3686951725800043E-2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883</v>
      </c>
      <c r="C27" s="49">
        <v>191</v>
      </c>
      <c r="D27" s="49">
        <v>160</v>
      </c>
      <c r="E27" s="49">
        <f>+D27-C27</f>
        <v>-31</v>
      </c>
      <c r="F27" s="70">
        <f>IF(C27=0,0,+E27/C27)</f>
        <v>-0.16230366492146597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884</v>
      </c>
      <c r="C28" s="49">
        <v>55</v>
      </c>
      <c r="D28" s="49">
        <v>47</v>
      </c>
      <c r="E28" s="49">
        <f>+D28-C28</f>
        <v>-8</v>
      </c>
      <c r="F28" s="70">
        <f>IF(C28=0,0,+E28/C28)</f>
        <v>-0.14545454545454545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885</v>
      </c>
      <c r="C29" s="49">
        <v>955</v>
      </c>
      <c r="D29" s="49">
        <v>981</v>
      </c>
      <c r="E29" s="49">
        <f>+D29-C29</f>
        <v>26</v>
      </c>
      <c r="F29" s="70">
        <f>IF(C29=0,0,+E29/C29)</f>
        <v>2.7225130890052355E-2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886</v>
      </c>
      <c r="C30" s="49">
        <v>2419</v>
      </c>
      <c r="D30" s="49">
        <v>2466</v>
      </c>
      <c r="E30" s="49">
        <f>+D30-C30</f>
        <v>47</v>
      </c>
      <c r="F30" s="70">
        <f>IF(C30=0,0,+E30/C30)</f>
        <v>1.9429516329061595E-2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888</v>
      </c>
      <c r="C33" s="51">
        <v>413452</v>
      </c>
      <c r="D33" s="51">
        <v>710803</v>
      </c>
      <c r="E33" s="51">
        <f>+D33-C33</f>
        <v>297351</v>
      </c>
      <c r="F33" s="70">
        <f>IF(C33=0,0,+E33/C33)</f>
        <v>0.71919110319940405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889</v>
      </c>
      <c r="C34" s="49">
        <v>664078</v>
      </c>
      <c r="D34" s="49">
        <v>1013150</v>
      </c>
      <c r="E34" s="49">
        <f>+D34-C34</f>
        <v>349072</v>
      </c>
      <c r="F34" s="70">
        <f>IF(C34=0,0,+E34/C34)</f>
        <v>0.52564909543758409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890</v>
      </c>
      <c r="C35" s="49">
        <v>1052425</v>
      </c>
      <c r="D35" s="49">
        <v>1401411</v>
      </c>
      <c r="E35" s="49">
        <f>+D35-C35</f>
        <v>348986</v>
      </c>
      <c r="F35" s="70">
        <f>IF(C35=0,0,+E35/C35)</f>
        <v>0.33160177684870656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891</v>
      </c>
      <c r="C36" s="27">
        <f>+C33+C34+C35</f>
        <v>2129955</v>
      </c>
      <c r="D36" s="27">
        <f>+D33+D34+D35</f>
        <v>3125364</v>
      </c>
      <c r="E36" s="27">
        <f>+E33+E34+E35</f>
        <v>995409</v>
      </c>
      <c r="F36" s="28">
        <f>IF(C36=0,0,+E36/C36)</f>
        <v>0.46733804235300747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893</v>
      </c>
      <c r="C39" s="51">
        <f>+C25</f>
        <v>1726098</v>
      </c>
      <c r="D39" s="51">
        <f>+D25</f>
        <v>1766984</v>
      </c>
      <c r="E39" s="51">
        <f>+D39-C39</f>
        <v>40886</v>
      </c>
      <c r="F39" s="70">
        <f>IF(C39=0,0,+E39/C39)</f>
        <v>2.3686951725800043E-2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894</v>
      </c>
      <c r="C40" s="49">
        <f>+C36</f>
        <v>2129955</v>
      </c>
      <c r="D40" s="49">
        <f>+D36</f>
        <v>3125364</v>
      </c>
      <c r="E40" s="49">
        <f>+D40-C40</f>
        <v>995409</v>
      </c>
      <c r="F40" s="70">
        <f>IF(C40=0,0,+E40/C40)</f>
        <v>0.46733804235300747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895</v>
      </c>
      <c r="C41" s="27">
        <f>+C39+C40</f>
        <v>3856053</v>
      </c>
      <c r="D41" s="27">
        <f>+D39+D40</f>
        <v>4892348</v>
      </c>
      <c r="E41" s="27">
        <f>+E39+E40</f>
        <v>1036295</v>
      </c>
      <c r="F41" s="28">
        <f>IF(C41=0,0,+E41/C41)</f>
        <v>0.26874500946952751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896</v>
      </c>
      <c r="C43" s="51">
        <f t="shared" ref="C43:D45" si="0">+C22+C33</f>
        <v>919357</v>
      </c>
      <c r="D43" s="51">
        <f t="shared" si="0"/>
        <v>1221367</v>
      </c>
      <c r="E43" s="51">
        <f>+D43-C43</f>
        <v>302010</v>
      </c>
      <c r="F43" s="70">
        <f>IF(C43=0,0,+E43/C43)</f>
        <v>0.32850133299686629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897</v>
      </c>
      <c r="C44" s="49">
        <f t="shared" si="0"/>
        <v>1230966</v>
      </c>
      <c r="D44" s="49">
        <f t="shared" si="0"/>
        <v>1631336</v>
      </c>
      <c r="E44" s="49">
        <f>+D44-C44</f>
        <v>400370</v>
      </c>
      <c r="F44" s="70">
        <f>IF(C44=0,0,+E44/C44)</f>
        <v>0.32524862587593806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898</v>
      </c>
      <c r="C45" s="49">
        <f t="shared" si="0"/>
        <v>1705730</v>
      </c>
      <c r="D45" s="49">
        <f t="shared" si="0"/>
        <v>2039645</v>
      </c>
      <c r="E45" s="49">
        <f>+D45-C45</f>
        <v>333915</v>
      </c>
      <c r="F45" s="70">
        <f>IF(C45=0,0,+E45/C45)</f>
        <v>0.19576075932298781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895</v>
      </c>
      <c r="C46" s="27">
        <f>+C43+C44+C45</f>
        <v>3856053</v>
      </c>
      <c r="D46" s="27">
        <f>+D43+D44+D45</f>
        <v>4892348</v>
      </c>
      <c r="E46" s="27">
        <f>+E43+E44+E45</f>
        <v>1036295</v>
      </c>
      <c r="F46" s="28">
        <f>IF(C46=0,0,+E46/C46)</f>
        <v>0.26874500946952751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FILING&amp;RCHARLOTTE HUNGERFORD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616</v>
      </c>
      <c r="D9" s="35" t="s">
        <v>617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902</v>
      </c>
      <c r="D10" s="35" t="s">
        <v>902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903</v>
      </c>
      <c r="D11" s="605" t="s">
        <v>903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74660403</v>
      </c>
      <c r="D15" s="51">
        <v>84219906</v>
      </c>
      <c r="E15" s="51">
        <f>+D15-C15</f>
        <v>9559503</v>
      </c>
      <c r="F15" s="70">
        <f>+E15/C15</f>
        <v>0.1280397990886816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905</v>
      </c>
      <c r="C17" s="51">
        <v>29667671</v>
      </c>
      <c r="D17" s="51">
        <v>35125309</v>
      </c>
      <c r="E17" s="51">
        <f>+D17-C17</f>
        <v>5457638</v>
      </c>
      <c r="F17" s="70">
        <f>+E17/C17</f>
        <v>0.18395909810379116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906</v>
      </c>
      <c r="C19" s="27">
        <f>+C15-C17</f>
        <v>44992732</v>
      </c>
      <c r="D19" s="27">
        <f>+D15-D17</f>
        <v>49094597</v>
      </c>
      <c r="E19" s="27">
        <f>+D19-C19</f>
        <v>4101865</v>
      </c>
      <c r="F19" s="28">
        <f>+E19/C19</f>
        <v>9.1167280084258936E-2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907</v>
      </c>
      <c r="C21" s="628">
        <f>+C17/C15</f>
        <v>0.39736821404513445</v>
      </c>
      <c r="D21" s="628">
        <f>+D17/D15</f>
        <v>0.41706658993421342</v>
      </c>
      <c r="E21" s="628">
        <f>+D21-C21</f>
        <v>1.9698375889078967E-2</v>
      </c>
      <c r="F21" s="28">
        <f>+E21/C21</f>
        <v>4.9572097598228018E-2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FILING&amp;R&amp;12CHARLOTTE HUNGERFORD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910</v>
      </c>
      <c r="B6" s="632" t="s">
        <v>911</v>
      </c>
      <c r="C6" s="632" t="s">
        <v>912</v>
      </c>
      <c r="D6" s="632" t="s">
        <v>913</v>
      </c>
      <c r="E6" s="632" t="s">
        <v>914</v>
      </c>
    </row>
    <row r="7" spans="1:6" ht="37.5" customHeight="1" x14ac:dyDescent="0.25">
      <c r="A7" s="633" t="s">
        <v>8</v>
      </c>
      <c r="B7" s="634" t="s">
        <v>915</v>
      </c>
      <c r="C7" s="631" t="s">
        <v>916</v>
      </c>
      <c r="D7" s="631" t="s">
        <v>917</v>
      </c>
      <c r="E7" s="631" t="s">
        <v>918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920</v>
      </c>
      <c r="C10" s="641">
        <v>81079809</v>
      </c>
      <c r="D10" s="641">
        <v>87023589</v>
      </c>
      <c r="E10" s="641">
        <v>89321803</v>
      </c>
    </row>
    <row r="11" spans="1:6" ht="26.1" customHeight="1" x14ac:dyDescent="0.25">
      <c r="A11" s="639">
        <v>2</v>
      </c>
      <c r="B11" s="640" t="s">
        <v>921</v>
      </c>
      <c r="C11" s="641">
        <v>107142997</v>
      </c>
      <c r="D11" s="641">
        <v>121606008</v>
      </c>
      <c r="E11" s="641">
        <v>147747616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188222806</v>
      </c>
      <c r="D12" s="641">
        <f>+D11+D10</f>
        <v>208629597</v>
      </c>
      <c r="E12" s="641">
        <f>+E11+E10</f>
        <v>237069419</v>
      </c>
    </row>
    <row r="13" spans="1:6" ht="26.1" customHeight="1" x14ac:dyDescent="0.25">
      <c r="A13" s="639">
        <v>4</v>
      </c>
      <c r="B13" s="640" t="s">
        <v>496</v>
      </c>
      <c r="C13" s="641">
        <v>103193652</v>
      </c>
      <c r="D13" s="641">
        <v>109579717</v>
      </c>
      <c r="E13" s="641">
        <v>116313832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922</v>
      </c>
      <c r="C16" s="641">
        <v>108897163</v>
      </c>
      <c r="D16" s="641">
        <v>113880767</v>
      </c>
      <c r="E16" s="641">
        <v>121882681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27979</v>
      </c>
      <c r="D19" s="644">
        <v>27425</v>
      </c>
      <c r="E19" s="644">
        <v>25249</v>
      </c>
    </row>
    <row r="20" spans="1:5" ht="26.1" customHeight="1" x14ac:dyDescent="0.25">
      <c r="A20" s="639">
        <v>2</v>
      </c>
      <c r="B20" s="640" t="s">
        <v>385</v>
      </c>
      <c r="C20" s="645">
        <v>6438</v>
      </c>
      <c r="D20" s="645">
        <v>6512</v>
      </c>
      <c r="E20" s="645">
        <v>6338</v>
      </c>
    </row>
    <row r="21" spans="1:5" ht="26.1" customHeight="1" x14ac:dyDescent="0.25">
      <c r="A21" s="639">
        <v>3</v>
      </c>
      <c r="B21" s="640" t="s">
        <v>924</v>
      </c>
      <c r="C21" s="646">
        <f>IF(C20=0,0,+C19/C20)</f>
        <v>4.3459148803976388</v>
      </c>
      <c r="D21" s="646">
        <f>IF(D20=0,0,+D19/D20)</f>
        <v>4.2114557739557741</v>
      </c>
      <c r="E21" s="646">
        <f>IF(E20=0,0,+E19/E20)</f>
        <v>3.9837488166614072</v>
      </c>
    </row>
    <row r="22" spans="1:5" ht="26.1" customHeight="1" x14ac:dyDescent="0.25">
      <c r="A22" s="639">
        <v>4</v>
      </c>
      <c r="B22" s="640" t="s">
        <v>925</v>
      </c>
      <c r="C22" s="645">
        <f>IF(C10=0,0,C19*(C12/C10))</f>
        <v>64951.878328598425</v>
      </c>
      <c r="D22" s="645">
        <f>IF(D10=0,0,D19*(D12/D10))</f>
        <v>65748.456981301933</v>
      </c>
      <c r="E22" s="645">
        <f>IF(E10=0,0,E19*(E12/E10))</f>
        <v>67013.490091898391</v>
      </c>
    </row>
    <row r="23" spans="1:5" ht="26.1" customHeight="1" x14ac:dyDescent="0.25">
      <c r="A23" s="639">
        <v>0</v>
      </c>
      <c r="B23" s="640" t="s">
        <v>926</v>
      </c>
      <c r="C23" s="645">
        <f>IF(C10=0,0,C20*(C12/C10))</f>
        <v>14945.501721988516</v>
      </c>
      <c r="D23" s="645">
        <f>IF(D10=0,0,D20*(D12/D10))</f>
        <v>15611.812283035119</v>
      </c>
      <c r="E23" s="645">
        <f>IF(E10=0,0,E20*(E12/E10))</f>
        <v>16821.715719531545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1.2352521745883815</v>
      </c>
      <c r="D26" s="647">
        <v>1.2575670915233417</v>
      </c>
      <c r="E26" s="647">
        <v>1.2411220574313666</v>
      </c>
    </row>
    <row r="27" spans="1:5" ht="26.1" customHeight="1" x14ac:dyDescent="0.25">
      <c r="A27" s="639">
        <v>2</v>
      </c>
      <c r="B27" s="640" t="s">
        <v>928</v>
      </c>
      <c r="C27" s="645">
        <f>C19*C26</f>
        <v>34561.120592808329</v>
      </c>
      <c r="D27" s="645">
        <f>D19*D26</f>
        <v>34488.777485027647</v>
      </c>
      <c r="E27" s="645">
        <f>E19*E26</f>
        <v>31337.090828084576</v>
      </c>
    </row>
    <row r="28" spans="1:5" ht="26.1" customHeight="1" x14ac:dyDescent="0.25">
      <c r="A28" s="639">
        <v>3</v>
      </c>
      <c r="B28" s="640" t="s">
        <v>929</v>
      </c>
      <c r="C28" s="645">
        <f>C20*C26</f>
        <v>7952.5535</v>
      </c>
      <c r="D28" s="645">
        <f>D20*D26</f>
        <v>8189.2769000000008</v>
      </c>
      <c r="E28" s="645">
        <f>E20*E26</f>
        <v>7866.2316000000019</v>
      </c>
    </row>
    <row r="29" spans="1:5" ht="26.1" customHeight="1" x14ac:dyDescent="0.25">
      <c r="A29" s="639">
        <v>4</v>
      </c>
      <c r="B29" s="640" t="s">
        <v>930</v>
      </c>
      <c r="C29" s="645">
        <f>C22*C26</f>
        <v>80231.948949001177</v>
      </c>
      <c r="D29" s="645">
        <f>D22*D26</f>
        <v>82683.095818123416</v>
      </c>
      <c r="E29" s="645">
        <f>E22*E26</f>
        <v>83171.920698513437</v>
      </c>
    </row>
    <row r="30" spans="1:5" ht="26.1" customHeight="1" x14ac:dyDescent="0.25">
      <c r="A30" s="639">
        <v>5</v>
      </c>
      <c r="B30" s="640" t="s">
        <v>931</v>
      </c>
      <c r="C30" s="645">
        <f>C23*C26</f>
        <v>18461.463502400715</v>
      </c>
      <c r="D30" s="645">
        <f>D23*D26</f>
        <v>19632.901366184855</v>
      </c>
      <c r="E30" s="645">
        <f>E23*E26</f>
        <v>20877.802423350553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933</v>
      </c>
      <c r="C33" s="641">
        <f>IF(C19=0,0,C12/C19)</f>
        <v>6727.2885378319452</v>
      </c>
      <c r="D33" s="641">
        <f>IF(D19=0,0,D12/D19)</f>
        <v>7607.2779216043755</v>
      </c>
      <c r="E33" s="641">
        <f>IF(E19=0,0,E12/E19)</f>
        <v>9389.2597330587341</v>
      </c>
    </row>
    <row r="34" spans="1:5" ht="26.1" customHeight="1" x14ac:dyDescent="0.25">
      <c r="A34" s="639">
        <v>2</v>
      </c>
      <c r="B34" s="640" t="s">
        <v>934</v>
      </c>
      <c r="C34" s="641">
        <f>IF(C20=0,0,C12/C20)</f>
        <v>29236.223361292326</v>
      </c>
      <c r="D34" s="641">
        <f>IF(D20=0,0,D12/D20)</f>
        <v>32037.714527027027</v>
      </c>
      <c r="E34" s="641">
        <f>IF(E20=0,0,E12/E20)</f>
        <v>37404.452350899337</v>
      </c>
    </row>
    <row r="35" spans="1:5" ht="26.1" customHeight="1" x14ac:dyDescent="0.25">
      <c r="A35" s="639">
        <v>3</v>
      </c>
      <c r="B35" s="640" t="s">
        <v>935</v>
      </c>
      <c r="C35" s="641">
        <f>IF(C22=0,0,C12/C22)</f>
        <v>2897.8808749419209</v>
      </c>
      <c r="D35" s="641">
        <f>IF(D22=0,0,D12/D22)</f>
        <v>3173.1481859617138</v>
      </c>
      <c r="E35" s="641">
        <f>IF(E22=0,0,E12/E22)</f>
        <v>3537.6372529605133</v>
      </c>
    </row>
    <row r="36" spans="1:5" ht="26.1" customHeight="1" x14ac:dyDescent="0.25">
      <c r="A36" s="639">
        <v>4</v>
      </c>
      <c r="B36" s="640" t="s">
        <v>936</v>
      </c>
      <c r="C36" s="641">
        <f>IF(C23=0,0,C12/C23)</f>
        <v>12593.943616029823</v>
      </c>
      <c r="D36" s="641">
        <f>IF(D23=0,0,D12/D23)</f>
        <v>13363.57324938575</v>
      </c>
      <c r="E36" s="641">
        <f>IF(E23=0,0,E12/E23)</f>
        <v>14093.058220258758</v>
      </c>
    </row>
    <row r="37" spans="1:5" ht="26.1" customHeight="1" x14ac:dyDescent="0.25">
      <c r="A37" s="639">
        <v>5</v>
      </c>
      <c r="B37" s="640" t="s">
        <v>937</v>
      </c>
      <c r="C37" s="641">
        <f>IF(C29=0,0,C12/C29)</f>
        <v>2345.9832207197455</v>
      </c>
      <c r="D37" s="641">
        <f>IF(D29=0,0,D12/D29)</f>
        <v>2523.2436562235034</v>
      </c>
      <c r="E37" s="641">
        <f>IF(E29=0,0,E12/E29)</f>
        <v>2850.3540258417675</v>
      </c>
    </row>
    <row r="38" spans="1:5" ht="26.1" customHeight="1" x14ac:dyDescent="0.25">
      <c r="A38" s="639">
        <v>6</v>
      </c>
      <c r="B38" s="640" t="s">
        <v>938</v>
      </c>
      <c r="C38" s="641">
        <f>IF(C30=0,0,C12/C30)</f>
        <v>10195.443388089121</v>
      </c>
      <c r="D38" s="641">
        <f>IF(D30=0,0,D12/D30)</f>
        <v>10626.529065099752</v>
      </c>
      <c r="E38" s="641">
        <f>IF(E30=0,0,E12/E30)</f>
        <v>11355.094477513221</v>
      </c>
    </row>
    <row r="39" spans="1:5" ht="26.1" customHeight="1" x14ac:dyDescent="0.25">
      <c r="A39" s="639">
        <v>7</v>
      </c>
      <c r="B39" s="640" t="s">
        <v>939</v>
      </c>
      <c r="C39" s="641">
        <f>IF(C22=0,0,C10/C22)</f>
        <v>1248.3058394371394</v>
      </c>
      <c r="D39" s="641">
        <f>IF(D22=0,0,D10/D22)</f>
        <v>1323.5837462276636</v>
      </c>
      <c r="E39" s="641">
        <f>IF(E22=0,0,E10/E22)</f>
        <v>1332.8928679510541</v>
      </c>
    </row>
    <row r="40" spans="1:5" ht="26.1" customHeight="1" x14ac:dyDescent="0.25">
      <c r="A40" s="639">
        <v>8</v>
      </c>
      <c r="B40" s="640" t="s">
        <v>940</v>
      </c>
      <c r="C40" s="641">
        <f>IF(C23=0,0,C10/C23)</f>
        <v>5425.03092289713</v>
      </c>
      <c r="D40" s="641">
        <f>IF(D23=0,0,D10/D23)</f>
        <v>5574.2144103645087</v>
      </c>
      <c r="E40" s="641">
        <f>IF(E23=0,0,E10/E23)</f>
        <v>5309.9103854364421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942</v>
      </c>
      <c r="C43" s="641">
        <f>IF(C19=0,0,C13/C19)</f>
        <v>3688.2537617498838</v>
      </c>
      <c r="D43" s="641">
        <f>IF(D19=0,0,D13/D19)</f>
        <v>3995.6141112123973</v>
      </c>
      <c r="E43" s="641">
        <f>IF(E19=0,0,E13/E19)</f>
        <v>4606.6708384490476</v>
      </c>
    </row>
    <row r="44" spans="1:5" ht="26.1" customHeight="1" x14ac:dyDescent="0.25">
      <c r="A44" s="639">
        <v>2</v>
      </c>
      <c r="B44" s="640" t="s">
        <v>943</v>
      </c>
      <c r="C44" s="641">
        <f>IF(C20=0,0,C13/C20)</f>
        <v>16028.836905871389</v>
      </c>
      <c r="D44" s="641">
        <f>IF(D20=0,0,D13/D20)</f>
        <v>16827.352119164618</v>
      </c>
      <c r="E44" s="641">
        <f>IF(E20=0,0,E13/E20)</f>
        <v>18351.819501420006</v>
      </c>
    </row>
    <row r="45" spans="1:5" ht="26.1" customHeight="1" x14ac:dyDescent="0.25">
      <c r="A45" s="639">
        <v>3</v>
      </c>
      <c r="B45" s="640" t="s">
        <v>944</v>
      </c>
      <c r="C45" s="641">
        <f>IF(C22=0,0,C13/C22)</f>
        <v>1588.7708663009312</v>
      </c>
      <c r="D45" s="641">
        <f>IF(D22=0,0,D13/D22)</f>
        <v>1666.6507783013546</v>
      </c>
      <c r="E45" s="641">
        <f>IF(E22=0,0,E13/E22)</f>
        <v>1735.6778738205396</v>
      </c>
    </row>
    <row r="46" spans="1:5" ht="26.1" customHeight="1" x14ac:dyDescent="0.25">
      <c r="A46" s="639">
        <v>4</v>
      </c>
      <c r="B46" s="640" t="s">
        <v>945</v>
      </c>
      <c r="C46" s="641">
        <f>IF(C23=0,0,C13/C23)</f>
        <v>6904.6629493994642</v>
      </c>
      <c r="D46" s="641">
        <f>IF(D23=0,0,D13/D23)</f>
        <v>7019.0260434451257</v>
      </c>
      <c r="E46" s="641">
        <f>IF(E23=0,0,E13/E23)</f>
        <v>6914.5046759379629</v>
      </c>
    </row>
    <row r="47" spans="1:5" ht="26.1" customHeight="1" x14ac:dyDescent="0.25">
      <c r="A47" s="639">
        <v>5</v>
      </c>
      <c r="B47" s="640" t="s">
        <v>946</v>
      </c>
      <c r="C47" s="641">
        <f>IF(C29=0,0,C13/C29)</f>
        <v>1286.1915153724392</v>
      </c>
      <c r="D47" s="641">
        <f>IF(D29=0,0,D13/D29)</f>
        <v>1325.297703427078</v>
      </c>
      <c r="E47" s="641">
        <f>IF(E29=0,0,E13/E29)</f>
        <v>1398.4747619526709</v>
      </c>
    </row>
    <row r="48" spans="1:5" ht="26.1" customHeight="1" x14ac:dyDescent="0.25">
      <c r="A48" s="639">
        <v>6</v>
      </c>
      <c r="B48" s="640" t="s">
        <v>947</v>
      </c>
      <c r="C48" s="641">
        <f>IF(C30=0,0,C13/C30)</f>
        <v>5589.6788456982713</v>
      </c>
      <c r="D48" s="641">
        <f>IF(D30=0,0,D13/D30)</f>
        <v>5581.4326653082953</v>
      </c>
      <c r="E48" s="641">
        <f>IF(E30=0,0,E13/E30)</f>
        <v>5571.1721780597964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949</v>
      </c>
      <c r="C51" s="641">
        <f>IF(C19=0,0,C16/C19)</f>
        <v>3892.1034704599879</v>
      </c>
      <c r="D51" s="641">
        <f>IF(D19=0,0,D16/D19)</f>
        <v>4152.4436463081129</v>
      </c>
      <c r="E51" s="641">
        <f>IF(E19=0,0,E16/E19)</f>
        <v>4827.2280486355894</v>
      </c>
    </row>
    <row r="52" spans="1:6" ht="26.1" customHeight="1" x14ac:dyDescent="0.25">
      <c r="A52" s="639">
        <v>2</v>
      </c>
      <c r="B52" s="640" t="s">
        <v>950</v>
      </c>
      <c r="C52" s="641">
        <f>IF(C20=0,0,C16/C20)</f>
        <v>16914.750388319353</v>
      </c>
      <c r="D52" s="641">
        <f>IF(D20=0,0,D16/D20)</f>
        <v>17487.83277027027</v>
      </c>
      <c r="E52" s="641">
        <f>IF(E20=0,0,E16/E20)</f>
        <v>19230.464026506783</v>
      </c>
    </row>
    <row r="53" spans="1:6" ht="26.1" customHeight="1" x14ac:dyDescent="0.25">
      <c r="A53" s="639">
        <v>3</v>
      </c>
      <c r="B53" s="640" t="s">
        <v>951</v>
      </c>
      <c r="C53" s="641">
        <f>IF(C22=0,0,C16/C22)</f>
        <v>1676.5821990409227</v>
      </c>
      <c r="D53" s="641">
        <f>IF(D22=0,0,D16/D22)</f>
        <v>1732.0675226246954</v>
      </c>
      <c r="E53" s="641">
        <f>IF(E22=0,0,E16/E22)</f>
        <v>1818.7782912493767</v>
      </c>
    </row>
    <row r="54" spans="1:6" ht="26.1" customHeight="1" x14ac:dyDescent="0.25">
      <c r="A54" s="639">
        <v>4</v>
      </c>
      <c r="B54" s="640" t="s">
        <v>952</v>
      </c>
      <c r="C54" s="641">
        <f>IF(C23=0,0,C16/C23)</f>
        <v>7286.283527021742</v>
      </c>
      <c r="D54" s="641">
        <f>IF(D23=0,0,D16/D23)</f>
        <v>7294.5257690390481</v>
      </c>
      <c r="E54" s="641">
        <f>IF(E23=0,0,E16/E23)</f>
        <v>7245.555865534162</v>
      </c>
    </row>
    <row r="55" spans="1:6" ht="26.1" customHeight="1" x14ac:dyDescent="0.25">
      <c r="A55" s="639">
        <v>5</v>
      </c>
      <c r="B55" s="640" t="s">
        <v>953</v>
      </c>
      <c r="C55" s="641">
        <f>IF(C29=0,0,C16/C29)</f>
        <v>1357.2792936791259</v>
      </c>
      <c r="D55" s="641">
        <f>IF(D29=0,0,D16/D29)</f>
        <v>1377.316195930805</v>
      </c>
      <c r="E55" s="641">
        <f>IF(E29=0,0,E16/E29)</f>
        <v>1465.4306402494617</v>
      </c>
    </row>
    <row r="56" spans="1:6" ht="26.1" customHeight="1" x14ac:dyDescent="0.25">
      <c r="A56" s="639">
        <v>6</v>
      </c>
      <c r="B56" s="640" t="s">
        <v>954</v>
      </c>
      <c r="C56" s="641">
        <f>IF(C30=0,0,C16/C30)</f>
        <v>5898.6202792557096</v>
      </c>
      <c r="D56" s="641">
        <f>IF(D30=0,0,D16/D30)</f>
        <v>5800.5062459155915</v>
      </c>
      <c r="E56" s="641">
        <f>IF(E30=0,0,E16/E30)</f>
        <v>5837.9075789931621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956</v>
      </c>
      <c r="C59" s="649">
        <v>18853887</v>
      </c>
      <c r="D59" s="649">
        <v>18727261</v>
      </c>
      <c r="E59" s="649">
        <v>21604919</v>
      </c>
    </row>
    <row r="60" spans="1:6" ht="26.1" customHeight="1" x14ac:dyDescent="0.25">
      <c r="A60" s="639">
        <v>2</v>
      </c>
      <c r="B60" s="640" t="s">
        <v>957</v>
      </c>
      <c r="C60" s="649">
        <v>6041586</v>
      </c>
      <c r="D60" s="649">
        <v>5724690</v>
      </c>
      <c r="E60" s="649">
        <v>6508150</v>
      </c>
    </row>
    <row r="61" spans="1:6" ht="26.1" customHeight="1" x14ac:dyDescent="0.25">
      <c r="A61" s="650">
        <v>3</v>
      </c>
      <c r="B61" s="651" t="s">
        <v>958</v>
      </c>
      <c r="C61" s="652">
        <f>C59+C60</f>
        <v>24895473</v>
      </c>
      <c r="D61" s="652">
        <f>D59+D60</f>
        <v>24451951</v>
      </c>
      <c r="E61" s="652">
        <f>E59+E60</f>
        <v>28113069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960</v>
      </c>
      <c r="C64" s="641">
        <v>5186232</v>
      </c>
      <c r="D64" s="641">
        <v>5949173</v>
      </c>
      <c r="E64" s="649">
        <v>7857318</v>
      </c>
      <c r="F64" s="653"/>
    </row>
    <row r="65" spans="1:6" ht="26.1" customHeight="1" x14ac:dyDescent="0.25">
      <c r="A65" s="639">
        <v>2</v>
      </c>
      <c r="B65" s="640" t="s">
        <v>961</v>
      </c>
      <c r="C65" s="649">
        <v>1661889</v>
      </c>
      <c r="D65" s="649">
        <v>1818588</v>
      </c>
      <c r="E65" s="649">
        <v>2366896</v>
      </c>
      <c r="F65" s="653"/>
    </row>
    <row r="66" spans="1:6" ht="26.1" customHeight="1" x14ac:dyDescent="0.25">
      <c r="A66" s="650">
        <v>3</v>
      </c>
      <c r="B66" s="651" t="s">
        <v>962</v>
      </c>
      <c r="C66" s="654">
        <f>C64+C65</f>
        <v>6848121</v>
      </c>
      <c r="D66" s="654">
        <f>D64+D65</f>
        <v>7767761</v>
      </c>
      <c r="E66" s="654">
        <f>E64+E65</f>
        <v>10224214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964</v>
      </c>
      <c r="C69" s="649">
        <v>24620510</v>
      </c>
      <c r="D69" s="649">
        <v>27051759</v>
      </c>
      <c r="E69" s="649">
        <v>25466493</v>
      </c>
    </row>
    <row r="70" spans="1:6" ht="26.1" customHeight="1" x14ac:dyDescent="0.25">
      <c r="A70" s="639">
        <v>2</v>
      </c>
      <c r="B70" s="640" t="s">
        <v>965</v>
      </c>
      <c r="C70" s="649">
        <v>7889458</v>
      </c>
      <c r="D70" s="649">
        <v>8269386</v>
      </c>
      <c r="E70" s="649">
        <v>7671389</v>
      </c>
    </row>
    <row r="71" spans="1:6" ht="26.1" customHeight="1" x14ac:dyDescent="0.25">
      <c r="A71" s="650">
        <v>3</v>
      </c>
      <c r="B71" s="651" t="s">
        <v>966</v>
      </c>
      <c r="C71" s="652">
        <f>C69+C70</f>
        <v>32509968</v>
      </c>
      <c r="D71" s="652">
        <f>D69+D70</f>
        <v>35321145</v>
      </c>
      <c r="E71" s="652">
        <f>E69+E70</f>
        <v>33137882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968</v>
      </c>
      <c r="C75" s="641">
        <f t="shared" ref="C75:E76" si="0">+C59+C64+C69</f>
        <v>48660629</v>
      </c>
      <c r="D75" s="641">
        <f t="shared" si="0"/>
        <v>51728193</v>
      </c>
      <c r="E75" s="641">
        <f t="shared" si="0"/>
        <v>54928730</v>
      </c>
    </row>
    <row r="76" spans="1:6" ht="26.1" customHeight="1" x14ac:dyDescent="0.25">
      <c r="A76" s="639">
        <v>2</v>
      </c>
      <c r="B76" s="640" t="s">
        <v>969</v>
      </c>
      <c r="C76" s="641">
        <f t="shared" si="0"/>
        <v>15592933</v>
      </c>
      <c r="D76" s="641">
        <f t="shared" si="0"/>
        <v>15812664</v>
      </c>
      <c r="E76" s="641">
        <f t="shared" si="0"/>
        <v>16546435</v>
      </c>
    </row>
    <row r="77" spans="1:6" ht="26.1" customHeight="1" x14ac:dyDescent="0.25">
      <c r="A77" s="650">
        <v>3</v>
      </c>
      <c r="B77" s="651" t="s">
        <v>967</v>
      </c>
      <c r="C77" s="654">
        <f>C75+C76</f>
        <v>64253562</v>
      </c>
      <c r="D77" s="654">
        <f>D75+D76</f>
        <v>67540857</v>
      </c>
      <c r="E77" s="654">
        <f>E75+E76</f>
        <v>71475165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286.89999999999998</v>
      </c>
      <c r="D80" s="646">
        <v>295.3</v>
      </c>
      <c r="E80" s="646">
        <v>321.39999999999998</v>
      </c>
    </row>
    <row r="81" spans="1:5" ht="26.1" customHeight="1" x14ac:dyDescent="0.25">
      <c r="A81" s="639">
        <v>2</v>
      </c>
      <c r="B81" s="640" t="s">
        <v>597</v>
      </c>
      <c r="C81" s="646">
        <v>24.1</v>
      </c>
      <c r="D81" s="646">
        <v>26.3</v>
      </c>
      <c r="E81" s="646">
        <v>31.1</v>
      </c>
    </row>
    <row r="82" spans="1:5" ht="26.1" customHeight="1" x14ac:dyDescent="0.25">
      <c r="A82" s="639">
        <v>3</v>
      </c>
      <c r="B82" s="640" t="s">
        <v>971</v>
      </c>
      <c r="C82" s="646">
        <v>402.2</v>
      </c>
      <c r="D82" s="646">
        <v>422.7</v>
      </c>
      <c r="E82" s="646">
        <v>415.9</v>
      </c>
    </row>
    <row r="83" spans="1:5" ht="26.1" customHeight="1" x14ac:dyDescent="0.25">
      <c r="A83" s="650">
        <v>4</v>
      </c>
      <c r="B83" s="651" t="s">
        <v>970</v>
      </c>
      <c r="C83" s="656">
        <f>C80+C81+C82</f>
        <v>713.2</v>
      </c>
      <c r="D83" s="656">
        <f>D80+D81+D82</f>
        <v>744.3</v>
      </c>
      <c r="E83" s="656">
        <f>E80+E81+E82</f>
        <v>768.4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973</v>
      </c>
      <c r="C86" s="649">
        <f>IF(C80=0,0,C59/C80)</f>
        <v>65715.883583130009</v>
      </c>
      <c r="D86" s="649">
        <f>IF(D80=0,0,D59/D80)</f>
        <v>63417.748052827628</v>
      </c>
      <c r="E86" s="649">
        <f>IF(E80=0,0,E59/E80)</f>
        <v>67221.278780336041</v>
      </c>
    </row>
    <row r="87" spans="1:5" ht="26.1" customHeight="1" x14ac:dyDescent="0.25">
      <c r="A87" s="639">
        <v>2</v>
      </c>
      <c r="B87" s="640" t="s">
        <v>974</v>
      </c>
      <c r="C87" s="649">
        <f>IF(C80=0,0,C60/C80)</f>
        <v>21058.159637504359</v>
      </c>
      <c r="D87" s="649">
        <f>IF(D80=0,0,D60/D80)</f>
        <v>19386.014222824248</v>
      </c>
      <c r="E87" s="649">
        <f>IF(E80=0,0,E60/E80)</f>
        <v>20249.377722464222</v>
      </c>
    </row>
    <row r="88" spans="1:5" ht="26.1" customHeight="1" x14ac:dyDescent="0.25">
      <c r="A88" s="650">
        <v>3</v>
      </c>
      <c r="B88" s="651" t="s">
        <v>975</v>
      </c>
      <c r="C88" s="652">
        <f>+C86+C87</f>
        <v>86774.043220634368</v>
      </c>
      <c r="D88" s="652">
        <f>+D86+D87</f>
        <v>82803.762275651883</v>
      </c>
      <c r="E88" s="652">
        <f>+E86+E87</f>
        <v>87470.656502800266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976</v>
      </c>
    </row>
    <row r="91" spans="1:5" ht="26.1" customHeight="1" x14ac:dyDescent="0.25">
      <c r="A91" s="639">
        <v>1</v>
      </c>
      <c r="B91" s="640" t="s">
        <v>977</v>
      </c>
      <c r="C91" s="641">
        <f>IF(C81=0,0,C64/C81)</f>
        <v>215196.34854771782</v>
      </c>
      <c r="D91" s="641">
        <f>IF(D81=0,0,D64/D81)</f>
        <v>226204.29657794675</v>
      </c>
      <c r="E91" s="641">
        <f>IF(E81=0,0,E64/E81)</f>
        <v>252646.88102893889</v>
      </c>
    </row>
    <row r="92" spans="1:5" ht="26.1" customHeight="1" x14ac:dyDescent="0.25">
      <c r="A92" s="639">
        <v>2</v>
      </c>
      <c r="B92" s="640" t="s">
        <v>978</v>
      </c>
      <c r="C92" s="641">
        <f>IF(C81=0,0,C65/C81)</f>
        <v>68958.049792531121</v>
      </c>
      <c r="D92" s="641">
        <f>IF(D81=0,0,D65/D81)</f>
        <v>69147.832699619772</v>
      </c>
      <c r="E92" s="641">
        <f>IF(E81=0,0,E65/E81)</f>
        <v>76105.980707395502</v>
      </c>
    </row>
    <row r="93" spans="1:5" ht="26.1" customHeight="1" x14ac:dyDescent="0.25">
      <c r="A93" s="650">
        <v>3</v>
      </c>
      <c r="B93" s="651" t="s">
        <v>979</v>
      </c>
      <c r="C93" s="654">
        <f>+C91+C92</f>
        <v>284154.39834024897</v>
      </c>
      <c r="D93" s="654">
        <f>+D91+D92</f>
        <v>295352.12927756651</v>
      </c>
      <c r="E93" s="654">
        <f>+E91+E92</f>
        <v>328752.86173633439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980</v>
      </c>
      <c r="B95" s="642" t="s">
        <v>981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982</v>
      </c>
      <c r="C96" s="649">
        <f>IF(C82=0,0,C69/C82)</f>
        <v>61214.594728990553</v>
      </c>
      <c r="D96" s="649">
        <f>IF(D82=0,0,D69/D82)</f>
        <v>63997.537260468416</v>
      </c>
      <c r="E96" s="649">
        <f>IF(E82=0,0,E69/E82)</f>
        <v>61232.250540995432</v>
      </c>
    </row>
    <row r="97" spans="1:5" ht="26.1" customHeight="1" x14ac:dyDescent="0.25">
      <c r="A97" s="639">
        <v>2</v>
      </c>
      <c r="B97" s="640" t="s">
        <v>983</v>
      </c>
      <c r="C97" s="649">
        <f>IF(C82=0,0,C70/C82)</f>
        <v>19615.758329189459</v>
      </c>
      <c r="D97" s="649">
        <f>IF(D82=0,0,D70/D82)</f>
        <v>19563.250532292408</v>
      </c>
      <c r="E97" s="649">
        <f>IF(E82=0,0,E70/E82)</f>
        <v>18445.272902139939</v>
      </c>
    </row>
    <row r="98" spans="1:5" ht="26.1" customHeight="1" x14ac:dyDescent="0.25">
      <c r="A98" s="650">
        <v>3</v>
      </c>
      <c r="B98" s="651" t="s">
        <v>984</v>
      </c>
      <c r="C98" s="654">
        <f>+C96+C97</f>
        <v>80830.353058180015</v>
      </c>
      <c r="D98" s="654">
        <f>+D96+D97</f>
        <v>83560.787792760821</v>
      </c>
      <c r="E98" s="654">
        <f>+E96+E97</f>
        <v>79677.523443135375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985</v>
      </c>
      <c r="B100" s="642" t="s">
        <v>986</v>
      </c>
    </row>
    <row r="101" spans="1:5" ht="26.1" customHeight="1" x14ac:dyDescent="0.25">
      <c r="A101" s="639">
        <v>1</v>
      </c>
      <c r="B101" s="640" t="s">
        <v>987</v>
      </c>
      <c r="C101" s="641">
        <f>IF(C83=0,0,C75/C83)</f>
        <v>68228.588053841842</v>
      </c>
      <c r="D101" s="641">
        <f>IF(D83=0,0,D75/D83)</f>
        <v>69499.117291414761</v>
      </c>
      <c r="E101" s="641">
        <f>IF(E83=0,0,E75/E83)</f>
        <v>71484.552316501824</v>
      </c>
    </row>
    <row r="102" spans="1:5" ht="26.1" customHeight="1" x14ac:dyDescent="0.25">
      <c r="A102" s="639">
        <v>2</v>
      </c>
      <c r="B102" s="640" t="s">
        <v>988</v>
      </c>
      <c r="C102" s="658">
        <f>IF(C83=0,0,C76/C83)</f>
        <v>21863.33847448121</v>
      </c>
      <c r="D102" s="658">
        <f>IF(D83=0,0,D76/D83)</f>
        <v>21245.014107214833</v>
      </c>
      <c r="E102" s="658">
        <f>IF(E83=0,0,E76/E83)</f>
        <v>21533.621811556481</v>
      </c>
    </row>
    <row r="103" spans="1:5" ht="26.1" customHeight="1" x14ac:dyDescent="0.25">
      <c r="A103" s="650">
        <v>3</v>
      </c>
      <c r="B103" s="651" t="s">
        <v>986</v>
      </c>
      <c r="C103" s="654">
        <f>+C101+C102</f>
        <v>90091.926528323049</v>
      </c>
      <c r="D103" s="654">
        <f>+D101+D102</f>
        <v>90744.131398629601</v>
      </c>
      <c r="E103" s="654">
        <f>+E101+E102</f>
        <v>93018.174128058308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989</v>
      </c>
      <c r="B107" s="634" t="s">
        <v>990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991</v>
      </c>
      <c r="C108" s="641">
        <f>IF(C19=0,0,C77/C19)</f>
        <v>2296.4924407591407</v>
      </c>
      <c r="D108" s="641">
        <f>IF(D19=0,0,D77/D19)</f>
        <v>2462.7477484047404</v>
      </c>
      <c r="E108" s="641">
        <f>IF(E19=0,0,E77/E19)</f>
        <v>2830.8117153154581</v>
      </c>
    </row>
    <row r="109" spans="1:5" ht="26.1" customHeight="1" x14ac:dyDescent="0.25">
      <c r="A109" s="639">
        <v>2</v>
      </c>
      <c r="B109" s="640" t="s">
        <v>992</v>
      </c>
      <c r="C109" s="641">
        <f>IF(C20=0,0,C77/C20)</f>
        <v>9980.3606710158438</v>
      </c>
      <c r="D109" s="641">
        <f>IF(D20=0,0,D77/D20)</f>
        <v>10371.753224815724</v>
      </c>
      <c r="E109" s="641">
        <f>IF(E20=0,0,E77/E20)</f>
        <v>11277.242821079204</v>
      </c>
    </row>
    <row r="110" spans="1:5" ht="26.1" customHeight="1" x14ac:dyDescent="0.25">
      <c r="A110" s="639">
        <v>3</v>
      </c>
      <c r="B110" s="640" t="s">
        <v>993</v>
      </c>
      <c r="C110" s="641">
        <f>IF(C22=0,0,C77/C22)</f>
        <v>989.24871233029523</v>
      </c>
      <c r="D110" s="641">
        <f>IF(D22=0,0,D77/D22)</f>
        <v>1027.2614765576598</v>
      </c>
      <c r="E110" s="641">
        <f>IF(E22=0,0,E77/E22)</f>
        <v>1066.578757530508</v>
      </c>
    </row>
    <row r="111" spans="1:5" ht="26.1" customHeight="1" x14ac:dyDescent="0.25">
      <c r="A111" s="639">
        <v>4</v>
      </c>
      <c r="B111" s="640" t="s">
        <v>994</v>
      </c>
      <c r="C111" s="641">
        <f>IF(C23=0,0,C77/C23)</f>
        <v>4299.1906993304328</v>
      </c>
      <c r="D111" s="641">
        <f>IF(D23=0,0,D77/D23)</f>
        <v>4326.2662768110913</v>
      </c>
      <c r="E111" s="641">
        <f>IF(E23=0,0,E77/E23)</f>
        <v>4248.9818631883563</v>
      </c>
    </row>
    <row r="112" spans="1:5" ht="26.1" customHeight="1" x14ac:dyDescent="0.25">
      <c r="A112" s="639">
        <v>5</v>
      </c>
      <c r="B112" s="640" t="s">
        <v>995</v>
      </c>
      <c r="C112" s="641">
        <f>IF(C29=0,0,C77/C29)</f>
        <v>800.84757807444373</v>
      </c>
      <c r="D112" s="641">
        <f>IF(D29=0,0,D77/D29)</f>
        <v>816.86415260222554</v>
      </c>
      <c r="E112" s="641">
        <f>IF(E29=0,0,E77/E29)</f>
        <v>859.36653139329871</v>
      </c>
    </row>
    <row r="113" spans="1:7" ht="25.5" customHeight="1" x14ac:dyDescent="0.25">
      <c r="A113" s="639">
        <v>6</v>
      </c>
      <c r="B113" s="640" t="s">
        <v>996</v>
      </c>
      <c r="C113" s="641">
        <f>IF(C30=0,0,C77/C30)</f>
        <v>3480.4154064841346</v>
      </c>
      <c r="D113" s="641">
        <f>IF(D30=0,0,D77/D30)</f>
        <v>3440.1872520141333</v>
      </c>
      <c r="E113" s="641">
        <f>IF(E30=0,0,E77/E30)</f>
        <v>3423.5004025164721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FILING&amp;R&amp;12CHARLOTTE HUNGERFORD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208629597</v>
      </c>
      <c r="D12" s="51">
        <v>237069420</v>
      </c>
      <c r="E12" s="51">
        <f t="shared" ref="E12:E19" si="0">D12-C12</f>
        <v>28439823</v>
      </c>
      <c r="F12" s="70">
        <f t="shared" ref="F12:F19" si="1">IF(C12=0,0,E12/C12)</f>
        <v>0.13631729825946029</v>
      </c>
    </row>
    <row r="13" spans="1:8" ht="23.1" customHeight="1" x14ac:dyDescent="0.2">
      <c r="A13" s="25">
        <v>2</v>
      </c>
      <c r="B13" s="48" t="s">
        <v>72</v>
      </c>
      <c r="C13" s="51">
        <v>97340958</v>
      </c>
      <c r="D13" s="51">
        <v>118988604</v>
      </c>
      <c r="E13" s="51">
        <f t="shared" si="0"/>
        <v>21647646</v>
      </c>
      <c r="F13" s="70">
        <f t="shared" si="1"/>
        <v>0.22238990086783408</v>
      </c>
    </row>
    <row r="14" spans="1:8" ht="23.1" customHeight="1" x14ac:dyDescent="0.2">
      <c r="A14" s="25">
        <v>3</v>
      </c>
      <c r="B14" s="48" t="s">
        <v>73</v>
      </c>
      <c r="C14" s="51">
        <v>1708922</v>
      </c>
      <c r="D14" s="51">
        <v>1766984</v>
      </c>
      <c r="E14" s="51">
        <f t="shared" si="0"/>
        <v>58062</v>
      </c>
      <c r="F14" s="70">
        <f t="shared" si="1"/>
        <v>3.3975804630053334E-2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109579717</v>
      </c>
      <c r="D16" s="27">
        <f>D12-D13-D14-D15</f>
        <v>116313832</v>
      </c>
      <c r="E16" s="27">
        <f t="shared" si="0"/>
        <v>6734115</v>
      </c>
      <c r="F16" s="28">
        <f t="shared" si="1"/>
        <v>6.1454028029658082E-2</v>
      </c>
    </row>
    <row r="17" spans="1:7" ht="23.1" customHeight="1" x14ac:dyDescent="0.2">
      <c r="A17" s="25">
        <v>5</v>
      </c>
      <c r="B17" s="48" t="s">
        <v>76</v>
      </c>
      <c r="C17" s="51">
        <v>4949386</v>
      </c>
      <c r="D17" s="51">
        <v>5735128</v>
      </c>
      <c r="E17" s="51">
        <f t="shared" si="0"/>
        <v>785742</v>
      </c>
      <c r="F17" s="70">
        <f t="shared" si="1"/>
        <v>0.15875544966587773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114529103</v>
      </c>
      <c r="D19" s="27">
        <f>SUM(D16:D18)</f>
        <v>122048960</v>
      </c>
      <c r="E19" s="27">
        <f t="shared" si="0"/>
        <v>7519857</v>
      </c>
      <c r="F19" s="28">
        <f t="shared" si="1"/>
        <v>6.5658918152882065E-2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51728193</v>
      </c>
      <c r="D22" s="51">
        <v>54928730</v>
      </c>
      <c r="E22" s="51">
        <f t="shared" ref="E22:E31" si="2">D22-C22</f>
        <v>3200537</v>
      </c>
      <c r="F22" s="70">
        <f t="shared" ref="F22:F31" si="3">IF(C22=0,0,E22/C22)</f>
        <v>6.1872198010087073E-2</v>
      </c>
    </row>
    <row r="23" spans="1:7" ht="23.1" customHeight="1" x14ac:dyDescent="0.2">
      <c r="A23" s="25">
        <v>2</v>
      </c>
      <c r="B23" s="48" t="s">
        <v>81</v>
      </c>
      <c r="C23" s="51">
        <v>15812664</v>
      </c>
      <c r="D23" s="51">
        <v>16546435</v>
      </c>
      <c r="E23" s="51">
        <f t="shared" si="2"/>
        <v>733771</v>
      </c>
      <c r="F23" s="70">
        <f t="shared" si="3"/>
        <v>4.6404008837473559E-2</v>
      </c>
    </row>
    <row r="24" spans="1:7" ht="23.1" customHeight="1" x14ac:dyDescent="0.2">
      <c r="A24" s="25">
        <v>3</v>
      </c>
      <c r="B24" s="48" t="s">
        <v>82</v>
      </c>
      <c r="C24" s="51">
        <v>1707737</v>
      </c>
      <c r="D24" s="51">
        <v>3306463</v>
      </c>
      <c r="E24" s="51">
        <f t="shared" si="2"/>
        <v>1598726</v>
      </c>
      <c r="F24" s="70">
        <f t="shared" si="3"/>
        <v>0.93616640032979315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13208881</v>
      </c>
      <c r="D25" s="51">
        <v>12272846</v>
      </c>
      <c r="E25" s="51">
        <f t="shared" si="2"/>
        <v>-936035</v>
      </c>
      <c r="F25" s="70">
        <f t="shared" si="3"/>
        <v>-7.0864064866660539E-2</v>
      </c>
    </row>
    <row r="26" spans="1:7" ht="23.1" customHeight="1" x14ac:dyDescent="0.2">
      <c r="A26" s="25">
        <v>5</v>
      </c>
      <c r="B26" s="48" t="s">
        <v>84</v>
      </c>
      <c r="C26" s="51">
        <v>6178082</v>
      </c>
      <c r="D26" s="51">
        <v>6060455</v>
      </c>
      <c r="E26" s="51">
        <f t="shared" si="2"/>
        <v>-117627</v>
      </c>
      <c r="F26" s="70">
        <f t="shared" si="3"/>
        <v>-1.9039404138695471E-2</v>
      </c>
    </row>
    <row r="27" spans="1:7" ht="23.1" customHeight="1" x14ac:dyDescent="0.2">
      <c r="A27" s="25">
        <v>6</v>
      </c>
      <c r="B27" s="48" t="s">
        <v>85</v>
      </c>
      <c r="C27" s="51">
        <v>2129955</v>
      </c>
      <c r="D27" s="51">
        <v>3125364</v>
      </c>
      <c r="E27" s="51">
        <f t="shared" si="2"/>
        <v>995409</v>
      </c>
      <c r="F27" s="70">
        <f t="shared" si="3"/>
        <v>0.46733804235300747</v>
      </c>
    </row>
    <row r="28" spans="1:7" ht="23.1" customHeight="1" x14ac:dyDescent="0.2">
      <c r="A28" s="25">
        <v>7</v>
      </c>
      <c r="B28" s="48" t="s">
        <v>86</v>
      </c>
      <c r="C28" s="51">
        <v>308286</v>
      </c>
      <c r="D28" s="51">
        <v>264153</v>
      </c>
      <c r="E28" s="51">
        <f t="shared" si="2"/>
        <v>-44133</v>
      </c>
      <c r="F28" s="70">
        <f t="shared" si="3"/>
        <v>-0.14315603043926745</v>
      </c>
    </row>
    <row r="29" spans="1:7" ht="23.1" customHeight="1" x14ac:dyDescent="0.2">
      <c r="A29" s="25">
        <v>8</v>
      </c>
      <c r="B29" s="48" t="s">
        <v>87</v>
      </c>
      <c r="C29" s="51">
        <v>2111635</v>
      </c>
      <c r="D29" s="51">
        <v>1748531</v>
      </c>
      <c r="E29" s="51">
        <f t="shared" si="2"/>
        <v>-363104</v>
      </c>
      <c r="F29" s="70">
        <f t="shared" si="3"/>
        <v>-0.17195395984628026</v>
      </c>
    </row>
    <row r="30" spans="1:7" ht="23.1" customHeight="1" x14ac:dyDescent="0.2">
      <c r="A30" s="25">
        <v>9</v>
      </c>
      <c r="B30" s="48" t="s">
        <v>88</v>
      </c>
      <c r="C30" s="51">
        <v>20695334</v>
      </c>
      <c r="D30" s="51">
        <v>23629704</v>
      </c>
      <c r="E30" s="51">
        <f t="shared" si="2"/>
        <v>2934370</v>
      </c>
      <c r="F30" s="70">
        <f t="shared" si="3"/>
        <v>0.14178896557069337</v>
      </c>
    </row>
    <row r="31" spans="1:7" ht="23.1" customHeight="1" x14ac:dyDescent="0.25">
      <c r="A31" s="29"/>
      <c r="B31" s="71" t="s">
        <v>89</v>
      </c>
      <c r="C31" s="27">
        <f>SUM(C22:C30)</f>
        <v>113880767</v>
      </c>
      <c r="D31" s="27">
        <f>SUM(D22:D30)</f>
        <v>121882681</v>
      </c>
      <c r="E31" s="27">
        <f t="shared" si="2"/>
        <v>8001914</v>
      </c>
      <c r="F31" s="28">
        <f t="shared" si="3"/>
        <v>7.0265719232467064E-2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648336</v>
      </c>
      <c r="D33" s="27">
        <f>+D19-D31</f>
        <v>166279</v>
      </c>
      <c r="E33" s="27">
        <f>D33-C33</f>
        <v>-482057</v>
      </c>
      <c r="F33" s="28">
        <f>IF(C33=0,0,E33/C33)</f>
        <v>-0.7435295895955184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1496290</v>
      </c>
      <c r="D36" s="51">
        <v>2102513</v>
      </c>
      <c r="E36" s="51">
        <f>D36-C36</f>
        <v>606223</v>
      </c>
      <c r="F36" s="70">
        <f>IF(C36=0,0,E36/C36)</f>
        <v>0.40515073949568597</v>
      </c>
    </row>
    <row r="37" spans="1:6" ht="23.1" customHeight="1" x14ac:dyDescent="0.2">
      <c r="A37" s="44">
        <v>2</v>
      </c>
      <c r="B37" s="48" t="s">
        <v>93</v>
      </c>
      <c r="C37" s="51">
        <v>405765</v>
      </c>
      <c r="D37" s="51">
        <v>27952</v>
      </c>
      <c r="E37" s="51">
        <f>D37-C37</f>
        <v>-377813</v>
      </c>
      <c r="F37" s="70">
        <f>IF(C37=0,0,E37/C37)</f>
        <v>-0.93111283624758168</v>
      </c>
    </row>
    <row r="38" spans="1:6" ht="23.1" customHeight="1" x14ac:dyDescent="0.2">
      <c r="A38" s="44">
        <v>3</v>
      </c>
      <c r="B38" s="48" t="s">
        <v>94</v>
      </c>
      <c r="C38" s="51">
        <v>109058</v>
      </c>
      <c r="D38" s="51">
        <v>118880</v>
      </c>
      <c r="E38" s="51">
        <f>D38-C38</f>
        <v>9822</v>
      </c>
      <c r="F38" s="70">
        <f>IF(C38=0,0,E38/C38)</f>
        <v>9.0062168754240862E-2</v>
      </c>
    </row>
    <row r="39" spans="1:6" ht="23.1" customHeight="1" x14ac:dyDescent="0.25">
      <c r="A39" s="20"/>
      <c r="B39" s="71" t="s">
        <v>95</v>
      </c>
      <c r="C39" s="27">
        <f>SUM(C36:C38)</f>
        <v>2011113</v>
      </c>
      <c r="D39" s="27">
        <f>SUM(D36:D38)</f>
        <v>2249345</v>
      </c>
      <c r="E39" s="27">
        <f>D39-C39</f>
        <v>238232</v>
      </c>
      <c r="F39" s="28">
        <f>IF(C39=0,0,E39/C39)</f>
        <v>0.11845778929378906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2659449</v>
      </c>
      <c r="D41" s="27">
        <f>D33+D39</f>
        <v>2415624</v>
      </c>
      <c r="E41" s="27">
        <f>D41-C41</f>
        <v>-243825</v>
      </c>
      <c r="F41" s="28">
        <f>IF(C41=0,0,E41/C41)</f>
        <v>-9.1682525214809532E-2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2659449</v>
      </c>
      <c r="D48" s="27">
        <f>D41+D46</f>
        <v>2415624</v>
      </c>
      <c r="E48" s="27">
        <f>D48-C48</f>
        <v>-243825</v>
      </c>
      <c r="F48" s="28">
        <f>IF(C48=0,0,E48/C48)</f>
        <v>-9.1682525214809532E-2</v>
      </c>
    </row>
    <row r="49" spans="1:6" ht="23.1" customHeight="1" x14ac:dyDescent="0.2">
      <c r="A49" s="44"/>
      <c r="B49" s="48" t="s">
        <v>102</v>
      </c>
      <c r="C49" s="51">
        <v>1411317</v>
      </c>
      <c r="D49" s="51">
        <v>1344063</v>
      </c>
      <c r="E49" s="51">
        <f>D49-C49</f>
        <v>-67254</v>
      </c>
      <c r="F49" s="70">
        <f>IF(C49=0,0,E49/C49)</f>
        <v>-4.7653362072447226E-2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FILING&amp;RCHARLOTTE HUNGERFORD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48839662</v>
      </c>
      <c r="D14" s="97">
        <v>49563629</v>
      </c>
      <c r="E14" s="97">
        <f t="shared" ref="E14:E25" si="0">D14-C14</f>
        <v>723967</v>
      </c>
      <c r="F14" s="98">
        <f t="shared" ref="F14:F25" si="1">IF(C14=0,0,E14/C14)</f>
        <v>1.4823341734019372E-2</v>
      </c>
    </row>
    <row r="15" spans="1:6" ht="18" customHeight="1" x14ac:dyDescent="0.25">
      <c r="A15" s="99">
        <v>2</v>
      </c>
      <c r="B15" s="100" t="s">
        <v>113</v>
      </c>
      <c r="C15" s="97">
        <v>4290161</v>
      </c>
      <c r="D15" s="97">
        <v>5294301</v>
      </c>
      <c r="E15" s="97">
        <f t="shared" si="0"/>
        <v>1004140</v>
      </c>
      <c r="F15" s="98">
        <f t="shared" si="1"/>
        <v>0.23405648412728566</v>
      </c>
    </row>
    <row r="16" spans="1:6" ht="18" customHeight="1" x14ac:dyDescent="0.25">
      <c r="A16" s="99">
        <v>3</v>
      </c>
      <c r="B16" s="100" t="s">
        <v>114</v>
      </c>
      <c r="C16" s="97">
        <v>8881747</v>
      </c>
      <c r="D16" s="97">
        <v>11223800</v>
      </c>
      <c r="E16" s="97">
        <f t="shared" si="0"/>
        <v>2342053</v>
      </c>
      <c r="F16" s="98">
        <f t="shared" si="1"/>
        <v>0.26369282980026337</v>
      </c>
    </row>
    <row r="17" spans="1:6" ht="18" customHeight="1" x14ac:dyDescent="0.25">
      <c r="A17" s="99">
        <v>4</v>
      </c>
      <c r="B17" s="100" t="s">
        <v>115</v>
      </c>
      <c r="C17" s="97">
        <v>3180279</v>
      </c>
      <c r="D17" s="97">
        <v>666923</v>
      </c>
      <c r="E17" s="97">
        <f t="shared" si="0"/>
        <v>-2513356</v>
      </c>
      <c r="F17" s="98">
        <f t="shared" si="1"/>
        <v>-0.79029418488126357</v>
      </c>
    </row>
    <row r="18" spans="1:6" ht="18" customHeight="1" x14ac:dyDescent="0.25">
      <c r="A18" s="99">
        <v>5</v>
      </c>
      <c r="B18" s="100" t="s">
        <v>116</v>
      </c>
      <c r="C18" s="97">
        <v>436042</v>
      </c>
      <c r="D18" s="97">
        <v>483092</v>
      </c>
      <c r="E18" s="97">
        <f t="shared" si="0"/>
        <v>47050</v>
      </c>
      <c r="F18" s="98">
        <f t="shared" si="1"/>
        <v>0.10790244976401356</v>
      </c>
    </row>
    <row r="19" spans="1:6" ht="18" customHeight="1" x14ac:dyDescent="0.25">
      <c r="A19" s="99">
        <v>6</v>
      </c>
      <c r="B19" s="100" t="s">
        <v>117</v>
      </c>
      <c r="C19" s="97">
        <v>3982311</v>
      </c>
      <c r="D19" s="97">
        <v>4108259</v>
      </c>
      <c r="E19" s="97">
        <f t="shared" si="0"/>
        <v>125948</v>
      </c>
      <c r="F19" s="98">
        <f t="shared" si="1"/>
        <v>3.1626861889993023E-2</v>
      </c>
    </row>
    <row r="20" spans="1:6" ht="18" customHeight="1" x14ac:dyDescent="0.25">
      <c r="A20" s="99">
        <v>7</v>
      </c>
      <c r="B20" s="100" t="s">
        <v>118</v>
      </c>
      <c r="C20" s="97">
        <v>15169975</v>
      </c>
      <c r="D20" s="97">
        <v>15794964</v>
      </c>
      <c r="E20" s="97">
        <f t="shared" si="0"/>
        <v>624989</v>
      </c>
      <c r="F20" s="98">
        <f t="shared" si="1"/>
        <v>4.1199079101976108E-2</v>
      </c>
    </row>
    <row r="21" spans="1:6" ht="18" customHeight="1" x14ac:dyDescent="0.25">
      <c r="A21" s="99">
        <v>8</v>
      </c>
      <c r="B21" s="100" t="s">
        <v>119</v>
      </c>
      <c r="C21" s="97">
        <v>1228802</v>
      </c>
      <c r="D21" s="97">
        <v>817063</v>
      </c>
      <c r="E21" s="97">
        <f t="shared" si="0"/>
        <v>-411739</v>
      </c>
      <c r="F21" s="98">
        <f t="shared" si="1"/>
        <v>-0.33507351062254132</v>
      </c>
    </row>
    <row r="22" spans="1:6" ht="18" customHeight="1" x14ac:dyDescent="0.25">
      <c r="A22" s="99">
        <v>9</v>
      </c>
      <c r="B22" s="100" t="s">
        <v>120</v>
      </c>
      <c r="C22" s="97">
        <v>925266</v>
      </c>
      <c r="D22" s="97">
        <v>1298459</v>
      </c>
      <c r="E22" s="97">
        <f t="shared" si="0"/>
        <v>373193</v>
      </c>
      <c r="F22" s="98">
        <f t="shared" si="1"/>
        <v>0.40333590556661542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89344</v>
      </c>
      <c r="D24" s="97">
        <v>71313</v>
      </c>
      <c r="E24" s="97">
        <f t="shared" si="0"/>
        <v>-18031</v>
      </c>
      <c r="F24" s="98">
        <f t="shared" si="1"/>
        <v>-0.20181545487106017</v>
      </c>
    </row>
    <row r="25" spans="1:6" ht="18" customHeight="1" x14ac:dyDescent="0.25">
      <c r="A25" s="101"/>
      <c r="B25" s="102" t="s">
        <v>123</v>
      </c>
      <c r="C25" s="103">
        <f>SUM(C14:C24)</f>
        <v>87023589</v>
      </c>
      <c r="D25" s="103">
        <f>SUM(D14:D24)</f>
        <v>89321803</v>
      </c>
      <c r="E25" s="103">
        <f t="shared" si="0"/>
        <v>2298214</v>
      </c>
      <c r="F25" s="104">
        <f t="shared" si="1"/>
        <v>2.6409092366898358E-2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36239581</v>
      </c>
      <c r="D27" s="97">
        <v>47463367</v>
      </c>
      <c r="E27" s="97">
        <f t="shared" ref="E27:E38" si="2">D27-C27</f>
        <v>11223786</v>
      </c>
      <c r="F27" s="98">
        <f t="shared" ref="F27:F38" si="3">IF(C27=0,0,E27/C27)</f>
        <v>0.30971070002161449</v>
      </c>
    </row>
    <row r="28" spans="1:6" ht="18" customHeight="1" x14ac:dyDescent="0.25">
      <c r="A28" s="99">
        <v>2</v>
      </c>
      <c r="B28" s="100" t="s">
        <v>113</v>
      </c>
      <c r="C28" s="97">
        <v>4946482</v>
      </c>
      <c r="D28" s="97">
        <v>7111067</v>
      </c>
      <c r="E28" s="97">
        <f t="shared" si="2"/>
        <v>2164585</v>
      </c>
      <c r="F28" s="98">
        <f t="shared" si="3"/>
        <v>0.4376009050472639</v>
      </c>
    </row>
    <row r="29" spans="1:6" ht="18" customHeight="1" x14ac:dyDescent="0.25">
      <c r="A29" s="99">
        <v>3</v>
      </c>
      <c r="B29" s="100" t="s">
        <v>114</v>
      </c>
      <c r="C29" s="97">
        <v>12898556</v>
      </c>
      <c r="D29" s="97">
        <v>26472475</v>
      </c>
      <c r="E29" s="97">
        <f t="shared" si="2"/>
        <v>13573919</v>
      </c>
      <c r="F29" s="98">
        <f t="shared" si="3"/>
        <v>1.0523595819563059</v>
      </c>
    </row>
    <row r="30" spans="1:6" ht="18" customHeight="1" x14ac:dyDescent="0.25">
      <c r="A30" s="99">
        <v>4</v>
      </c>
      <c r="B30" s="100" t="s">
        <v>115</v>
      </c>
      <c r="C30" s="97">
        <v>13581110</v>
      </c>
      <c r="D30" s="97">
        <v>3770770</v>
      </c>
      <c r="E30" s="97">
        <f t="shared" si="2"/>
        <v>-9810340</v>
      </c>
      <c r="F30" s="98">
        <f t="shared" si="3"/>
        <v>-0.7223518548925677</v>
      </c>
    </row>
    <row r="31" spans="1:6" ht="18" customHeight="1" x14ac:dyDescent="0.25">
      <c r="A31" s="99">
        <v>5</v>
      </c>
      <c r="B31" s="100" t="s">
        <v>116</v>
      </c>
      <c r="C31" s="97">
        <v>442575</v>
      </c>
      <c r="D31" s="97">
        <v>523735</v>
      </c>
      <c r="E31" s="97">
        <f t="shared" si="2"/>
        <v>81160</v>
      </c>
      <c r="F31" s="98">
        <f t="shared" si="3"/>
        <v>0.18338134779415918</v>
      </c>
    </row>
    <row r="32" spans="1:6" ht="18" customHeight="1" x14ac:dyDescent="0.25">
      <c r="A32" s="99">
        <v>6</v>
      </c>
      <c r="B32" s="100" t="s">
        <v>117</v>
      </c>
      <c r="C32" s="97">
        <v>8645771</v>
      </c>
      <c r="D32" s="97">
        <v>10818859</v>
      </c>
      <c r="E32" s="97">
        <f t="shared" si="2"/>
        <v>2173088</v>
      </c>
      <c r="F32" s="98">
        <f t="shared" si="3"/>
        <v>0.25134693019280757</v>
      </c>
    </row>
    <row r="33" spans="1:6" ht="18" customHeight="1" x14ac:dyDescent="0.25">
      <c r="A33" s="99">
        <v>7</v>
      </c>
      <c r="B33" s="100" t="s">
        <v>118</v>
      </c>
      <c r="C33" s="97">
        <v>39193145</v>
      </c>
      <c r="D33" s="97">
        <v>44876274</v>
      </c>
      <c r="E33" s="97">
        <f t="shared" si="2"/>
        <v>5683129</v>
      </c>
      <c r="F33" s="98">
        <f t="shared" si="3"/>
        <v>0.14500313766603828</v>
      </c>
    </row>
    <row r="34" spans="1:6" ht="18" customHeight="1" x14ac:dyDescent="0.25">
      <c r="A34" s="99">
        <v>8</v>
      </c>
      <c r="B34" s="100" t="s">
        <v>119</v>
      </c>
      <c r="C34" s="97">
        <v>1280390</v>
      </c>
      <c r="D34" s="97">
        <v>1293897</v>
      </c>
      <c r="E34" s="97">
        <f t="shared" si="2"/>
        <v>13507</v>
      </c>
      <c r="F34" s="98">
        <f t="shared" si="3"/>
        <v>1.0549129562086552E-2</v>
      </c>
    </row>
    <row r="35" spans="1:6" ht="18" customHeight="1" x14ac:dyDescent="0.25">
      <c r="A35" s="99">
        <v>9</v>
      </c>
      <c r="B35" s="100" t="s">
        <v>120</v>
      </c>
      <c r="C35" s="97">
        <v>4234743</v>
      </c>
      <c r="D35" s="97">
        <v>5212131</v>
      </c>
      <c r="E35" s="97">
        <f t="shared" si="2"/>
        <v>977388</v>
      </c>
      <c r="F35" s="98">
        <f t="shared" si="3"/>
        <v>0.23080219980291602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143655</v>
      </c>
      <c r="D37" s="97">
        <v>205041</v>
      </c>
      <c r="E37" s="97">
        <f t="shared" si="2"/>
        <v>61386</v>
      </c>
      <c r="F37" s="98">
        <f t="shared" si="3"/>
        <v>0.42731544324945181</v>
      </c>
    </row>
    <row r="38" spans="1:6" ht="18" customHeight="1" x14ac:dyDescent="0.25">
      <c r="A38" s="101"/>
      <c r="B38" s="102" t="s">
        <v>126</v>
      </c>
      <c r="C38" s="103">
        <f>SUM(C27:C37)</f>
        <v>121606008</v>
      </c>
      <c r="D38" s="103">
        <f>SUM(D27:D37)</f>
        <v>147747616</v>
      </c>
      <c r="E38" s="103">
        <f t="shared" si="2"/>
        <v>26141608</v>
      </c>
      <c r="F38" s="104">
        <f t="shared" si="3"/>
        <v>0.21496970774667645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85079243</v>
      </c>
      <c r="D41" s="103">
        <f t="shared" si="4"/>
        <v>97026996</v>
      </c>
      <c r="E41" s="107">
        <f t="shared" ref="E41:E52" si="5">D41-C41</f>
        <v>11947753</v>
      </c>
      <c r="F41" s="108">
        <f t="shared" ref="F41:F52" si="6">IF(C41=0,0,E41/C41)</f>
        <v>0.14043088042050397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9236643</v>
      </c>
      <c r="D42" s="103">
        <f t="shared" si="4"/>
        <v>12405368</v>
      </c>
      <c r="E42" s="107">
        <f t="shared" si="5"/>
        <v>3168725</v>
      </c>
      <c r="F42" s="108">
        <f t="shared" si="6"/>
        <v>0.34306024385699435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21780303</v>
      </c>
      <c r="D43" s="103">
        <f t="shared" si="4"/>
        <v>37696275</v>
      </c>
      <c r="E43" s="107">
        <f t="shared" si="5"/>
        <v>15915972</v>
      </c>
      <c r="F43" s="108">
        <f t="shared" si="6"/>
        <v>0.73075071545147929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16761389</v>
      </c>
      <c r="D44" s="103">
        <f t="shared" si="4"/>
        <v>4437693</v>
      </c>
      <c r="E44" s="107">
        <f t="shared" si="5"/>
        <v>-12323696</v>
      </c>
      <c r="F44" s="108">
        <f t="shared" si="6"/>
        <v>-0.73524312334735509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878617</v>
      </c>
      <c r="D45" s="103">
        <f t="shared" si="4"/>
        <v>1006827</v>
      </c>
      <c r="E45" s="107">
        <f t="shared" si="5"/>
        <v>128210</v>
      </c>
      <c r="F45" s="108">
        <f t="shared" si="6"/>
        <v>0.14592251231196302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12628082</v>
      </c>
      <c r="D46" s="103">
        <f t="shared" si="4"/>
        <v>14927118</v>
      </c>
      <c r="E46" s="107">
        <f t="shared" si="5"/>
        <v>2299036</v>
      </c>
      <c r="F46" s="108">
        <f t="shared" si="6"/>
        <v>0.18205741774562439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54363120</v>
      </c>
      <c r="D47" s="103">
        <f t="shared" si="4"/>
        <v>60671238</v>
      </c>
      <c r="E47" s="107">
        <f t="shared" si="5"/>
        <v>6308118</v>
      </c>
      <c r="F47" s="108">
        <f t="shared" si="6"/>
        <v>0.11603671753939067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2509192</v>
      </c>
      <c r="D48" s="103">
        <f t="shared" si="4"/>
        <v>2110960</v>
      </c>
      <c r="E48" s="107">
        <f t="shared" si="5"/>
        <v>-398232</v>
      </c>
      <c r="F48" s="108">
        <f t="shared" si="6"/>
        <v>-0.15870925780091757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5160009</v>
      </c>
      <c r="D49" s="103">
        <f t="shared" si="4"/>
        <v>6510590</v>
      </c>
      <c r="E49" s="107">
        <f t="shared" si="5"/>
        <v>1350581</v>
      </c>
      <c r="F49" s="108">
        <f t="shared" si="6"/>
        <v>0.26174004735263057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232999</v>
      </c>
      <c r="D51" s="103">
        <f t="shared" si="4"/>
        <v>276354</v>
      </c>
      <c r="E51" s="107">
        <f t="shared" si="5"/>
        <v>43355</v>
      </c>
      <c r="F51" s="108">
        <f t="shared" si="6"/>
        <v>0.18607375997321876</v>
      </c>
    </row>
    <row r="52" spans="1:6" ht="18.75" customHeight="1" thickBot="1" x14ac:dyDescent="0.3">
      <c r="A52" s="109"/>
      <c r="B52" s="110" t="s">
        <v>128</v>
      </c>
      <c r="C52" s="111">
        <f>SUM(C41:C51)</f>
        <v>208629597</v>
      </c>
      <c r="D52" s="112">
        <f>SUM(D41:D51)</f>
        <v>237069419</v>
      </c>
      <c r="E52" s="111">
        <f t="shared" si="5"/>
        <v>28439822</v>
      </c>
      <c r="F52" s="113">
        <f t="shared" si="6"/>
        <v>0.1363172934662765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31119247</v>
      </c>
      <c r="D57" s="97">
        <v>29385497</v>
      </c>
      <c r="E57" s="97">
        <f t="shared" ref="E57:E68" si="7">D57-C57</f>
        <v>-1733750</v>
      </c>
      <c r="F57" s="98">
        <f t="shared" ref="F57:F68" si="8">IF(C57=0,0,E57/C57)</f>
        <v>-5.5713108996499817E-2</v>
      </c>
    </row>
    <row r="58" spans="1:6" ht="18" customHeight="1" x14ac:dyDescent="0.25">
      <c r="A58" s="99">
        <v>2</v>
      </c>
      <c r="B58" s="100" t="s">
        <v>113</v>
      </c>
      <c r="C58" s="97">
        <v>2569846</v>
      </c>
      <c r="D58" s="97">
        <v>2930803</v>
      </c>
      <c r="E58" s="97">
        <f t="shared" si="7"/>
        <v>360957</v>
      </c>
      <c r="F58" s="98">
        <f t="shared" si="8"/>
        <v>0.14045861113856628</v>
      </c>
    </row>
    <row r="59" spans="1:6" ht="18" customHeight="1" x14ac:dyDescent="0.25">
      <c r="A59" s="99">
        <v>3</v>
      </c>
      <c r="B59" s="100" t="s">
        <v>114</v>
      </c>
      <c r="C59" s="97">
        <v>4108851</v>
      </c>
      <c r="D59" s="97">
        <v>4710422</v>
      </c>
      <c r="E59" s="97">
        <f t="shared" si="7"/>
        <v>601571</v>
      </c>
      <c r="F59" s="98">
        <f t="shared" si="8"/>
        <v>0.1464085701817856</v>
      </c>
    </row>
    <row r="60" spans="1:6" ht="18" customHeight="1" x14ac:dyDescent="0.25">
      <c r="A60" s="99">
        <v>4</v>
      </c>
      <c r="B60" s="100" t="s">
        <v>115</v>
      </c>
      <c r="C60" s="97">
        <v>1441841</v>
      </c>
      <c r="D60" s="97">
        <v>416744</v>
      </c>
      <c r="E60" s="97">
        <f t="shared" si="7"/>
        <v>-1025097</v>
      </c>
      <c r="F60" s="98">
        <f t="shared" si="8"/>
        <v>-0.71096396898132319</v>
      </c>
    </row>
    <row r="61" spans="1:6" ht="18" customHeight="1" x14ac:dyDescent="0.25">
      <c r="A61" s="99">
        <v>5</v>
      </c>
      <c r="B61" s="100" t="s">
        <v>116</v>
      </c>
      <c r="C61" s="97">
        <v>257522</v>
      </c>
      <c r="D61" s="97">
        <v>282459</v>
      </c>
      <c r="E61" s="97">
        <f t="shared" si="7"/>
        <v>24937</v>
      </c>
      <c r="F61" s="98">
        <f t="shared" si="8"/>
        <v>9.683444521244787E-2</v>
      </c>
    </row>
    <row r="62" spans="1:6" ht="18" customHeight="1" x14ac:dyDescent="0.25">
      <c r="A62" s="99">
        <v>6</v>
      </c>
      <c r="B62" s="100" t="s">
        <v>117</v>
      </c>
      <c r="C62" s="97">
        <v>2623571</v>
      </c>
      <c r="D62" s="97">
        <v>2460964</v>
      </c>
      <c r="E62" s="97">
        <f t="shared" si="7"/>
        <v>-162607</v>
      </c>
      <c r="F62" s="98">
        <f t="shared" si="8"/>
        <v>-6.1979264140364414E-2</v>
      </c>
    </row>
    <row r="63" spans="1:6" ht="18" customHeight="1" x14ac:dyDescent="0.25">
      <c r="A63" s="99">
        <v>7</v>
      </c>
      <c r="B63" s="100" t="s">
        <v>118</v>
      </c>
      <c r="C63" s="97">
        <v>11158767</v>
      </c>
      <c r="D63" s="97">
        <v>11198947</v>
      </c>
      <c r="E63" s="97">
        <f t="shared" si="7"/>
        <v>40180</v>
      </c>
      <c r="F63" s="98">
        <f t="shared" si="8"/>
        <v>3.6007562484278058E-3</v>
      </c>
    </row>
    <row r="64" spans="1:6" ht="18" customHeight="1" x14ac:dyDescent="0.25">
      <c r="A64" s="99">
        <v>8</v>
      </c>
      <c r="B64" s="100" t="s">
        <v>119</v>
      </c>
      <c r="C64" s="97">
        <v>914836</v>
      </c>
      <c r="D64" s="97">
        <v>605554</v>
      </c>
      <c r="E64" s="97">
        <f t="shared" si="7"/>
        <v>-309282</v>
      </c>
      <c r="F64" s="98">
        <f t="shared" si="8"/>
        <v>-0.33807370938616321</v>
      </c>
    </row>
    <row r="65" spans="1:6" ht="18" customHeight="1" x14ac:dyDescent="0.25">
      <c r="A65" s="99">
        <v>9</v>
      </c>
      <c r="B65" s="100" t="s">
        <v>120</v>
      </c>
      <c r="C65" s="97">
        <v>263226</v>
      </c>
      <c r="D65" s="97">
        <v>330637</v>
      </c>
      <c r="E65" s="97">
        <f t="shared" si="7"/>
        <v>67411</v>
      </c>
      <c r="F65" s="98">
        <f t="shared" si="8"/>
        <v>0.25609552247878248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33957</v>
      </c>
      <c r="D67" s="97">
        <v>30421</v>
      </c>
      <c r="E67" s="97">
        <f t="shared" si="7"/>
        <v>-3536</v>
      </c>
      <c r="F67" s="98">
        <f t="shared" si="8"/>
        <v>-0.10413169596843067</v>
      </c>
    </row>
    <row r="68" spans="1:6" ht="18" customHeight="1" x14ac:dyDescent="0.25">
      <c r="A68" s="101"/>
      <c r="B68" s="102" t="s">
        <v>131</v>
      </c>
      <c r="C68" s="103">
        <f>SUM(C57:C67)</f>
        <v>54491664</v>
      </c>
      <c r="D68" s="103">
        <f>SUM(D57:D67)</f>
        <v>52352448</v>
      </c>
      <c r="E68" s="103">
        <f t="shared" si="7"/>
        <v>-2139216</v>
      </c>
      <c r="F68" s="104">
        <f t="shared" si="8"/>
        <v>-3.9257674348135159E-2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15254901</v>
      </c>
      <c r="D70" s="97">
        <v>18547928</v>
      </c>
      <c r="E70" s="97">
        <f t="shared" ref="E70:E81" si="9">D70-C70</f>
        <v>3293027</v>
      </c>
      <c r="F70" s="98">
        <f t="shared" ref="F70:F81" si="10">IF(C70=0,0,E70/C70)</f>
        <v>0.21586682207901578</v>
      </c>
    </row>
    <row r="71" spans="1:6" ht="18" customHeight="1" x14ac:dyDescent="0.25">
      <c r="A71" s="99">
        <v>2</v>
      </c>
      <c r="B71" s="100" t="s">
        <v>113</v>
      </c>
      <c r="C71" s="97">
        <v>1798119</v>
      </c>
      <c r="D71" s="97">
        <v>2498610</v>
      </c>
      <c r="E71" s="97">
        <f t="shared" si="9"/>
        <v>700491</v>
      </c>
      <c r="F71" s="98">
        <f t="shared" si="10"/>
        <v>0.38956876602716506</v>
      </c>
    </row>
    <row r="72" spans="1:6" ht="18" customHeight="1" x14ac:dyDescent="0.25">
      <c r="A72" s="99">
        <v>3</v>
      </c>
      <c r="B72" s="100" t="s">
        <v>114</v>
      </c>
      <c r="C72" s="97">
        <v>4062060</v>
      </c>
      <c r="D72" s="97">
        <v>7758161</v>
      </c>
      <c r="E72" s="97">
        <f t="shared" si="9"/>
        <v>3696101</v>
      </c>
      <c r="F72" s="98">
        <f t="shared" si="10"/>
        <v>0.90990802696168938</v>
      </c>
    </row>
    <row r="73" spans="1:6" ht="18" customHeight="1" x14ac:dyDescent="0.25">
      <c r="A73" s="99">
        <v>4</v>
      </c>
      <c r="B73" s="100" t="s">
        <v>115</v>
      </c>
      <c r="C73" s="97">
        <v>5239897</v>
      </c>
      <c r="D73" s="97">
        <v>1992902</v>
      </c>
      <c r="E73" s="97">
        <f t="shared" si="9"/>
        <v>-3246995</v>
      </c>
      <c r="F73" s="98">
        <f t="shared" si="10"/>
        <v>-0.61966771484248639</v>
      </c>
    </row>
    <row r="74" spans="1:6" ht="18" customHeight="1" x14ac:dyDescent="0.25">
      <c r="A74" s="99">
        <v>5</v>
      </c>
      <c r="B74" s="100" t="s">
        <v>116</v>
      </c>
      <c r="C74" s="97">
        <v>201704</v>
      </c>
      <c r="D74" s="97">
        <v>189582</v>
      </c>
      <c r="E74" s="97">
        <f t="shared" si="9"/>
        <v>-12122</v>
      </c>
      <c r="F74" s="98">
        <f t="shared" si="10"/>
        <v>-6.0097965335342882E-2</v>
      </c>
    </row>
    <row r="75" spans="1:6" ht="18" customHeight="1" x14ac:dyDescent="0.25">
      <c r="A75" s="99">
        <v>6</v>
      </c>
      <c r="B75" s="100" t="s">
        <v>117</v>
      </c>
      <c r="C75" s="97">
        <v>4647900</v>
      </c>
      <c r="D75" s="97">
        <v>5418974</v>
      </c>
      <c r="E75" s="97">
        <f t="shared" si="9"/>
        <v>771074</v>
      </c>
      <c r="F75" s="98">
        <f t="shared" si="10"/>
        <v>0.16589728694679318</v>
      </c>
    </row>
    <row r="76" spans="1:6" ht="18" customHeight="1" x14ac:dyDescent="0.25">
      <c r="A76" s="99">
        <v>7</v>
      </c>
      <c r="B76" s="100" t="s">
        <v>118</v>
      </c>
      <c r="C76" s="97">
        <v>19377606</v>
      </c>
      <c r="D76" s="97">
        <v>21800642</v>
      </c>
      <c r="E76" s="97">
        <f t="shared" si="9"/>
        <v>2423036</v>
      </c>
      <c r="F76" s="98">
        <f t="shared" si="10"/>
        <v>0.12504310387980846</v>
      </c>
    </row>
    <row r="77" spans="1:6" ht="18" customHeight="1" x14ac:dyDescent="0.25">
      <c r="A77" s="99">
        <v>8</v>
      </c>
      <c r="B77" s="100" t="s">
        <v>119</v>
      </c>
      <c r="C77" s="97">
        <v>963221</v>
      </c>
      <c r="D77" s="97">
        <v>1059323</v>
      </c>
      <c r="E77" s="97">
        <f t="shared" si="9"/>
        <v>96102</v>
      </c>
      <c r="F77" s="98">
        <f t="shared" si="10"/>
        <v>9.9771495845709338E-2</v>
      </c>
    </row>
    <row r="78" spans="1:6" ht="18" customHeight="1" x14ac:dyDescent="0.25">
      <c r="A78" s="99">
        <v>9</v>
      </c>
      <c r="B78" s="100" t="s">
        <v>120</v>
      </c>
      <c r="C78" s="97">
        <v>1204728</v>
      </c>
      <c r="D78" s="97">
        <v>1327208</v>
      </c>
      <c r="E78" s="97">
        <f t="shared" si="9"/>
        <v>122480</v>
      </c>
      <c r="F78" s="98">
        <f t="shared" si="10"/>
        <v>0.10166610222390449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33912</v>
      </c>
      <c r="D80" s="97">
        <v>37780</v>
      </c>
      <c r="E80" s="97">
        <f t="shared" si="9"/>
        <v>3868</v>
      </c>
      <c r="F80" s="98">
        <f t="shared" si="10"/>
        <v>0.11405991979240387</v>
      </c>
    </row>
    <row r="81" spans="1:6" ht="18" customHeight="1" x14ac:dyDescent="0.25">
      <c r="A81" s="101"/>
      <c r="B81" s="102" t="s">
        <v>133</v>
      </c>
      <c r="C81" s="103">
        <f>SUM(C70:C80)</f>
        <v>52784048</v>
      </c>
      <c r="D81" s="103">
        <f>SUM(D70:D80)</f>
        <v>60631110</v>
      </c>
      <c r="E81" s="103">
        <f t="shared" si="9"/>
        <v>7847062</v>
      </c>
      <c r="F81" s="104">
        <f t="shared" si="10"/>
        <v>0.14866351288555968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46374148</v>
      </c>
      <c r="D84" s="103">
        <f t="shared" si="11"/>
        <v>47933425</v>
      </c>
      <c r="E84" s="103">
        <f t="shared" ref="E84:E95" si="12">D84-C84</f>
        <v>1559277</v>
      </c>
      <c r="F84" s="104">
        <f t="shared" ref="F84:F95" si="13">IF(C84=0,0,E84/C84)</f>
        <v>3.3623841455804215E-2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4367965</v>
      </c>
      <c r="D85" s="103">
        <f t="shared" si="11"/>
        <v>5429413</v>
      </c>
      <c r="E85" s="103">
        <f t="shared" si="12"/>
        <v>1061448</v>
      </c>
      <c r="F85" s="104">
        <f t="shared" si="13"/>
        <v>0.24300744168050797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8170911</v>
      </c>
      <c r="D86" s="103">
        <f t="shared" si="11"/>
        <v>12468583</v>
      </c>
      <c r="E86" s="103">
        <f t="shared" si="12"/>
        <v>4297672</v>
      </c>
      <c r="F86" s="104">
        <f t="shared" si="13"/>
        <v>0.5259721957563851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6681738</v>
      </c>
      <c r="D87" s="103">
        <f t="shared" si="11"/>
        <v>2409646</v>
      </c>
      <c r="E87" s="103">
        <f t="shared" si="12"/>
        <v>-4272092</v>
      </c>
      <c r="F87" s="104">
        <f t="shared" si="13"/>
        <v>-0.639368379903552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459226</v>
      </c>
      <c r="D88" s="103">
        <f t="shared" si="11"/>
        <v>472041</v>
      </c>
      <c r="E88" s="103">
        <f t="shared" si="12"/>
        <v>12815</v>
      </c>
      <c r="F88" s="104">
        <f t="shared" si="13"/>
        <v>2.7905649941423177E-2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7271471</v>
      </c>
      <c r="D89" s="103">
        <f t="shared" si="11"/>
        <v>7879938</v>
      </c>
      <c r="E89" s="103">
        <f t="shared" si="12"/>
        <v>608467</v>
      </c>
      <c r="F89" s="104">
        <f t="shared" si="13"/>
        <v>8.3678666943731189E-2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30536373</v>
      </c>
      <c r="D90" s="103">
        <f t="shared" si="11"/>
        <v>32999589</v>
      </c>
      <c r="E90" s="103">
        <f t="shared" si="12"/>
        <v>2463216</v>
      </c>
      <c r="F90" s="104">
        <f t="shared" si="13"/>
        <v>8.0664982707671279E-2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1878057</v>
      </c>
      <c r="D91" s="103">
        <f t="shared" si="11"/>
        <v>1664877</v>
      </c>
      <c r="E91" s="103">
        <f t="shared" si="12"/>
        <v>-213180</v>
      </c>
      <c r="F91" s="104">
        <f t="shared" si="13"/>
        <v>-0.11351093177683105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1467954</v>
      </c>
      <c r="D92" s="103">
        <f t="shared" si="11"/>
        <v>1657845</v>
      </c>
      <c r="E92" s="103">
        <f t="shared" si="12"/>
        <v>189891</v>
      </c>
      <c r="F92" s="104">
        <f t="shared" si="13"/>
        <v>0.12935759567397889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67869</v>
      </c>
      <c r="D94" s="103">
        <f t="shared" si="11"/>
        <v>68201</v>
      </c>
      <c r="E94" s="103">
        <f t="shared" si="12"/>
        <v>332</v>
      </c>
      <c r="F94" s="104">
        <f t="shared" si="13"/>
        <v>4.8917768053161241E-3</v>
      </c>
    </row>
    <row r="95" spans="1:6" ht="18.75" customHeight="1" thickBot="1" x14ac:dyDescent="0.3">
      <c r="A95" s="115"/>
      <c r="B95" s="116" t="s">
        <v>134</v>
      </c>
      <c r="C95" s="112">
        <f>SUM(C84:C94)</f>
        <v>107275712</v>
      </c>
      <c r="D95" s="112">
        <f>SUM(D84:D94)</f>
        <v>112983558</v>
      </c>
      <c r="E95" s="112">
        <f t="shared" si="12"/>
        <v>5707846</v>
      </c>
      <c r="F95" s="113">
        <f t="shared" si="13"/>
        <v>5.3207253474113508E-2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3235</v>
      </c>
      <c r="D100" s="117">
        <v>3163</v>
      </c>
      <c r="E100" s="117">
        <f t="shared" ref="E100:E111" si="14">D100-C100</f>
        <v>-72</v>
      </c>
      <c r="F100" s="98">
        <f t="shared" ref="F100:F111" si="15">IF(C100=0,0,E100/C100)</f>
        <v>-2.2256568778979906E-2</v>
      </c>
    </row>
    <row r="101" spans="1:6" ht="18" customHeight="1" x14ac:dyDescent="0.25">
      <c r="A101" s="99">
        <v>2</v>
      </c>
      <c r="B101" s="100" t="s">
        <v>113</v>
      </c>
      <c r="C101" s="117">
        <v>297</v>
      </c>
      <c r="D101" s="117">
        <v>319</v>
      </c>
      <c r="E101" s="117">
        <f t="shared" si="14"/>
        <v>22</v>
      </c>
      <c r="F101" s="98">
        <f t="shared" si="15"/>
        <v>7.407407407407407E-2</v>
      </c>
    </row>
    <row r="102" spans="1:6" ht="18" customHeight="1" x14ac:dyDescent="0.25">
      <c r="A102" s="99">
        <v>3</v>
      </c>
      <c r="B102" s="100" t="s">
        <v>114</v>
      </c>
      <c r="C102" s="117">
        <v>726</v>
      </c>
      <c r="D102" s="117">
        <v>1020</v>
      </c>
      <c r="E102" s="117">
        <f t="shared" si="14"/>
        <v>294</v>
      </c>
      <c r="F102" s="98">
        <f t="shared" si="15"/>
        <v>0.4049586776859504</v>
      </c>
    </row>
    <row r="103" spans="1:6" ht="18" customHeight="1" x14ac:dyDescent="0.25">
      <c r="A103" s="99">
        <v>4</v>
      </c>
      <c r="B103" s="100" t="s">
        <v>115</v>
      </c>
      <c r="C103" s="117">
        <v>466</v>
      </c>
      <c r="D103" s="117">
        <v>83</v>
      </c>
      <c r="E103" s="117">
        <f t="shared" si="14"/>
        <v>-383</v>
      </c>
      <c r="F103" s="98">
        <f t="shared" si="15"/>
        <v>-0.82188841201716734</v>
      </c>
    </row>
    <row r="104" spans="1:6" ht="18" customHeight="1" x14ac:dyDescent="0.25">
      <c r="A104" s="99">
        <v>5</v>
      </c>
      <c r="B104" s="100" t="s">
        <v>116</v>
      </c>
      <c r="C104" s="117">
        <v>33</v>
      </c>
      <c r="D104" s="117">
        <v>31</v>
      </c>
      <c r="E104" s="117">
        <f t="shared" si="14"/>
        <v>-2</v>
      </c>
      <c r="F104" s="98">
        <f t="shared" si="15"/>
        <v>-6.0606060606060608E-2</v>
      </c>
    </row>
    <row r="105" spans="1:6" ht="18" customHeight="1" x14ac:dyDescent="0.25">
      <c r="A105" s="99">
        <v>6</v>
      </c>
      <c r="B105" s="100" t="s">
        <v>117</v>
      </c>
      <c r="C105" s="117">
        <v>330</v>
      </c>
      <c r="D105" s="117">
        <v>337</v>
      </c>
      <c r="E105" s="117">
        <f t="shared" si="14"/>
        <v>7</v>
      </c>
      <c r="F105" s="98">
        <f t="shared" si="15"/>
        <v>2.1212121212121213E-2</v>
      </c>
    </row>
    <row r="106" spans="1:6" ht="18" customHeight="1" x14ac:dyDescent="0.25">
      <c r="A106" s="99">
        <v>7</v>
      </c>
      <c r="B106" s="100" t="s">
        <v>118</v>
      </c>
      <c r="C106" s="117">
        <v>1283</v>
      </c>
      <c r="D106" s="117">
        <v>1240</v>
      </c>
      <c r="E106" s="117">
        <f t="shared" si="14"/>
        <v>-43</v>
      </c>
      <c r="F106" s="98">
        <f t="shared" si="15"/>
        <v>-3.3515198752922838E-2</v>
      </c>
    </row>
    <row r="107" spans="1:6" ht="18" customHeight="1" x14ac:dyDescent="0.25">
      <c r="A107" s="99">
        <v>8</v>
      </c>
      <c r="B107" s="100" t="s">
        <v>119</v>
      </c>
      <c r="C107" s="117">
        <v>44</v>
      </c>
      <c r="D107" s="117">
        <v>29</v>
      </c>
      <c r="E107" s="117">
        <f t="shared" si="14"/>
        <v>-15</v>
      </c>
      <c r="F107" s="98">
        <f t="shared" si="15"/>
        <v>-0.34090909090909088</v>
      </c>
    </row>
    <row r="108" spans="1:6" ht="18" customHeight="1" x14ac:dyDescent="0.25">
      <c r="A108" s="99">
        <v>9</v>
      </c>
      <c r="B108" s="100" t="s">
        <v>120</v>
      </c>
      <c r="C108" s="117">
        <v>90</v>
      </c>
      <c r="D108" s="117">
        <v>114</v>
      </c>
      <c r="E108" s="117">
        <f t="shared" si="14"/>
        <v>24</v>
      </c>
      <c r="F108" s="98">
        <f t="shared" si="15"/>
        <v>0.26666666666666666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8</v>
      </c>
      <c r="D110" s="117">
        <v>2</v>
      </c>
      <c r="E110" s="117">
        <f t="shared" si="14"/>
        <v>-6</v>
      </c>
      <c r="F110" s="98">
        <f t="shared" si="15"/>
        <v>-0.75</v>
      </c>
    </row>
    <row r="111" spans="1:6" ht="18" customHeight="1" x14ac:dyDescent="0.25">
      <c r="A111" s="101"/>
      <c r="B111" s="102" t="s">
        <v>138</v>
      </c>
      <c r="C111" s="118">
        <f>SUM(C100:C110)</f>
        <v>6512</v>
      </c>
      <c r="D111" s="118">
        <f>SUM(D100:D110)</f>
        <v>6338</v>
      </c>
      <c r="E111" s="118">
        <f t="shared" si="14"/>
        <v>-174</v>
      </c>
      <c r="F111" s="104">
        <f t="shared" si="15"/>
        <v>-2.6719901719901719E-2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15477</v>
      </c>
      <c r="D113" s="117">
        <v>14049</v>
      </c>
      <c r="E113" s="117">
        <f t="shared" ref="E113:E124" si="16">D113-C113</f>
        <v>-1428</v>
      </c>
      <c r="F113" s="98">
        <f t="shared" ref="F113:F124" si="17">IF(C113=0,0,E113/C113)</f>
        <v>-9.2265943012211665E-2</v>
      </c>
    </row>
    <row r="114" spans="1:6" ht="18" customHeight="1" x14ac:dyDescent="0.25">
      <c r="A114" s="99">
        <v>2</v>
      </c>
      <c r="B114" s="100" t="s">
        <v>113</v>
      </c>
      <c r="C114" s="117">
        <v>1243</v>
      </c>
      <c r="D114" s="117">
        <v>1344</v>
      </c>
      <c r="E114" s="117">
        <f t="shared" si="16"/>
        <v>101</v>
      </c>
      <c r="F114" s="98">
        <f t="shared" si="17"/>
        <v>8.1255028157683026E-2</v>
      </c>
    </row>
    <row r="115" spans="1:6" ht="18" customHeight="1" x14ac:dyDescent="0.25">
      <c r="A115" s="99">
        <v>3</v>
      </c>
      <c r="B115" s="100" t="s">
        <v>114</v>
      </c>
      <c r="C115" s="117">
        <v>3554</v>
      </c>
      <c r="D115" s="117">
        <v>3937</v>
      </c>
      <c r="E115" s="117">
        <f t="shared" si="16"/>
        <v>383</v>
      </c>
      <c r="F115" s="98">
        <f t="shared" si="17"/>
        <v>0.10776589758019134</v>
      </c>
    </row>
    <row r="116" spans="1:6" ht="18" customHeight="1" x14ac:dyDescent="0.25">
      <c r="A116" s="99">
        <v>4</v>
      </c>
      <c r="B116" s="100" t="s">
        <v>115</v>
      </c>
      <c r="C116" s="117">
        <v>1179</v>
      </c>
      <c r="D116" s="117">
        <v>235</v>
      </c>
      <c r="E116" s="117">
        <f t="shared" si="16"/>
        <v>-944</v>
      </c>
      <c r="F116" s="98">
        <f t="shared" si="17"/>
        <v>-0.80067854113655645</v>
      </c>
    </row>
    <row r="117" spans="1:6" ht="18" customHeight="1" x14ac:dyDescent="0.25">
      <c r="A117" s="99">
        <v>5</v>
      </c>
      <c r="B117" s="100" t="s">
        <v>116</v>
      </c>
      <c r="C117" s="117">
        <v>112</v>
      </c>
      <c r="D117" s="117">
        <v>120</v>
      </c>
      <c r="E117" s="117">
        <f t="shared" si="16"/>
        <v>8</v>
      </c>
      <c r="F117" s="98">
        <f t="shared" si="17"/>
        <v>7.1428571428571425E-2</v>
      </c>
    </row>
    <row r="118" spans="1:6" ht="18" customHeight="1" x14ac:dyDescent="0.25">
      <c r="A118" s="99">
        <v>6</v>
      </c>
      <c r="B118" s="100" t="s">
        <v>117</v>
      </c>
      <c r="C118" s="117">
        <v>1208</v>
      </c>
      <c r="D118" s="117">
        <v>1135</v>
      </c>
      <c r="E118" s="117">
        <f t="shared" si="16"/>
        <v>-73</v>
      </c>
      <c r="F118" s="98">
        <f t="shared" si="17"/>
        <v>-6.0430463576158944E-2</v>
      </c>
    </row>
    <row r="119" spans="1:6" ht="18" customHeight="1" x14ac:dyDescent="0.25">
      <c r="A119" s="99">
        <v>7</v>
      </c>
      <c r="B119" s="100" t="s">
        <v>118</v>
      </c>
      <c r="C119" s="117">
        <v>4148</v>
      </c>
      <c r="D119" s="117">
        <v>3943</v>
      </c>
      <c r="E119" s="117">
        <f t="shared" si="16"/>
        <v>-205</v>
      </c>
      <c r="F119" s="98">
        <f t="shared" si="17"/>
        <v>-4.9421407907425267E-2</v>
      </c>
    </row>
    <row r="120" spans="1:6" ht="18" customHeight="1" x14ac:dyDescent="0.25">
      <c r="A120" s="99">
        <v>8</v>
      </c>
      <c r="B120" s="100" t="s">
        <v>119</v>
      </c>
      <c r="C120" s="117">
        <v>128</v>
      </c>
      <c r="D120" s="117">
        <v>63</v>
      </c>
      <c r="E120" s="117">
        <f t="shared" si="16"/>
        <v>-65</v>
      </c>
      <c r="F120" s="98">
        <f t="shared" si="17"/>
        <v>-0.5078125</v>
      </c>
    </row>
    <row r="121" spans="1:6" ht="18" customHeight="1" x14ac:dyDescent="0.25">
      <c r="A121" s="99">
        <v>9</v>
      </c>
      <c r="B121" s="100" t="s">
        <v>120</v>
      </c>
      <c r="C121" s="117">
        <v>352</v>
      </c>
      <c r="D121" s="117">
        <v>392</v>
      </c>
      <c r="E121" s="117">
        <f t="shared" si="16"/>
        <v>40</v>
      </c>
      <c r="F121" s="98">
        <f t="shared" si="17"/>
        <v>0.11363636363636363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24</v>
      </c>
      <c r="D123" s="117">
        <v>31</v>
      </c>
      <c r="E123" s="117">
        <f t="shared" si="16"/>
        <v>7</v>
      </c>
      <c r="F123" s="98">
        <f t="shared" si="17"/>
        <v>0.29166666666666669</v>
      </c>
    </row>
    <row r="124" spans="1:6" ht="18" customHeight="1" x14ac:dyDescent="0.25">
      <c r="A124" s="101"/>
      <c r="B124" s="102" t="s">
        <v>140</v>
      </c>
      <c r="C124" s="118">
        <f>SUM(C113:C123)</f>
        <v>27425</v>
      </c>
      <c r="D124" s="118">
        <f>SUM(D113:D123)</f>
        <v>25249</v>
      </c>
      <c r="E124" s="118">
        <f t="shared" si="16"/>
        <v>-2176</v>
      </c>
      <c r="F124" s="104">
        <f t="shared" si="17"/>
        <v>-7.9343664539653594E-2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65393</v>
      </c>
      <c r="D126" s="117">
        <v>75495</v>
      </c>
      <c r="E126" s="117">
        <f t="shared" ref="E126:E137" si="18">D126-C126</f>
        <v>10102</v>
      </c>
      <c r="F126" s="98">
        <f t="shared" ref="F126:F137" si="19">IF(C126=0,0,E126/C126)</f>
        <v>0.15448136650711849</v>
      </c>
    </row>
    <row r="127" spans="1:6" ht="18" customHeight="1" x14ac:dyDescent="0.25">
      <c r="A127" s="99">
        <v>2</v>
      </c>
      <c r="B127" s="100" t="s">
        <v>113</v>
      </c>
      <c r="C127" s="117">
        <v>8537</v>
      </c>
      <c r="D127" s="117">
        <v>11354</v>
      </c>
      <c r="E127" s="117">
        <f t="shared" si="18"/>
        <v>2817</v>
      </c>
      <c r="F127" s="98">
        <f t="shared" si="19"/>
        <v>0.32997540119479912</v>
      </c>
    </row>
    <row r="128" spans="1:6" ht="18" customHeight="1" x14ac:dyDescent="0.25">
      <c r="A128" s="99">
        <v>3</v>
      </c>
      <c r="B128" s="100" t="s">
        <v>114</v>
      </c>
      <c r="C128" s="117">
        <v>16589</v>
      </c>
      <c r="D128" s="117">
        <v>35076</v>
      </c>
      <c r="E128" s="117">
        <f t="shared" si="18"/>
        <v>18487</v>
      </c>
      <c r="F128" s="98">
        <f t="shared" si="19"/>
        <v>1.1144131653505336</v>
      </c>
    </row>
    <row r="129" spans="1:6" ht="18" customHeight="1" x14ac:dyDescent="0.25">
      <c r="A129" s="99">
        <v>4</v>
      </c>
      <c r="B129" s="100" t="s">
        <v>115</v>
      </c>
      <c r="C129" s="117">
        <v>23097</v>
      </c>
      <c r="D129" s="117">
        <v>5649</v>
      </c>
      <c r="E129" s="117">
        <f t="shared" si="18"/>
        <v>-17448</v>
      </c>
      <c r="F129" s="98">
        <f t="shared" si="19"/>
        <v>-0.75542278217950387</v>
      </c>
    </row>
    <row r="130" spans="1:6" ht="18" customHeight="1" x14ac:dyDescent="0.25">
      <c r="A130" s="99">
        <v>5</v>
      </c>
      <c r="B130" s="100" t="s">
        <v>116</v>
      </c>
      <c r="C130" s="117">
        <v>698</v>
      </c>
      <c r="D130" s="117">
        <v>707</v>
      </c>
      <c r="E130" s="117">
        <f t="shared" si="18"/>
        <v>9</v>
      </c>
      <c r="F130" s="98">
        <f t="shared" si="19"/>
        <v>1.2893982808022923E-2</v>
      </c>
    </row>
    <row r="131" spans="1:6" ht="18" customHeight="1" x14ac:dyDescent="0.25">
      <c r="A131" s="99">
        <v>6</v>
      </c>
      <c r="B131" s="100" t="s">
        <v>117</v>
      </c>
      <c r="C131" s="117">
        <v>15251</v>
      </c>
      <c r="D131" s="117">
        <v>17982</v>
      </c>
      <c r="E131" s="117">
        <f t="shared" si="18"/>
        <v>2731</v>
      </c>
      <c r="F131" s="98">
        <f t="shared" si="19"/>
        <v>0.17907022490328503</v>
      </c>
    </row>
    <row r="132" spans="1:6" ht="18" customHeight="1" x14ac:dyDescent="0.25">
      <c r="A132" s="99">
        <v>7</v>
      </c>
      <c r="B132" s="100" t="s">
        <v>118</v>
      </c>
      <c r="C132" s="117">
        <v>70033</v>
      </c>
      <c r="D132" s="117">
        <v>71553</v>
      </c>
      <c r="E132" s="117">
        <f t="shared" si="18"/>
        <v>1520</v>
      </c>
      <c r="F132" s="98">
        <f t="shared" si="19"/>
        <v>2.1704053803207061E-2</v>
      </c>
    </row>
    <row r="133" spans="1:6" ht="18" customHeight="1" x14ac:dyDescent="0.25">
      <c r="A133" s="99">
        <v>8</v>
      </c>
      <c r="B133" s="100" t="s">
        <v>119</v>
      </c>
      <c r="C133" s="117">
        <v>1749</v>
      </c>
      <c r="D133" s="117">
        <v>1462</v>
      </c>
      <c r="E133" s="117">
        <f t="shared" si="18"/>
        <v>-287</v>
      </c>
      <c r="F133" s="98">
        <f t="shared" si="19"/>
        <v>-0.16409376786735277</v>
      </c>
    </row>
    <row r="134" spans="1:6" ht="18" customHeight="1" x14ac:dyDescent="0.25">
      <c r="A134" s="99">
        <v>9</v>
      </c>
      <c r="B134" s="100" t="s">
        <v>120</v>
      </c>
      <c r="C134" s="117">
        <v>10233</v>
      </c>
      <c r="D134" s="117">
        <v>10861</v>
      </c>
      <c r="E134" s="117">
        <f t="shared" si="18"/>
        <v>628</v>
      </c>
      <c r="F134" s="98">
        <f t="shared" si="19"/>
        <v>6.1370077201211765E-2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189</v>
      </c>
      <c r="D136" s="117">
        <v>231</v>
      </c>
      <c r="E136" s="117">
        <f t="shared" si="18"/>
        <v>42</v>
      </c>
      <c r="F136" s="98">
        <f t="shared" si="19"/>
        <v>0.22222222222222221</v>
      </c>
    </row>
    <row r="137" spans="1:6" ht="18" customHeight="1" x14ac:dyDescent="0.25">
      <c r="A137" s="101"/>
      <c r="B137" s="102" t="s">
        <v>143</v>
      </c>
      <c r="C137" s="118">
        <f>SUM(C126:C136)</f>
        <v>211769</v>
      </c>
      <c r="D137" s="118">
        <f>SUM(D126:D136)</f>
        <v>230370</v>
      </c>
      <c r="E137" s="118">
        <f t="shared" si="18"/>
        <v>18601</v>
      </c>
      <c r="F137" s="104">
        <f t="shared" si="19"/>
        <v>8.7836274431101813E-2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8332014</v>
      </c>
      <c r="D142" s="97">
        <v>9265065</v>
      </c>
      <c r="E142" s="97">
        <f t="shared" ref="E142:E153" si="20">D142-C142</f>
        <v>933051</v>
      </c>
      <c r="F142" s="98">
        <f t="shared" ref="F142:F153" si="21">IF(C142=0,0,E142/C142)</f>
        <v>0.11198384928301849</v>
      </c>
    </row>
    <row r="143" spans="1:6" ht="18" customHeight="1" x14ac:dyDescent="0.25">
      <c r="A143" s="99">
        <v>2</v>
      </c>
      <c r="B143" s="100" t="s">
        <v>113</v>
      </c>
      <c r="C143" s="97">
        <v>774972</v>
      </c>
      <c r="D143" s="97">
        <v>1096262</v>
      </c>
      <c r="E143" s="97">
        <f t="shared" si="20"/>
        <v>321290</v>
      </c>
      <c r="F143" s="98">
        <f t="shared" si="21"/>
        <v>0.41458272040796312</v>
      </c>
    </row>
    <row r="144" spans="1:6" ht="18" customHeight="1" x14ac:dyDescent="0.25">
      <c r="A144" s="99">
        <v>3</v>
      </c>
      <c r="B144" s="100" t="s">
        <v>114</v>
      </c>
      <c r="C144" s="97">
        <v>5217156</v>
      </c>
      <c r="D144" s="97">
        <v>10463251</v>
      </c>
      <c r="E144" s="97">
        <f t="shared" si="20"/>
        <v>5246095</v>
      </c>
      <c r="F144" s="98">
        <f t="shared" si="21"/>
        <v>1.0055468918314883</v>
      </c>
    </row>
    <row r="145" spans="1:6" ht="18" customHeight="1" x14ac:dyDescent="0.25">
      <c r="A145" s="99">
        <v>4</v>
      </c>
      <c r="B145" s="100" t="s">
        <v>115</v>
      </c>
      <c r="C145" s="97">
        <v>4689982</v>
      </c>
      <c r="D145" s="97">
        <v>1361416</v>
      </c>
      <c r="E145" s="97">
        <f t="shared" si="20"/>
        <v>-3328566</v>
      </c>
      <c r="F145" s="98">
        <f t="shared" si="21"/>
        <v>-0.70971828889748401</v>
      </c>
    </row>
    <row r="146" spans="1:6" ht="18" customHeight="1" x14ac:dyDescent="0.25">
      <c r="A146" s="99">
        <v>5</v>
      </c>
      <c r="B146" s="100" t="s">
        <v>116</v>
      </c>
      <c r="C146" s="97">
        <v>232286</v>
      </c>
      <c r="D146" s="97">
        <v>243687</v>
      </c>
      <c r="E146" s="97">
        <f t="shared" si="20"/>
        <v>11401</v>
      </c>
      <c r="F146" s="98">
        <f t="shared" si="21"/>
        <v>4.9081735446819867E-2</v>
      </c>
    </row>
    <row r="147" spans="1:6" ht="18" customHeight="1" x14ac:dyDescent="0.25">
      <c r="A147" s="99">
        <v>6</v>
      </c>
      <c r="B147" s="100" t="s">
        <v>117</v>
      </c>
      <c r="C147" s="97">
        <v>2172305</v>
      </c>
      <c r="D147" s="97">
        <v>2547650</v>
      </c>
      <c r="E147" s="97">
        <f t="shared" si="20"/>
        <v>375345</v>
      </c>
      <c r="F147" s="98">
        <f t="shared" si="21"/>
        <v>0.17278651018158131</v>
      </c>
    </row>
    <row r="148" spans="1:6" ht="18" customHeight="1" x14ac:dyDescent="0.25">
      <c r="A148" s="99">
        <v>7</v>
      </c>
      <c r="B148" s="100" t="s">
        <v>118</v>
      </c>
      <c r="C148" s="97">
        <v>8891270</v>
      </c>
      <c r="D148" s="97">
        <v>9789468</v>
      </c>
      <c r="E148" s="97">
        <f t="shared" si="20"/>
        <v>898198</v>
      </c>
      <c r="F148" s="98">
        <f t="shared" si="21"/>
        <v>0.10102021421011846</v>
      </c>
    </row>
    <row r="149" spans="1:6" ht="18" customHeight="1" x14ac:dyDescent="0.25">
      <c r="A149" s="99">
        <v>8</v>
      </c>
      <c r="B149" s="100" t="s">
        <v>119</v>
      </c>
      <c r="C149" s="97">
        <v>568224</v>
      </c>
      <c r="D149" s="97">
        <v>574624</v>
      </c>
      <c r="E149" s="97">
        <f t="shared" si="20"/>
        <v>6400</v>
      </c>
      <c r="F149" s="98">
        <f t="shared" si="21"/>
        <v>1.1263163822717802E-2</v>
      </c>
    </row>
    <row r="150" spans="1:6" ht="18" customHeight="1" x14ac:dyDescent="0.25">
      <c r="A150" s="99">
        <v>9</v>
      </c>
      <c r="B150" s="100" t="s">
        <v>120</v>
      </c>
      <c r="C150" s="97">
        <v>2063865</v>
      </c>
      <c r="D150" s="97">
        <v>2620861</v>
      </c>
      <c r="E150" s="97">
        <f t="shared" si="20"/>
        <v>556996</v>
      </c>
      <c r="F150" s="98">
        <f t="shared" si="21"/>
        <v>0.26988005513926538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125155</v>
      </c>
      <c r="D152" s="97">
        <v>158693</v>
      </c>
      <c r="E152" s="97">
        <f t="shared" si="20"/>
        <v>33538</v>
      </c>
      <c r="F152" s="98">
        <f t="shared" si="21"/>
        <v>0.26797171507330908</v>
      </c>
    </row>
    <row r="153" spans="1:6" ht="33.75" customHeight="1" x14ac:dyDescent="0.25">
      <c r="A153" s="101"/>
      <c r="B153" s="102" t="s">
        <v>147</v>
      </c>
      <c r="C153" s="103">
        <f>SUM(C142:C152)</f>
        <v>33067229</v>
      </c>
      <c r="D153" s="103">
        <f>SUM(D142:D152)</f>
        <v>38120977</v>
      </c>
      <c r="E153" s="103">
        <f t="shared" si="20"/>
        <v>5053748</v>
      </c>
      <c r="F153" s="104">
        <f t="shared" si="21"/>
        <v>0.15283252189047955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2864392</v>
      </c>
      <c r="D155" s="97">
        <v>2943718</v>
      </c>
      <c r="E155" s="97">
        <f t="shared" ref="E155:E166" si="22">D155-C155</f>
        <v>79326</v>
      </c>
      <c r="F155" s="98">
        <f t="shared" ref="F155:F166" si="23">IF(C155=0,0,E155/C155)</f>
        <v>2.7693835201327191E-2</v>
      </c>
    </row>
    <row r="156" spans="1:6" ht="18" customHeight="1" x14ac:dyDescent="0.25">
      <c r="A156" s="99">
        <v>2</v>
      </c>
      <c r="B156" s="100" t="s">
        <v>113</v>
      </c>
      <c r="C156" s="97">
        <v>269767</v>
      </c>
      <c r="D156" s="97">
        <v>345171</v>
      </c>
      <c r="E156" s="97">
        <f t="shared" si="22"/>
        <v>75404</v>
      </c>
      <c r="F156" s="98">
        <f t="shared" si="23"/>
        <v>0.2795152854129675</v>
      </c>
    </row>
    <row r="157" spans="1:6" ht="18" customHeight="1" x14ac:dyDescent="0.25">
      <c r="A157" s="99">
        <v>3</v>
      </c>
      <c r="B157" s="100" t="s">
        <v>114</v>
      </c>
      <c r="C157" s="97">
        <v>1559227</v>
      </c>
      <c r="D157" s="97">
        <v>2977182</v>
      </c>
      <c r="E157" s="97">
        <f t="shared" si="22"/>
        <v>1417955</v>
      </c>
      <c r="F157" s="98">
        <f t="shared" si="23"/>
        <v>0.9093961302619824</v>
      </c>
    </row>
    <row r="158" spans="1:6" ht="18" customHeight="1" x14ac:dyDescent="0.25">
      <c r="A158" s="99">
        <v>4</v>
      </c>
      <c r="B158" s="100" t="s">
        <v>115</v>
      </c>
      <c r="C158" s="97">
        <v>1573898</v>
      </c>
      <c r="D158" s="97">
        <v>577745</v>
      </c>
      <c r="E158" s="97">
        <f t="shared" si="22"/>
        <v>-996153</v>
      </c>
      <c r="F158" s="98">
        <f t="shared" si="23"/>
        <v>-0.63292093896809065</v>
      </c>
    </row>
    <row r="159" spans="1:6" ht="18" customHeight="1" x14ac:dyDescent="0.25">
      <c r="A159" s="99">
        <v>5</v>
      </c>
      <c r="B159" s="100" t="s">
        <v>116</v>
      </c>
      <c r="C159" s="97">
        <v>76435</v>
      </c>
      <c r="D159" s="97">
        <v>67787</v>
      </c>
      <c r="E159" s="97">
        <f t="shared" si="22"/>
        <v>-8648</v>
      </c>
      <c r="F159" s="98">
        <f t="shared" si="23"/>
        <v>-0.1131418852619873</v>
      </c>
    </row>
    <row r="160" spans="1:6" ht="18" customHeight="1" x14ac:dyDescent="0.25">
      <c r="A160" s="99">
        <v>6</v>
      </c>
      <c r="B160" s="100" t="s">
        <v>117</v>
      </c>
      <c r="C160" s="97">
        <v>1235080</v>
      </c>
      <c r="D160" s="97">
        <v>1423129</v>
      </c>
      <c r="E160" s="97">
        <f t="shared" si="22"/>
        <v>188049</v>
      </c>
      <c r="F160" s="98">
        <f t="shared" si="23"/>
        <v>0.15225653398970107</v>
      </c>
    </row>
    <row r="161" spans="1:6" ht="18" customHeight="1" x14ac:dyDescent="0.25">
      <c r="A161" s="99">
        <v>7</v>
      </c>
      <c r="B161" s="100" t="s">
        <v>118</v>
      </c>
      <c r="C161" s="97">
        <v>4371180</v>
      </c>
      <c r="D161" s="97">
        <v>4782192</v>
      </c>
      <c r="E161" s="97">
        <f t="shared" si="22"/>
        <v>411012</v>
      </c>
      <c r="F161" s="98">
        <f t="shared" si="23"/>
        <v>9.402769961429179E-2</v>
      </c>
    </row>
    <row r="162" spans="1:6" ht="18" customHeight="1" x14ac:dyDescent="0.25">
      <c r="A162" s="99">
        <v>8</v>
      </c>
      <c r="B162" s="100" t="s">
        <v>119</v>
      </c>
      <c r="C162" s="97">
        <v>433074</v>
      </c>
      <c r="D162" s="97">
        <v>421447</v>
      </c>
      <c r="E162" s="97">
        <f t="shared" si="22"/>
        <v>-11627</v>
      </c>
      <c r="F162" s="98">
        <f t="shared" si="23"/>
        <v>-2.6847605720962238E-2</v>
      </c>
    </row>
    <row r="163" spans="1:6" ht="18" customHeight="1" x14ac:dyDescent="0.25">
      <c r="A163" s="99">
        <v>9</v>
      </c>
      <c r="B163" s="100" t="s">
        <v>120</v>
      </c>
      <c r="C163" s="97">
        <v>205562</v>
      </c>
      <c r="D163" s="97">
        <v>232316</v>
      </c>
      <c r="E163" s="97">
        <f t="shared" si="22"/>
        <v>26754</v>
      </c>
      <c r="F163" s="98">
        <f t="shared" si="23"/>
        <v>0.13015051420009535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29675</v>
      </c>
      <c r="D165" s="97">
        <v>32060</v>
      </c>
      <c r="E165" s="97">
        <f t="shared" si="22"/>
        <v>2385</v>
      </c>
      <c r="F165" s="98">
        <f t="shared" si="23"/>
        <v>8.0370682392586351E-2</v>
      </c>
    </row>
    <row r="166" spans="1:6" ht="33.75" customHeight="1" x14ac:dyDescent="0.25">
      <c r="A166" s="101"/>
      <c r="B166" s="102" t="s">
        <v>149</v>
      </c>
      <c r="C166" s="103">
        <f>SUM(C155:C165)</f>
        <v>12618290</v>
      </c>
      <c r="D166" s="103">
        <f>SUM(D155:D165)</f>
        <v>13802747</v>
      </c>
      <c r="E166" s="103">
        <f t="shared" si="22"/>
        <v>1184457</v>
      </c>
      <c r="F166" s="104">
        <f t="shared" si="23"/>
        <v>9.3868265826827571E-2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7433</v>
      </c>
      <c r="D168" s="117">
        <v>7612</v>
      </c>
      <c r="E168" s="117">
        <f t="shared" ref="E168:E179" si="24">D168-C168</f>
        <v>179</v>
      </c>
      <c r="F168" s="98">
        <f t="shared" ref="F168:F179" si="25">IF(C168=0,0,E168/C168)</f>
        <v>2.4081797390017489E-2</v>
      </c>
    </row>
    <row r="169" spans="1:6" ht="18" customHeight="1" x14ac:dyDescent="0.25">
      <c r="A169" s="99">
        <v>2</v>
      </c>
      <c r="B169" s="100" t="s">
        <v>113</v>
      </c>
      <c r="C169" s="117">
        <v>699</v>
      </c>
      <c r="D169" s="117">
        <v>922</v>
      </c>
      <c r="E169" s="117">
        <f t="shared" si="24"/>
        <v>223</v>
      </c>
      <c r="F169" s="98">
        <f t="shared" si="25"/>
        <v>0.31902718168812588</v>
      </c>
    </row>
    <row r="170" spans="1:6" ht="18" customHeight="1" x14ac:dyDescent="0.25">
      <c r="A170" s="99">
        <v>3</v>
      </c>
      <c r="B170" s="100" t="s">
        <v>114</v>
      </c>
      <c r="C170" s="117">
        <v>4700</v>
      </c>
      <c r="D170" s="117">
        <v>9822</v>
      </c>
      <c r="E170" s="117">
        <f t="shared" si="24"/>
        <v>5122</v>
      </c>
      <c r="F170" s="98">
        <f t="shared" si="25"/>
        <v>1.0897872340425532</v>
      </c>
    </row>
    <row r="171" spans="1:6" ht="18" customHeight="1" x14ac:dyDescent="0.25">
      <c r="A171" s="99">
        <v>4</v>
      </c>
      <c r="B171" s="100" t="s">
        <v>115</v>
      </c>
      <c r="C171" s="117">
        <v>6668</v>
      </c>
      <c r="D171" s="117">
        <v>1672</v>
      </c>
      <c r="E171" s="117">
        <f t="shared" si="24"/>
        <v>-4996</v>
      </c>
      <c r="F171" s="98">
        <f t="shared" si="25"/>
        <v>-0.74925014997000605</v>
      </c>
    </row>
    <row r="172" spans="1:6" ht="18" customHeight="1" x14ac:dyDescent="0.25">
      <c r="A172" s="99">
        <v>5</v>
      </c>
      <c r="B172" s="100" t="s">
        <v>116</v>
      </c>
      <c r="C172" s="117">
        <v>223</v>
      </c>
      <c r="D172" s="117">
        <v>246</v>
      </c>
      <c r="E172" s="117">
        <f t="shared" si="24"/>
        <v>23</v>
      </c>
      <c r="F172" s="98">
        <f t="shared" si="25"/>
        <v>0.1031390134529148</v>
      </c>
    </row>
    <row r="173" spans="1:6" ht="18" customHeight="1" x14ac:dyDescent="0.25">
      <c r="A173" s="99">
        <v>6</v>
      </c>
      <c r="B173" s="100" t="s">
        <v>117</v>
      </c>
      <c r="C173" s="117">
        <v>1997</v>
      </c>
      <c r="D173" s="117">
        <v>2437</v>
      </c>
      <c r="E173" s="117">
        <f t="shared" si="24"/>
        <v>440</v>
      </c>
      <c r="F173" s="98">
        <f t="shared" si="25"/>
        <v>0.22033049574361543</v>
      </c>
    </row>
    <row r="174" spans="1:6" ht="18" customHeight="1" x14ac:dyDescent="0.25">
      <c r="A174" s="99">
        <v>7</v>
      </c>
      <c r="B174" s="100" t="s">
        <v>118</v>
      </c>
      <c r="C174" s="117">
        <v>9587</v>
      </c>
      <c r="D174" s="117">
        <v>9358</v>
      </c>
      <c r="E174" s="117">
        <f t="shared" si="24"/>
        <v>-229</v>
      </c>
      <c r="F174" s="98">
        <f t="shared" si="25"/>
        <v>-2.3886512986335665E-2</v>
      </c>
    </row>
    <row r="175" spans="1:6" ht="18" customHeight="1" x14ac:dyDescent="0.25">
      <c r="A175" s="99">
        <v>8</v>
      </c>
      <c r="B175" s="100" t="s">
        <v>119</v>
      </c>
      <c r="C175" s="117">
        <v>750</v>
      </c>
      <c r="D175" s="117">
        <v>737</v>
      </c>
      <c r="E175" s="117">
        <f t="shared" si="24"/>
        <v>-13</v>
      </c>
      <c r="F175" s="98">
        <f t="shared" si="25"/>
        <v>-1.7333333333333333E-2</v>
      </c>
    </row>
    <row r="176" spans="1:6" ht="18" customHeight="1" x14ac:dyDescent="0.25">
      <c r="A176" s="99">
        <v>9</v>
      </c>
      <c r="B176" s="100" t="s">
        <v>120</v>
      </c>
      <c r="C176" s="117">
        <v>2293</v>
      </c>
      <c r="D176" s="117">
        <v>2849</v>
      </c>
      <c r="E176" s="117">
        <f t="shared" si="24"/>
        <v>556</v>
      </c>
      <c r="F176" s="98">
        <f t="shared" si="25"/>
        <v>0.24247710423026603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130</v>
      </c>
      <c r="D178" s="117">
        <v>157</v>
      </c>
      <c r="E178" s="117">
        <f t="shared" si="24"/>
        <v>27</v>
      </c>
      <c r="F178" s="98">
        <f t="shared" si="25"/>
        <v>0.2076923076923077</v>
      </c>
    </row>
    <row r="179" spans="1:6" ht="33.75" customHeight="1" x14ac:dyDescent="0.25">
      <c r="A179" s="101"/>
      <c r="B179" s="102" t="s">
        <v>151</v>
      </c>
      <c r="C179" s="118">
        <f>SUM(C168:C178)</f>
        <v>34480</v>
      </c>
      <c r="D179" s="118">
        <f>SUM(D168:D178)</f>
        <v>35812</v>
      </c>
      <c r="E179" s="118">
        <f t="shared" si="24"/>
        <v>1332</v>
      </c>
      <c r="F179" s="104">
        <f t="shared" si="25"/>
        <v>3.8631090487238978E-2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FILING&amp;RCHARLOTTE HUNGERFORD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18727261</v>
      </c>
      <c r="D15" s="146">
        <v>21604919</v>
      </c>
      <c r="E15" s="146">
        <f>+D15-C15</f>
        <v>2877658</v>
      </c>
      <c r="F15" s="150">
        <f>IF(C15=0,0,E15/C15)</f>
        <v>0.15366144573944904</v>
      </c>
    </row>
    <row r="16" spans="1:7" ht="15" customHeight="1" x14ac:dyDescent="0.2">
      <c r="A16" s="141">
        <v>2</v>
      </c>
      <c r="B16" s="149" t="s">
        <v>158</v>
      </c>
      <c r="C16" s="146">
        <v>5949173</v>
      </c>
      <c r="D16" s="146">
        <v>7857318</v>
      </c>
      <c r="E16" s="146">
        <f>+D16-C16</f>
        <v>1908145</v>
      </c>
      <c r="F16" s="150">
        <f>IF(C16=0,0,E16/C16)</f>
        <v>0.3207412189895974</v>
      </c>
    </row>
    <row r="17" spans="1:7" ht="15" customHeight="1" x14ac:dyDescent="0.2">
      <c r="A17" s="141">
        <v>3</v>
      </c>
      <c r="B17" s="149" t="s">
        <v>159</v>
      </c>
      <c r="C17" s="146">
        <v>27051759</v>
      </c>
      <c r="D17" s="146">
        <v>25466493</v>
      </c>
      <c r="E17" s="146">
        <f>+D17-C17</f>
        <v>-1585266</v>
      </c>
      <c r="F17" s="150">
        <f>IF(C17=0,0,E17/C17)</f>
        <v>-5.8601217022523376E-2</v>
      </c>
    </row>
    <row r="18" spans="1:7" ht="15.75" customHeight="1" x14ac:dyDescent="0.25">
      <c r="A18" s="141"/>
      <c r="B18" s="151" t="s">
        <v>160</v>
      </c>
      <c r="C18" s="147">
        <f>SUM(C15:C17)</f>
        <v>51728193</v>
      </c>
      <c r="D18" s="147">
        <f>SUM(D15:D17)</f>
        <v>54928730</v>
      </c>
      <c r="E18" s="147">
        <f>+D18-C18</f>
        <v>3200537</v>
      </c>
      <c r="F18" s="148">
        <f>IF(C18=0,0,E18/C18)</f>
        <v>6.1872198010087073E-2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5724690</v>
      </c>
      <c r="D21" s="146">
        <v>6508150</v>
      </c>
      <c r="E21" s="146">
        <f>+D21-C21</f>
        <v>783460</v>
      </c>
      <c r="F21" s="150">
        <f>IF(C21=0,0,E21/C21)</f>
        <v>0.13685631885744032</v>
      </c>
    </row>
    <row r="22" spans="1:7" ht="15" customHeight="1" x14ac:dyDescent="0.2">
      <c r="A22" s="141">
        <v>2</v>
      </c>
      <c r="B22" s="149" t="s">
        <v>163</v>
      </c>
      <c r="C22" s="146">
        <v>1818588</v>
      </c>
      <c r="D22" s="146">
        <v>2366896</v>
      </c>
      <c r="E22" s="146">
        <f>+D22-C22</f>
        <v>548308</v>
      </c>
      <c r="F22" s="150">
        <f>IF(C22=0,0,E22/C22)</f>
        <v>0.30150204444327139</v>
      </c>
    </row>
    <row r="23" spans="1:7" ht="15" customHeight="1" x14ac:dyDescent="0.2">
      <c r="A23" s="141">
        <v>3</v>
      </c>
      <c r="B23" s="149" t="s">
        <v>164</v>
      </c>
      <c r="C23" s="146">
        <v>8269386</v>
      </c>
      <c r="D23" s="146">
        <v>7671389</v>
      </c>
      <c r="E23" s="146">
        <f>+D23-C23</f>
        <v>-597997</v>
      </c>
      <c r="F23" s="150">
        <f>IF(C23=0,0,E23/C23)</f>
        <v>-7.2314558783445351E-2</v>
      </c>
    </row>
    <row r="24" spans="1:7" ht="15.75" customHeight="1" x14ac:dyDescent="0.25">
      <c r="A24" s="141"/>
      <c r="B24" s="151" t="s">
        <v>165</v>
      </c>
      <c r="C24" s="147">
        <f>SUM(C21:C23)</f>
        <v>15812664</v>
      </c>
      <c r="D24" s="147">
        <f>SUM(D21:D23)</f>
        <v>16546435</v>
      </c>
      <c r="E24" s="147">
        <f>+D24-C24</f>
        <v>733771</v>
      </c>
      <c r="F24" s="148">
        <f>IF(C24=0,0,E24/C24)</f>
        <v>4.6404008837473559E-2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793061</v>
      </c>
      <c r="D27" s="146">
        <v>639573</v>
      </c>
      <c r="E27" s="146">
        <f>+D27-C27</f>
        <v>-153488</v>
      </c>
      <c r="F27" s="150">
        <f>IF(C27=0,0,E27/C27)</f>
        <v>-0.19353870635424009</v>
      </c>
    </row>
    <row r="28" spans="1:7" ht="15" customHeight="1" x14ac:dyDescent="0.2">
      <c r="A28" s="141">
        <v>2</v>
      </c>
      <c r="B28" s="149" t="s">
        <v>168</v>
      </c>
      <c r="C28" s="146">
        <v>1707737</v>
      </c>
      <c r="D28" s="146">
        <v>3306463</v>
      </c>
      <c r="E28" s="146">
        <f>+D28-C28</f>
        <v>1598726</v>
      </c>
      <c r="F28" s="150">
        <f>IF(C28=0,0,E28/C28)</f>
        <v>0.93616640032979315</v>
      </c>
    </row>
    <row r="29" spans="1:7" ht="15" customHeight="1" x14ac:dyDescent="0.2">
      <c r="A29" s="141">
        <v>3</v>
      </c>
      <c r="B29" s="149" t="s">
        <v>169</v>
      </c>
      <c r="C29" s="146">
        <v>538386</v>
      </c>
      <c r="D29" s="146">
        <v>438753</v>
      </c>
      <c r="E29" s="146">
        <f>+D29-C29</f>
        <v>-99633</v>
      </c>
      <c r="F29" s="150">
        <f>IF(C29=0,0,E29/C29)</f>
        <v>-0.18505867537417392</v>
      </c>
    </row>
    <row r="30" spans="1:7" ht="15.75" customHeight="1" x14ac:dyDescent="0.25">
      <c r="A30" s="141"/>
      <c r="B30" s="151" t="s">
        <v>170</v>
      </c>
      <c r="C30" s="147">
        <f>SUM(C27:C29)</f>
        <v>3039184</v>
      </c>
      <c r="D30" s="147">
        <f>SUM(D27:D29)</f>
        <v>4384789</v>
      </c>
      <c r="E30" s="147">
        <f>+D30-C30</f>
        <v>1345605</v>
      </c>
      <c r="F30" s="148">
        <f>IF(C30=0,0,E30/C30)</f>
        <v>0.4427520676602667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9823241</v>
      </c>
      <c r="D33" s="146">
        <v>8625979</v>
      </c>
      <c r="E33" s="146">
        <f>+D33-C33</f>
        <v>-1197262</v>
      </c>
      <c r="F33" s="150">
        <f>IF(C33=0,0,E33/C33)</f>
        <v>-0.12188054838520199</v>
      </c>
    </row>
    <row r="34" spans="1:7" ht="15" customHeight="1" x14ac:dyDescent="0.2">
      <c r="A34" s="141">
        <v>2</v>
      </c>
      <c r="B34" s="149" t="s">
        <v>174</v>
      </c>
      <c r="C34" s="146">
        <v>3385640</v>
      </c>
      <c r="D34" s="146">
        <v>3646867</v>
      </c>
      <c r="E34" s="146">
        <f>+D34-C34</f>
        <v>261227</v>
      </c>
      <c r="F34" s="150">
        <f>IF(C34=0,0,E34/C34)</f>
        <v>7.7157346912252928E-2</v>
      </c>
    </row>
    <row r="35" spans="1:7" ht="15.75" customHeight="1" x14ac:dyDescent="0.25">
      <c r="A35" s="141"/>
      <c r="B35" s="151" t="s">
        <v>175</v>
      </c>
      <c r="C35" s="147">
        <f>SUM(C33:C34)</f>
        <v>13208881</v>
      </c>
      <c r="D35" s="147">
        <f>SUM(D33:D34)</f>
        <v>12272846</v>
      </c>
      <c r="E35" s="147">
        <f>+D35-C35</f>
        <v>-936035</v>
      </c>
      <c r="F35" s="148">
        <f>IF(C35=0,0,E35/C35)</f>
        <v>-7.0864064866660539E-2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2991435</v>
      </c>
      <c r="D38" s="146">
        <v>3121665</v>
      </c>
      <c r="E38" s="146">
        <f>+D38-C38</f>
        <v>130230</v>
      </c>
      <c r="F38" s="150">
        <f>IF(C38=0,0,E38/C38)</f>
        <v>4.3534290399089404E-2</v>
      </c>
    </row>
    <row r="39" spans="1:7" ht="15" customHeight="1" x14ac:dyDescent="0.2">
      <c r="A39" s="141">
        <v>2</v>
      </c>
      <c r="B39" s="149" t="s">
        <v>179</v>
      </c>
      <c r="C39" s="146">
        <v>3125749</v>
      </c>
      <c r="D39" s="146">
        <v>2869560</v>
      </c>
      <c r="E39" s="146">
        <f>+D39-C39</f>
        <v>-256189</v>
      </c>
      <c r="F39" s="150">
        <f>IF(C39=0,0,E39/C39)</f>
        <v>-8.1960835626916945E-2</v>
      </c>
    </row>
    <row r="40" spans="1:7" ht="15" customHeight="1" x14ac:dyDescent="0.2">
      <c r="A40" s="141">
        <v>3</v>
      </c>
      <c r="B40" s="149" t="s">
        <v>180</v>
      </c>
      <c r="C40" s="146">
        <v>60898</v>
      </c>
      <c r="D40" s="146">
        <v>69230</v>
      </c>
      <c r="E40" s="146">
        <f>+D40-C40</f>
        <v>8332</v>
      </c>
      <c r="F40" s="150">
        <f>IF(C40=0,0,E40/C40)</f>
        <v>0.13681894315084239</v>
      </c>
    </row>
    <row r="41" spans="1:7" ht="15.75" customHeight="1" x14ac:dyDescent="0.25">
      <c r="A41" s="141"/>
      <c r="B41" s="151" t="s">
        <v>181</v>
      </c>
      <c r="C41" s="147">
        <f>SUM(C38:C40)</f>
        <v>6178082</v>
      </c>
      <c r="D41" s="147">
        <f>SUM(D38:D40)</f>
        <v>6060455</v>
      </c>
      <c r="E41" s="147">
        <f>+D41-C41</f>
        <v>-117627</v>
      </c>
      <c r="F41" s="148">
        <f>IF(C41=0,0,E41/C41)</f>
        <v>-1.9039404138695471E-2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2129955</v>
      </c>
      <c r="D44" s="146">
        <v>3125364</v>
      </c>
      <c r="E44" s="146">
        <f>+D44-C44</f>
        <v>995409</v>
      </c>
      <c r="F44" s="150">
        <f>IF(C44=0,0,E44/C44)</f>
        <v>0.46733804235300747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308286</v>
      </c>
      <c r="D47" s="146">
        <v>264153</v>
      </c>
      <c r="E47" s="146">
        <f>+D47-C47</f>
        <v>-44133</v>
      </c>
      <c r="F47" s="150">
        <f>IF(C47=0,0,E47/C47)</f>
        <v>-0.14315603043926745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2111635</v>
      </c>
      <c r="D50" s="146">
        <v>1748531</v>
      </c>
      <c r="E50" s="146">
        <f>+D50-C50</f>
        <v>-363104</v>
      </c>
      <c r="F50" s="150">
        <f>IF(C50=0,0,E50/C50)</f>
        <v>-0.17195395984628026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48005</v>
      </c>
      <c r="D53" s="146">
        <v>50888</v>
      </c>
      <c r="E53" s="146">
        <f t="shared" ref="E53:E59" si="0">+D53-C53</f>
        <v>2883</v>
      </c>
      <c r="F53" s="150">
        <f t="shared" ref="F53:F59" si="1">IF(C53=0,0,E53/C53)</f>
        <v>6.0056244141235289E-2</v>
      </c>
    </row>
    <row r="54" spans="1:7" ht="15" customHeight="1" x14ac:dyDescent="0.2">
      <c r="A54" s="141">
        <v>2</v>
      </c>
      <c r="B54" s="149" t="s">
        <v>193</v>
      </c>
      <c r="C54" s="146">
        <v>503982</v>
      </c>
      <c r="D54" s="146">
        <v>462973</v>
      </c>
      <c r="E54" s="146">
        <f t="shared" si="0"/>
        <v>-41009</v>
      </c>
      <c r="F54" s="150">
        <f t="shared" si="1"/>
        <v>-8.1369969562405012E-2</v>
      </c>
    </row>
    <row r="55" spans="1:7" ht="15" customHeight="1" x14ac:dyDescent="0.2">
      <c r="A55" s="141">
        <v>3</v>
      </c>
      <c r="B55" s="149" t="s">
        <v>194</v>
      </c>
      <c r="C55" s="146">
        <v>20875</v>
      </c>
      <c r="D55" s="146">
        <v>11267</v>
      </c>
      <c r="E55" s="146">
        <f t="shared" si="0"/>
        <v>-9608</v>
      </c>
      <c r="F55" s="150">
        <f t="shared" si="1"/>
        <v>-0.4602634730538922</v>
      </c>
    </row>
    <row r="56" spans="1:7" ht="15" customHeight="1" x14ac:dyDescent="0.2">
      <c r="A56" s="141">
        <v>4</v>
      </c>
      <c r="B56" s="149" t="s">
        <v>195</v>
      </c>
      <c r="C56" s="146">
        <v>1347481</v>
      </c>
      <c r="D56" s="146">
        <v>1300775</v>
      </c>
      <c r="E56" s="146">
        <f t="shared" si="0"/>
        <v>-46706</v>
      </c>
      <c r="F56" s="150">
        <f t="shared" si="1"/>
        <v>-3.4661713226383152E-2</v>
      </c>
    </row>
    <row r="57" spans="1:7" ht="15" customHeight="1" x14ac:dyDescent="0.2">
      <c r="A57" s="141">
        <v>5</v>
      </c>
      <c r="B57" s="149" t="s">
        <v>196</v>
      </c>
      <c r="C57" s="146">
        <v>203546</v>
      </c>
      <c r="D57" s="146">
        <v>260422</v>
      </c>
      <c r="E57" s="146">
        <f t="shared" si="0"/>
        <v>56876</v>
      </c>
      <c r="F57" s="150">
        <f t="shared" si="1"/>
        <v>0.2794257809045621</v>
      </c>
    </row>
    <row r="58" spans="1:7" ht="15" customHeight="1" x14ac:dyDescent="0.2">
      <c r="A58" s="141">
        <v>6</v>
      </c>
      <c r="B58" s="149" t="s">
        <v>197</v>
      </c>
      <c r="C58" s="146">
        <v>47113</v>
      </c>
      <c r="D58" s="146">
        <v>51565</v>
      </c>
      <c r="E58" s="146">
        <f t="shared" si="0"/>
        <v>4452</v>
      </c>
      <c r="F58" s="150">
        <f t="shared" si="1"/>
        <v>9.4496211236813621E-2</v>
      </c>
    </row>
    <row r="59" spans="1:7" ht="15.75" customHeight="1" x14ac:dyDescent="0.25">
      <c r="A59" s="141"/>
      <c r="B59" s="151" t="s">
        <v>198</v>
      </c>
      <c r="C59" s="147">
        <f>SUM(C53:C58)</f>
        <v>2171002</v>
      </c>
      <c r="D59" s="147">
        <f>SUM(D53:D58)</f>
        <v>2137890</v>
      </c>
      <c r="E59" s="147">
        <f t="shared" si="0"/>
        <v>-33112</v>
      </c>
      <c r="F59" s="148">
        <f t="shared" si="1"/>
        <v>-1.5251943572599196E-2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122256</v>
      </c>
      <c r="D62" s="146">
        <v>131256</v>
      </c>
      <c r="E62" s="146">
        <f t="shared" ref="E62:E90" si="2">+D62-C62</f>
        <v>9000</v>
      </c>
      <c r="F62" s="150">
        <f t="shared" ref="F62:F90" si="3">IF(C62=0,0,E62/C62)</f>
        <v>7.361601884570082E-2</v>
      </c>
    </row>
    <row r="63" spans="1:7" ht="15" customHeight="1" x14ac:dyDescent="0.2">
      <c r="A63" s="141">
        <v>2</v>
      </c>
      <c r="B63" s="149" t="s">
        <v>202</v>
      </c>
      <c r="C63" s="146">
        <v>341696</v>
      </c>
      <c r="D63" s="146">
        <v>257120</v>
      </c>
      <c r="E63" s="146">
        <f t="shared" si="2"/>
        <v>-84576</v>
      </c>
      <c r="F63" s="150">
        <f t="shared" si="3"/>
        <v>-0.2475182618467878</v>
      </c>
    </row>
    <row r="64" spans="1:7" ht="15" customHeight="1" x14ac:dyDescent="0.2">
      <c r="A64" s="141">
        <v>3</v>
      </c>
      <c r="B64" s="149" t="s">
        <v>203</v>
      </c>
      <c r="C64" s="146">
        <v>419591</v>
      </c>
      <c r="D64" s="146">
        <v>466384</v>
      </c>
      <c r="E64" s="146">
        <f t="shared" si="2"/>
        <v>46793</v>
      </c>
      <c r="F64" s="150">
        <f t="shared" si="3"/>
        <v>0.11152050449127841</v>
      </c>
    </row>
    <row r="65" spans="1:6" ht="15" customHeight="1" x14ac:dyDescent="0.2">
      <c r="A65" s="141">
        <v>4</v>
      </c>
      <c r="B65" s="149" t="s">
        <v>204</v>
      </c>
      <c r="C65" s="146">
        <v>202413</v>
      </c>
      <c r="D65" s="146">
        <v>330293</v>
      </c>
      <c r="E65" s="146">
        <f t="shared" si="2"/>
        <v>127880</v>
      </c>
      <c r="F65" s="150">
        <f t="shared" si="3"/>
        <v>0.63177760321718468</v>
      </c>
    </row>
    <row r="66" spans="1:6" ht="15" customHeight="1" x14ac:dyDescent="0.2">
      <c r="A66" s="141">
        <v>5</v>
      </c>
      <c r="B66" s="149" t="s">
        <v>205</v>
      </c>
      <c r="C66" s="146">
        <v>1048396</v>
      </c>
      <c r="D66" s="146">
        <v>1304916</v>
      </c>
      <c r="E66" s="146">
        <f t="shared" si="2"/>
        <v>256520</v>
      </c>
      <c r="F66" s="150">
        <f t="shared" si="3"/>
        <v>0.24467853749918925</v>
      </c>
    </row>
    <row r="67" spans="1:6" ht="15" customHeight="1" x14ac:dyDescent="0.2">
      <c r="A67" s="141">
        <v>6</v>
      </c>
      <c r="B67" s="149" t="s">
        <v>206</v>
      </c>
      <c r="C67" s="146">
        <v>827701</v>
      </c>
      <c r="D67" s="146">
        <v>990352</v>
      </c>
      <c r="E67" s="146">
        <f t="shared" si="2"/>
        <v>162651</v>
      </c>
      <c r="F67" s="150">
        <f t="shared" si="3"/>
        <v>0.19650936751314788</v>
      </c>
    </row>
    <row r="68" spans="1:6" ht="15" customHeight="1" x14ac:dyDescent="0.2">
      <c r="A68" s="141">
        <v>7</v>
      </c>
      <c r="B68" s="149" t="s">
        <v>207</v>
      </c>
      <c r="C68" s="146">
        <v>1961064</v>
      </c>
      <c r="D68" s="146">
        <v>1942055</v>
      </c>
      <c r="E68" s="146">
        <f t="shared" si="2"/>
        <v>-19009</v>
      </c>
      <c r="F68" s="150">
        <f t="shared" si="3"/>
        <v>-9.6932073609020415E-3</v>
      </c>
    </row>
    <row r="69" spans="1:6" ht="15" customHeight="1" x14ac:dyDescent="0.2">
      <c r="A69" s="141">
        <v>8</v>
      </c>
      <c r="B69" s="149" t="s">
        <v>208</v>
      </c>
      <c r="C69" s="146">
        <v>263505</v>
      </c>
      <c r="D69" s="146">
        <v>270076</v>
      </c>
      <c r="E69" s="146">
        <f t="shared" si="2"/>
        <v>6571</v>
      </c>
      <c r="F69" s="150">
        <f t="shared" si="3"/>
        <v>2.4936908218060379E-2</v>
      </c>
    </row>
    <row r="70" spans="1:6" ht="15" customHeight="1" x14ac:dyDescent="0.2">
      <c r="A70" s="141">
        <v>9</v>
      </c>
      <c r="B70" s="149" t="s">
        <v>209</v>
      </c>
      <c r="C70" s="146">
        <v>164123</v>
      </c>
      <c r="D70" s="146">
        <v>60934</v>
      </c>
      <c r="E70" s="146">
        <f t="shared" si="2"/>
        <v>-103189</v>
      </c>
      <c r="F70" s="150">
        <f t="shared" si="3"/>
        <v>-0.62872967225800158</v>
      </c>
    </row>
    <row r="71" spans="1:6" ht="15" customHeight="1" x14ac:dyDescent="0.2">
      <c r="A71" s="141">
        <v>10</v>
      </c>
      <c r="B71" s="149" t="s">
        <v>210</v>
      </c>
      <c r="C71" s="146">
        <v>83043</v>
      </c>
      <c r="D71" s="146">
        <v>60224</v>
      </c>
      <c r="E71" s="146">
        <f t="shared" si="2"/>
        <v>-22819</v>
      </c>
      <c r="F71" s="150">
        <f t="shared" si="3"/>
        <v>-0.27478535216694966</v>
      </c>
    </row>
    <row r="72" spans="1:6" ht="15" customHeight="1" x14ac:dyDescent="0.2">
      <c r="A72" s="141">
        <v>11</v>
      </c>
      <c r="B72" s="149" t="s">
        <v>211</v>
      </c>
      <c r="C72" s="146">
        <v>147583</v>
      </c>
      <c r="D72" s="146">
        <v>209737</v>
      </c>
      <c r="E72" s="146">
        <f t="shared" si="2"/>
        <v>62154</v>
      </c>
      <c r="F72" s="150">
        <f t="shared" si="3"/>
        <v>0.42114606695893159</v>
      </c>
    </row>
    <row r="73" spans="1:6" ht="15" customHeight="1" x14ac:dyDescent="0.2">
      <c r="A73" s="141">
        <v>12</v>
      </c>
      <c r="B73" s="149" t="s">
        <v>212</v>
      </c>
      <c r="C73" s="146">
        <v>924468</v>
      </c>
      <c r="D73" s="146">
        <v>652487</v>
      </c>
      <c r="E73" s="146">
        <f t="shared" si="2"/>
        <v>-271981</v>
      </c>
      <c r="F73" s="150">
        <f t="shared" si="3"/>
        <v>-0.29420271983454266</v>
      </c>
    </row>
    <row r="74" spans="1:6" ht="15" customHeight="1" x14ac:dyDescent="0.2">
      <c r="A74" s="141">
        <v>13</v>
      </c>
      <c r="B74" s="149" t="s">
        <v>213</v>
      </c>
      <c r="C74" s="146">
        <v>175763</v>
      </c>
      <c r="D74" s="146">
        <v>106523</v>
      </c>
      <c r="E74" s="146">
        <f t="shared" si="2"/>
        <v>-69240</v>
      </c>
      <c r="F74" s="150">
        <f t="shared" si="3"/>
        <v>-0.39393956634786614</v>
      </c>
    </row>
    <row r="75" spans="1:6" ht="15" customHeight="1" x14ac:dyDescent="0.2">
      <c r="A75" s="141">
        <v>14</v>
      </c>
      <c r="B75" s="149" t="s">
        <v>214</v>
      </c>
      <c r="C75" s="146">
        <v>122581</v>
      </c>
      <c r="D75" s="146">
        <v>141465</v>
      </c>
      <c r="E75" s="146">
        <f t="shared" si="2"/>
        <v>18884</v>
      </c>
      <c r="F75" s="150">
        <f t="shared" si="3"/>
        <v>0.15405323826694187</v>
      </c>
    </row>
    <row r="76" spans="1:6" ht="15" customHeight="1" x14ac:dyDescent="0.2">
      <c r="A76" s="141">
        <v>15</v>
      </c>
      <c r="B76" s="149" t="s">
        <v>215</v>
      </c>
      <c r="C76" s="146">
        <v>499147</v>
      </c>
      <c r="D76" s="146">
        <v>266455</v>
      </c>
      <c r="E76" s="146">
        <f t="shared" si="2"/>
        <v>-232692</v>
      </c>
      <c r="F76" s="150">
        <f t="shared" si="3"/>
        <v>-0.46617930188902268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1336103</v>
      </c>
      <c r="E78" s="146">
        <f t="shared" si="2"/>
        <v>1336103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374457</v>
      </c>
      <c r="E79" s="146">
        <f t="shared" si="2"/>
        <v>374457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1749668</v>
      </c>
      <c r="E80" s="146">
        <f t="shared" si="2"/>
        <v>1749668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2641805</v>
      </c>
      <c r="E81" s="146">
        <f t="shared" si="2"/>
        <v>2641805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535277</v>
      </c>
      <c r="E82" s="146">
        <f t="shared" si="2"/>
        <v>535277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445308</v>
      </c>
      <c r="E83" s="146">
        <f t="shared" si="2"/>
        <v>445308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511165</v>
      </c>
      <c r="E84" s="146">
        <f t="shared" si="2"/>
        <v>511165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29869</v>
      </c>
      <c r="E85" s="146">
        <f t="shared" si="2"/>
        <v>29869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134908</v>
      </c>
      <c r="E86" s="146">
        <f t="shared" si="2"/>
        <v>134908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874035</v>
      </c>
      <c r="E87" s="146">
        <f t="shared" si="2"/>
        <v>874035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3760818</v>
      </c>
      <c r="E88" s="146">
        <f t="shared" si="2"/>
        <v>3760818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9802995</v>
      </c>
      <c r="D89" s="146">
        <v>780721</v>
      </c>
      <c r="E89" s="146">
        <f t="shared" si="2"/>
        <v>-9022274</v>
      </c>
      <c r="F89" s="150">
        <f t="shared" si="3"/>
        <v>-0.92035893112258038</v>
      </c>
    </row>
    <row r="90" spans="1:7" ht="15.75" customHeight="1" x14ac:dyDescent="0.25">
      <c r="A90" s="141"/>
      <c r="B90" s="151" t="s">
        <v>229</v>
      </c>
      <c r="C90" s="147">
        <f>SUM(C62:C89)</f>
        <v>17106325</v>
      </c>
      <c r="D90" s="147">
        <f>SUM(D62:D89)</f>
        <v>20364411</v>
      </c>
      <c r="E90" s="147">
        <f t="shared" si="2"/>
        <v>3258086</v>
      </c>
      <c r="F90" s="148">
        <f t="shared" si="3"/>
        <v>0.19046089677356182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86560</v>
      </c>
      <c r="D93" s="146">
        <v>49077</v>
      </c>
      <c r="E93" s="146">
        <f>+D93-C93</f>
        <v>-37483</v>
      </c>
      <c r="F93" s="150">
        <f>IF(C93=0,0,E93/C93)</f>
        <v>-0.43302911275415895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113880767</v>
      </c>
      <c r="D95" s="147">
        <f>+D93+D90+D59+D50+D47+D44+D41+D35+D30+D24+D18</f>
        <v>121882681</v>
      </c>
      <c r="E95" s="147">
        <f>+D95-C95</f>
        <v>8001914</v>
      </c>
      <c r="F95" s="148">
        <f>IF(C95=0,0,E95/C95)</f>
        <v>7.0265719232467064E-2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31180157</v>
      </c>
      <c r="D103" s="146">
        <v>32240541</v>
      </c>
      <c r="E103" s="146">
        <f t="shared" ref="E103:E121" si="4">D103-C103</f>
        <v>1060384</v>
      </c>
      <c r="F103" s="150">
        <f t="shared" ref="F103:F121" si="5">IF(C103=0,0,E103/C103)</f>
        <v>3.4008295724745709E-2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772763</v>
      </c>
      <c r="D104" s="146">
        <v>869256</v>
      </c>
      <c r="E104" s="146">
        <f t="shared" si="4"/>
        <v>96493</v>
      </c>
      <c r="F104" s="150">
        <f t="shared" si="5"/>
        <v>0.12486752083109569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1236426</v>
      </c>
      <c r="D105" s="146">
        <v>1189245</v>
      </c>
      <c r="E105" s="146">
        <f t="shared" si="4"/>
        <v>-47181</v>
      </c>
      <c r="F105" s="150">
        <f t="shared" si="5"/>
        <v>-3.8159178147337568E-2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1242079</v>
      </c>
      <c r="D106" s="146">
        <v>1210326</v>
      </c>
      <c r="E106" s="146">
        <f t="shared" si="4"/>
        <v>-31753</v>
      </c>
      <c r="F106" s="150">
        <f t="shared" si="5"/>
        <v>-2.5564396467535479E-2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3034991</v>
      </c>
      <c r="D107" s="146">
        <v>2857814</v>
      </c>
      <c r="E107" s="146">
        <f t="shared" si="4"/>
        <v>-177177</v>
      </c>
      <c r="F107" s="150">
        <f t="shared" si="5"/>
        <v>-5.8378097332084343E-2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293267</v>
      </c>
      <c r="D108" s="146">
        <v>302798</v>
      </c>
      <c r="E108" s="146">
        <f t="shared" si="4"/>
        <v>9531</v>
      </c>
      <c r="F108" s="150">
        <f t="shared" si="5"/>
        <v>3.2499394749494488E-2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765872</v>
      </c>
      <c r="D109" s="146">
        <v>833216</v>
      </c>
      <c r="E109" s="146">
        <f t="shared" si="4"/>
        <v>67344</v>
      </c>
      <c r="F109" s="150">
        <f t="shared" si="5"/>
        <v>8.7931142540790111E-2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442402</v>
      </c>
      <c r="D110" s="146">
        <v>500772</v>
      </c>
      <c r="E110" s="146">
        <f t="shared" si="4"/>
        <v>58370</v>
      </c>
      <c r="F110" s="150">
        <f t="shared" si="5"/>
        <v>0.13193882486968866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907516</v>
      </c>
      <c r="D111" s="146">
        <v>955409</v>
      </c>
      <c r="E111" s="146">
        <f t="shared" si="4"/>
        <v>47893</v>
      </c>
      <c r="F111" s="150">
        <f t="shared" si="5"/>
        <v>5.2773725201539147E-2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1596809</v>
      </c>
      <c r="D112" s="146">
        <v>1586480</v>
      </c>
      <c r="E112" s="146">
        <f t="shared" si="4"/>
        <v>-10329</v>
      </c>
      <c r="F112" s="150">
        <f t="shared" si="5"/>
        <v>-6.4685256658748788E-3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1361077</v>
      </c>
      <c r="D113" s="146">
        <v>1597443</v>
      </c>
      <c r="E113" s="146">
        <f t="shared" si="4"/>
        <v>236366</v>
      </c>
      <c r="F113" s="150">
        <f t="shared" si="5"/>
        <v>0.1736610052186614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606278</v>
      </c>
      <c r="D114" s="146">
        <v>531515</v>
      </c>
      <c r="E114" s="146">
        <f t="shared" si="4"/>
        <v>-74763</v>
      </c>
      <c r="F114" s="150">
        <f t="shared" si="5"/>
        <v>-0.12331471701100816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1995342</v>
      </c>
      <c r="D115" s="146">
        <v>1842087</v>
      </c>
      <c r="E115" s="146">
        <f t="shared" si="4"/>
        <v>-153255</v>
      </c>
      <c r="F115" s="150">
        <f t="shared" si="5"/>
        <v>-7.6806382063826659E-2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298132</v>
      </c>
      <c r="D116" s="146">
        <v>307069</v>
      </c>
      <c r="E116" s="146">
        <f t="shared" si="4"/>
        <v>8937</v>
      </c>
      <c r="F116" s="150">
        <f t="shared" si="5"/>
        <v>2.9976654636201413E-2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808531</v>
      </c>
      <c r="D117" s="146">
        <v>704313</v>
      </c>
      <c r="E117" s="146">
        <f t="shared" si="4"/>
        <v>-104218</v>
      </c>
      <c r="F117" s="150">
        <f t="shared" si="5"/>
        <v>-0.12889796433284562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374840</v>
      </c>
      <c r="D118" s="146">
        <v>402478</v>
      </c>
      <c r="E118" s="146">
        <f t="shared" si="4"/>
        <v>27638</v>
      </c>
      <c r="F118" s="150">
        <f t="shared" si="5"/>
        <v>7.3732792658200833E-2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4500039</v>
      </c>
      <c r="D119" s="146">
        <v>4789318</v>
      </c>
      <c r="E119" s="146">
        <f t="shared" si="4"/>
        <v>289279</v>
      </c>
      <c r="F119" s="150">
        <f t="shared" si="5"/>
        <v>6.4283665097124715E-2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0</v>
      </c>
      <c r="D120" s="146">
        <v>0</v>
      </c>
      <c r="E120" s="146">
        <f t="shared" si="4"/>
        <v>0</v>
      </c>
      <c r="F120" s="150">
        <f t="shared" si="5"/>
        <v>0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51416521</v>
      </c>
      <c r="D121" s="147">
        <f>SUM(D103:D120)</f>
        <v>52720080</v>
      </c>
      <c r="E121" s="147">
        <f t="shared" si="4"/>
        <v>1303559</v>
      </c>
      <c r="F121" s="148">
        <f t="shared" si="5"/>
        <v>2.5352921097092508E-2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557935</v>
      </c>
      <c r="D124" s="146">
        <v>668938</v>
      </c>
      <c r="E124" s="146">
        <f t="shared" ref="E124:E130" si="6">D124-C124</f>
        <v>111003</v>
      </c>
      <c r="F124" s="150">
        <f t="shared" ref="F124:F130" si="7">IF(C124=0,0,E124/C124)</f>
        <v>0.19895328308853183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1065432</v>
      </c>
      <c r="D126" s="146">
        <v>1303152</v>
      </c>
      <c r="E126" s="146">
        <f t="shared" si="6"/>
        <v>237720</v>
      </c>
      <c r="F126" s="150">
        <f t="shared" si="7"/>
        <v>0.22312076228234182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1610666</v>
      </c>
      <c r="D127" s="146">
        <v>2049493</v>
      </c>
      <c r="E127" s="146">
        <f t="shared" si="6"/>
        <v>438827</v>
      </c>
      <c r="F127" s="150">
        <f t="shared" si="7"/>
        <v>0.27245065084877934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1471080</v>
      </c>
      <c r="D128" s="146">
        <v>1394999</v>
      </c>
      <c r="E128" s="146">
        <f t="shared" si="6"/>
        <v>-76081</v>
      </c>
      <c r="F128" s="150">
        <f t="shared" si="7"/>
        <v>-5.1717785572504553E-2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0</v>
      </c>
      <c r="D129" s="146">
        <v>0</v>
      </c>
      <c r="E129" s="146">
        <f t="shared" si="6"/>
        <v>0</v>
      </c>
      <c r="F129" s="150">
        <f t="shared" si="7"/>
        <v>0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4705113</v>
      </c>
      <c r="D130" s="147">
        <f>SUM(D124:D129)</f>
        <v>5416582</v>
      </c>
      <c r="E130" s="147">
        <f t="shared" si="6"/>
        <v>711469</v>
      </c>
      <c r="F130" s="148">
        <f t="shared" si="7"/>
        <v>0.15121188375284506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6939749</v>
      </c>
      <c r="D133" s="146">
        <v>6834895</v>
      </c>
      <c r="E133" s="146">
        <f t="shared" ref="E133:E167" si="8">D133-C133</f>
        <v>-104854</v>
      </c>
      <c r="F133" s="150">
        <f t="shared" ref="F133:F167" si="9">IF(C133=0,0,E133/C133)</f>
        <v>-1.5109191989508554E-2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524244</v>
      </c>
      <c r="D134" s="146">
        <v>514074</v>
      </c>
      <c r="E134" s="146">
        <f t="shared" si="8"/>
        <v>-10170</v>
      </c>
      <c r="F134" s="150">
        <f t="shared" si="9"/>
        <v>-1.9399363655091904E-2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180311</v>
      </c>
      <c r="D135" s="146">
        <v>195221</v>
      </c>
      <c r="E135" s="146">
        <f t="shared" si="8"/>
        <v>14910</v>
      </c>
      <c r="F135" s="150">
        <f t="shared" si="9"/>
        <v>8.269046258963679E-2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617457</v>
      </c>
      <c r="D136" s="146">
        <v>605796</v>
      </c>
      <c r="E136" s="146">
        <f t="shared" si="8"/>
        <v>-11661</v>
      </c>
      <c r="F136" s="150">
        <f t="shared" si="9"/>
        <v>-1.8885525631744397E-2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2996806</v>
      </c>
      <c r="D137" s="146">
        <v>3085284</v>
      </c>
      <c r="E137" s="146">
        <f t="shared" si="8"/>
        <v>88478</v>
      </c>
      <c r="F137" s="150">
        <f t="shared" si="9"/>
        <v>2.9524099991791262E-2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406908</v>
      </c>
      <c r="D138" s="146">
        <v>412212</v>
      </c>
      <c r="E138" s="146">
        <f t="shared" si="8"/>
        <v>5304</v>
      </c>
      <c r="F138" s="150">
        <f t="shared" si="9"/>
        <v>1.303488749299596E-2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1388193</v>
      </c>
      <c r="D139" s="146">
        <v>1587744</v>
      </c>
      <c r="E139" s="146">
        <f t="shared" si="8"/>
        <v>199551</v>
      </c>
      <c r="F139" s="150">
        <f t="shared" si="9"/>
        <v>0.14374874387062894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413819</v>
      </c>
      <c r="D140" s="146">
        <v>445420</v>
      </c>
      <c r="E140" s="146">
        <f t="shared" si="8"/>
        <v>31601</v>
      </c>
      <c r="F140" s="150">
        <f t="shared" si="9"/>
        <v>7.6364304200628771E-2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746814</v>
      </c>
      <c r="D141" s="146">
        <v>725805</v>
      </c>
      <c r="E141" s="146">
        <f t="shared" si="8"/>
        <v>-21009</v>
      </c>
      <c r="F141" s="150">
        <f t="shared" si="9"/>
        <v>-2.8131502623143113E-2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6245044</v>
      </c>
      <c r="D142" s="146">
        <v>6556019</v>
      </c>
      <c r="E142" s="146">
        <f t="shared" si="8"/>
        <v>310975</v>
      </c>
      <c r="F142" s="150">
        <f t="shared" si="9"/>
        <v>4.9795485828442523E-2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1188664</v>
      </c>
      <c r="D143" s="146">
        <v>1118312</v>
      </c>
      <c r="E143" s="146">
        <f t="shared" si="8"/>
        <v>-70352</v>
      </c>
      <c r="F143" s="150">
        <f t="shared" si="9"/>
        <v>-5.918577495406608E-2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0</v>
      </c>
      <c r="D144" s="146">
        <v>0</v>
      </c>
      <c r="E144" s="146">
        <f t="shared" si="8"/>
        <v>0</v>
      </c>
      <c r="F144" s="150">
        <f t="shared" si="9"/>
        <v>0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282947</v>
      </c>
      <c r="D145" s="146">
        <v>257295</v>
      </c>
      <c r="E145" s="146">
        <f t="shared" si="8"/>
        <v>-25652</v>
      </c>
      <c r="F145" s="150">
        <f t="shared" si="9"/>
        <v>-9.0660088285085191E-2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4830</v>
      </c>
      <c r="D146" s="146">
        <v>4882</v>
      </c>
      <c r="E146" s="146">
        <f t="shared" si="8"/>
        <v>52</v>
      </c>
      <c r="F146" s="150">
        <f t="shared" si="9"/>
        <v>1.0766045548654244E-2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36129</v>
      </c>
      <c r="D147" s="146">
        <v>29373</v>
      </c>
      <c r="E147" s="146">
        <f t="shared" si="8"/>
        <v>-6756</v>
      </c>
      <c r="F147" s="150">
        <f t="shared" si="9"/>
        <v>-0.18699659553267459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44754</v>
      </c>
      <c r="D148" s="146">
        <v>52453</v>
      </c>
      <c r="E148" s="146">
        <f t="shared" si="8"/>
        <v>7699</v>
      </c>
      <c r="F148" s="150">
        <f t="shared" si="9"/>
        <v>0.17202931581534611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821593</v>
      </c>
      <c r="D150" s="146">
        <v>843344</v>
      </c>
      <c r="E150" s="146">
        <f t="shared" si="8"/>
        <v>21751</v>
      </c>
      <c r="F150" s="150">
        <f t="shared" si="9"/>
        <v>2.6474178820900373E-2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229977</v>
      </c>
      <c r="D151" s="146">
        <v>233169</v>
      </c>
      <c r="E151" s="146">
        <f t="shared" si="8"/>
        <v>3192</v>
      </c>
      <c r="F151" s="150">
        <f t="shared" si="9"/>
        <v>1.3879648834448663E-2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4330595</v>
      </c>
      <c r="D154" s="146">
        <v>4581600</v>
      </c>
      <c r="E154" s="146">
        <f t="shared" si="8"/>
        <v>251005</v>
      </c>
      <c r="F154" s="150">
        <f t="shared" si="9"/>
        <v>5.7960857572689206E-2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186852</v>
      </c>
      <c r="D155" s="146">
        <v>141628</v>
      </c>
      <c r="E155" s="146">
        <f t="shared" si="8"/>
        <v>-45224</v>
      </c>
      <c r="F155" s="150">
        <f t="shared" si="9"/>
        <v>-0.24203112623894849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5643883</v>
      </c>
      <c r="D156" s="146">
        <v>6160646</v>
      </c>
      <c r="E156" s="146">
        <f t="shared" si="8"/>
        <v>516763</v>
      </c>
      <c r="F156" s="150">
        <f t="shared" si="9"/>
        <v>9.1561607496115707E-2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252570</v>
      </c>
      <c r="D157" s="146">
        <v>262902</v>
      </c>
      <c r="E157" s="146">
        <f t="shared" si="8"/>
        <v>10332</v>
      </c>
      <c r="F157" s="150">
        <f t="shared" si="9"/>
        <v>4.090747119610405E-2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137491</v>
      </c>
      <c r="D158" s="146">
        <v>138402</v>
      </c>
      <c r="E158" s="146">
        <f t="shared" si="8"/>
        <v>911</v>
      </c>
      <c r="F158" s="150">
        <f t="shared" si="9"/>
        <v>6.6258882399575243E-3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333711</v>
      </c>
      <c r="D160" s="146">
        <v>349381</v>
      </c>
      <c r="E160" s="146">
        <f t="shared" si="8"/>
        <v>15670</v>
      </c>
      <c r="F160" s="150">
        <f t="shared" si="9"/>
        <v>4.6956797947925004E-2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380078</v>
      </c>
      <c r="D161" s="146">
        <v>423636</v>
      </c>
      <c r="E161" s="146">
        <f t="shared" si="8"/>
        <v>43558</v>
      </c>
      <c r="F161" s="150">
        <f t="shared" si="9"/>
        <v>0.11460279205847221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320755</v>
      </c>
      <c r="D163" s="146">
        <v>322430</v>
      </c>
      <c r="E163" s="146">
        <f t="shared" si="8"/>
        <v>1675</v>
      </c>
      <c r="F163" s="150">
        <f t="shared" si="9"/>
        <v>5.2220542158345155E-3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855803</v>
      </c>
      <c r="D164" s="146">
        <v>910931</v>
      </c>
      <c r="E164" s="146">
        <f t="shared" si="8"/>
        <v>55128</v>
      </c>
      <c r="F164" s="150">
        <f t="shared" si="9"/>
        <v>6.4416694028882809E-2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103087</v>
      </c>
      <c r="D166" s="146">
        <v>94044</v>
      </c>
      <c r="E166" s="146">
        <f t="shared" si="8"/>
        <v>-9043</v>
      </c>
      <c r="F166" s="150">
        <f t="shared" si="9"/>
        <v>-8.7722021205389619E-2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35613064</v>
      </c>
      <c r="D167" s="147">
        <f>SUM(D133:D166)</f>
        <v>36886898</v>
      </c>
      <c r="E167" s="147">
        <f t="shared" si="8"/>
        <v>1273834</v>
      </c>
      <c r="F167" s="148">
        <f t="shared" si="9"/>
        <v>3.5768728015090193E-2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7112909</v>
      </c>
      <c r="D170" s="146">
        <v>7125530</v>
      </c>
      <c r="E170" s="146">
        <f t="shared" ref="E170:E183" si="10">D170-C170</f>
        <v>12621</v>
      </c>
      <c r="F170" s="150">
        <f t="shared" ref="F170:F183" si="11">IF(C170=0,0,E170/C170)</f>
        <v>1.7743795119549541E-3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2231820</v>
      </c>
      <c r="D171" s="146">
        <v>2208523</v>
      </c>
      <c r="E171" s="146">
        <f t="shared" si="10"/>
        <v>-23297</v>
      </c>
      <c r="F171" s="150">
        <f t="shared" si="11"/>
        <v>-1.0438565834162254E-2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2517029</v>
      </c>
      <c r="D173" s="146">
        <v>2606104</v>
      </c>
      <c r="E173" s="146">
        <f t="shared" si="10"/>
        <v>89075</v>
      </c>
      <c r="F173" s="150">
        <f t="shared" si="11"/>
        <v>3.5388944664523136E-2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850117</v>
      </c>
      <c r="D174" s="146">
        <v>839890</v>
      </c>
      <c r="E174" s="146">
        <f t="shared" si="10"/>
        <v>-10227</v>
      </c>
      <c r="F174" s="150">
        <f t="shared" si="11"/>
        <v>-1.2030108796789148E-2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975522</v>
      </c>
      <c r="D175" s="146">
        <v>892990</v>
      </c>
      <c r="E175" s="146">
        <f t="shared" si="10"/>
        <v>-82532</v>
      </c>
      <c r="F175" s="150">
        <f t="shared" si="11"/>
        <v>-8.460291003175735E-2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306919</v>
      </c>
      <c r="D176" s="146">
        <v>286782</v>
      </c>
      <c r="E176" s="146">
        <f t="shared" si="10"/>
        <v>-20137</v>
      </c>
      <c r="F176" s="150">
        <f t="shared" si="11"/>
        <v>-6.5610144696157613E-2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692926</v>
      </c>
      <c r="D179" s="146">
        <v>606896</v>
      </c>
      <c r="E179" s="146">
        <f t="shared" si="10"/>
        <v>-86030</v>
      </c>
      <c r="F179" s="150">
        <f t="shared" si="11"/>
        <v>-0.12415467163881858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5878772</v>
      </c>
      <c r="D181" s="146">
        <v>10413076</v>
      </c>
      <c r="E181" s="146">
        <f t="shared" si="10"/>
        <v>4534304</v>
      </c>
      <c r="F181" s="150">
        <f t="shared" si="11"/>
        <v>0.77130121732906121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1291445</v>
      </c>
      <c r="D182" s="146">
        <v>1572968</v>
      </c>
      <c r="E182" s="146">
        <f t="shared" si="10"/>
        <v>281523</v>
      </c>
      <c r="F182" s="150">
        <f t="shared" si="11"/>
        <v>0.21799070033954215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21857459</v>
      </c>
      <c r="D183" s="147">
        <f>SUM(D170:D182)</f>
        <v>26552759</v>
      </c>
      <c r="E183" s="147">
        <f t="shared" si="10"/>
        <v>4695300</v>
      </c>
      <c r="F183" s="148">
        <f t="shared" si="11"/>
        <v>0.21481453997008526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288610</v>
      </c>
      <c r="D186" s="146">
        <v>306362</v>
      </c>
      <c r="E186" s="146">
        <f>D186-C186</f>
        <v>17752</v>
      </c>
      <c r="F186" s="150">
        <f>IF(C186=0,0,E186/C186)</f>
        <v>6.1508610235265583E-2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113880767</v>
      </c>
      <c r="D188" s="147">
        <f>+D186+D183+D167+D130+D121</f>
        <v>121882681</v>
      </c>
      <c r="E188" s="147">
        <f>D188-C188</f>
        <v>8001914</v>
      </c>
      <c r="F188" s="148">
        <f>IF(C188=0,0,E188/C188)</f>
        <v>7.0265719232467064E-2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FILING&amp;RCHARLOTTE HUNGERFORD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103193652</v>
      </c>
      <c r="D11" s="164">
        <v>109579717</v>
      </c>
      <c r="E11" s="51">
        <v>116313832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5277783</v>
      </c>
      <c r="D12" s="49">
        <v>4949386</v>
      </c>
      <c r="E12" s="49">
        <v>5735128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108471435</v>
      </c>
      <c r="D13" s="51">
        <f>+D11+D12</f>
        <v>114529103</v>
      </c>
      <c r="E13" s="51">
        <f>+E11+E12</f>
        <v>122048960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108897163</v>
      </c>
      <c r="D14" s="49">
        <v>113880767</v>
      </c>
      <c r="E14" s="49">
        <v>121882681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-425728</v>
      </c>
      <c r="D15" s="51">
        <f>+D13-D14</f>
        <v>648336</v>
      </c>
      <c r="E15" s="51">
        <f>+E13-E14</f>
        <v>166279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1978820</v>
      </c>
      <c r="D16" s="49">
        <v>2011113</v>
      </c>
      <c r="E16" s="49">
        <v>2249345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1553092</v>
      </c>
      <c r="D17" s="51">
        <f>D15+D16</f>
        <v>2659449</v>
      </c>
      <c r="E17" s="51">
        <f>E15+E16</f>
        <v>2415624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-3.8544772938731557E-3</v>
      </c>
      <c r="D20" s="169">
        <f>IF(+D27=0,0,+D24/+D27)</f>
        <v>5.5631954552066388E-3</v>
      </c>
      <c r="E20" s="169">
        <f>IF(+E27=0,0,+E24/+E27)</f>
        <v>1.3377414921305645E-3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1.7915938718294493E-2</v>
      </c>
      <c r="D21" s="169">
        <f>IF(D27=0,0,+D26/D27)</f>
        <v>1.7256815449870112E-2</v>
      </c>
      <c r="E21" s="169">
        <f>IF(E27=0,0,+E26/E27)</f>
        <v>1.8096344917977764E-2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1.4061461424421337E-2</v>
      </c>
      <c r="D22" s="169">
        <f>IF(D27=0,0,+D28/D27)</f>
        <v>2.2820010905076751E-2</v>
      </c>
      <c r="E22" s="169">
        <f>IF(E27=0,0,+E28/E27)</f>
        <v>1.9434086410108329E-2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-425728</v>
      </c>
      <c r="D24" s="51">
        <f>+D15</f>
        <v>648336</v>
      </c>
      <c r="E24" s="51">
        <f>+E15</f>
        <v>166279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108471435</v>
      </c>
      <c r="D25" s="51">
        <f>+D13</f>
        <v>114529103</v>
      </c>
      <c r="E25" s="51">
        <f>+E13</f>
        <v>122048960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1978820</v>
      </c>
      <c r="D26" s="51">
        <f>+D16</f>
        <v>2011113</v>
      </c>
      <c r="E26" s="51">
        <f>+E16</f>
        <v>2249345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110450255</v>
      </c>
      <c r="D27" s="51">
        <f>+D25+D26</f>
        <v>116540216</v>
      </c>
      <c r="E27" s="51">
        <f>+E25+E26</f>
        <v>124298305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1553092</v>
      </c>
      <c r="D28" s="51">
        <f>+D17</f>
        <v>2659449</v>
      </c>
      <c r="E28" s="51">
        <f>+E17</f>
        <v>2415624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39188881</v>
      </c>
      <c r="D31" s="51">
        <v>47062165</v>
      </c>
      <c r="E31" s="51">
        <v>40934207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58541584</v>
      </c>
      <c r="D32" s="51">
        <v>65985850</v>
      </c>
      <c r="E32" s="51">
        <v>61791679</v>
      </c>
      <c r="F32" s="13"/>
    </row>
    <row r="33" spans="1:6" ht="24" customHeight="1" x14ac:dyDescent="0.2">
      <c r="A33" s="25">
        <v>3</v>
      </c>
      <c r="B33" s="48" t="s">
        <v>331</v>
      </c>
      <c r="C33" s="51">
        <v>-1487412</v>
      </c>
      <c r="D33" s="51">
        <f>+D32-C32</f>
        <v>7444266</v>
      </c>
      <c r="E33" s="51">
        <f>+E32-D32</f>
        <v>-4194171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0.97519999999999996</v>
      </c>
      <c r="D34" s="171">
        <f>IF(C32=0,0,+D33/C32)</f>
        <v>0.12716201871134883</v>
      </c>
      <c r="E34" s="171">
        <f>IF(D32=0,0,+E33/D32)</f>
        <v>-6.3561672691948345E-2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0.56277432313138853</v>
      </c>
      <c r="D38" s="172">
        <f>IF((D40+D41)=0,0,+D39/(D40+D41))</f>
        <v>0.53320212223315999</v>
      </c>
      <c r="E38" s="172">
        <f>IF((E40+E41)=0,0,+E39/(E40+E41))</f>
        <v>0.50197857703216731</v>
      </c>
      <c r="F38" s="5"/>
    </row>
    <row r="39" spans="1:6" ht="24" customHeight="1" x14ac:dyDescent="0.2">
      <c r="A39" s="21">
        <v>2</v>
      </c>
      <c r="B39" s="48" t="s">
        <v>336</v>
      </c>
      <c r="C39" s="51">
        <v>108897163</v>
      </c>
      <c r="D39" s="51">
        <v>113880767</v>
      </c>
      <c r="E39" s="23">
        <v>121882681</v>
      </c>
      <c r="F39" s="5"/>
    </row>
    <row r="40" spans="1:6" ht="24" customHeight="1" x14ac:dyDescent="0.2">
      <c r="A40" s="21">
        <v>3</v>
      </c>
      <c r="B40" s="48" t="s">
        <v>337</v>
      </c>
      <c r="C40" s="51">
        <v>188222806</v>
      </c>
      <c r="D40" s="51">
        <v>208629597</v>
      </c>
      <c r="E40" s="23">
        <v>237069419</v>
      </c>
      <c r="F40" s="5"/>
    </row>
    <row r="41" spans="1:6" ht="24" customHeight="1" x14ac:dyDescent="0.2">
      <c r="A41" s="21">
        <v>4</v>
      </c>
      <c r="B41" s="48" t="s">
        <v>338</v>
      </c>
      <c r="C41" s="51">
        <v>5277783</v>
      </c>
      <c r="D41" s="51">
        <v>4949386</v>
      </c>
      <c r="E41" s="23">
        <v>5735128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1.0313345104216762</v>
      </c>
      <c r="D43" s="173">
        <f>IF(D38=0,0,IF((D46-D47)=0,0,((+D44-D45)/(D46-D47)/D38)))</f>
        <v>1.0709201957973216</v>
      </c>
      <c r="E43" s="173">
        <f>IF(E38=0,0,IF((E46-E47)=0,0,((+E44-E45)/(E46-E47)/E38)))</f>
        <v>1.090646913392896</v>
      </c>
      <c r="F43" s="5"/>
    </row>
    <row r="44" spans="1:6" ht="24" customHeight="1" x14ac:dyDescent="0.2">
      <c r="A44" s="21">
        <v>6</v>
      </c>
      <c r="B44" s="48" t="s">
        <v>340</v>
      </c>
      <c r="C44" s="51">
        <v>38469968</v>
      </c>
      <c r="D44" s="51">
        <v>41153855</v>
      </c>
      <c r="E44" s="23">
        <v>44202249</v>
      </c>
      <c r="F44" s="5"/>
    </row>
    <row r="45" spans="1:6" ht="24" customHeight="1" x14ac:dyDescent="0.2">
      <c r="A45" s="21">
        <v>7</v>
      </c>
      <c r="B45" s="48" t="s">
        <v>341</v>
      </c>
      <c r="C45" s="51">
        <v>1223252</v>
      </c>
      <c r="D45" s="51">
        <v>1467954</v>
      </c>
      <c r="E45" s="23">
        <v>1657845</v>
      </c>
      <c r="F45" s="5"/>
    </row>
    <row r="46" spans="1:6" ht="24" customHeight="1" x14ac:dyDescent="0.2">
      <c r="A46" s="21">
        <v>8</v>
      </c>
      <c r="B46" s="48" t="s">
        <v>342</v>
      </c>
      <c r="C46" s="51">
        <v>69006889</v>
      </c>
      <c r="D46" s="51">
        <v>74660403</v>
      </c>
      <c r="E46" s="23">
        <v>84219906</v>
      </c>
      <c r="F46" s="5"/>
    </row>
    <row r="47" spans="1:6" ht="24" customHeight="1" x14ac:dyDescent="0.2">
      <c r="A47" s="21">
        <v>9</v>
      </c>
      <c r="B47" s="48" t="s">
        <v>343</v>
      </c>
      <c r="C47" s="51">
        <v>4833620</v>
      </c>
      <c r="D47" s="51">
        <v>5160009</v>
      </c>
      <c r="E47" s="174">
        <v>6510590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1.0243547178596137</v>
      </c>
      <c r="D49" s="175">
        <f>IF(D38=0,0,IF(D51=0,0,(D50/D51)/D38))</f>
        <v>1.009001542060008</v>
      </c>
      <c r="E49" s="175">
        <f>IF(E38=0,0,IF(E51=0,0,(E50/E51)/E38))</f>
        <v>0.97142204380113417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48430129</v>
      </c>
      <c r="D50" s="176">
        <v>50742113</v>
      </c>
      <c r="E50" s="176">
        <v>53362838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84009999</v>
      </c>
      <c r="D51" s="176">
        <v>94315886</v>
      </c>
      <c r="E51" s="176">
        <v>109432364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0.70415256150727779</v>
      </c>
      <c r="D53" s="175">
        <f>IF(D38=0,0,IF(D55=0,0,(D54/D55)/D38))</f>
        <v>0.72273863651223824</v>
      </c>
      <c r="E53" s="175">
        <f>IF(E38=0,0,IF(E55=0,0,(E54/E55)/E38))</f>
        <v>0.70345074627415727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11060952</v>
      </c>
      <c r="D54" s="176">
        <v>14852649</v>
      </c>
      <c r="E54" s="176">
        <v>14878229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27912033</v>
      </c>
      <c r="D55" s="176">
        <v>38541692</v>
      </c>
      <c r="E55" s="176">
        <v>42133968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2158433.123576032</v>
      </c>
      <c r="D57" s="53">
        <f>+D60*D38</f>
        <v>2056055.6430435432</v>
      </c>
      <c r="E57" s="53">
        <f>+E60*E38</f>
        <v>2455853.8873861698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1421695</v>
      </c>
      <c r="D58" s="51">
        <v>1726098</v>
      </c>
      <c r="E58" s="52">
        <v>1766984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2413649</v>
      </c>
      <c r="D59" s="51">
        <v>2129955</v>
      </c>
      <c r="E59" s="52">
        <v>3125364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3835344</v>
      </c>
      <c r="D60" s="51">
        <v>3856053</v>
      </c>
      <c r="E60" s="52">
        <v>4892348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1.9820838891606681E-2</v>
      </c>
      <c r="D62" s="178">
        <f>IF(D63=0,0,+D57/D63)</f>
        <v>1.8054459038228495E-2</v>
      </c>
      <c r="E62" s="178">
        <f>IF(E63=0,0,+E57/E63)</f>
        <v>2.0149326116203251E-2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108897163</v>
      </c>
      <c r="D63" s="176">
        <v>113880767</v>
      </c>
      <c r="E63" s="176">
        <v>121882681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1.2324425595398183</v>
      </c>
      <c r="D67" s="179">
        <f>IF(D69=0,0,D68/D69)</f>
        <v>1.3292836663716678</v>
      </c>
      <c r="E67" s="179">
        <f>IF(E69=0,0,E68/E69)</f>
        <v>1.3944350943107457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20414902</v>
      </c>
      <c r="D68" s="180">
        <v>25471279</v>
      </c>
      <c r="E68" s="180">
        <v>28025839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16564587</v>
      </c>
      <c r="D69" s="180">
        <v>19161658</v>
      </c>
      <c r="E69" s="180">
        <v>20098346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19.386298220777928</v>
      </c>
      <c r="D71" s="181">
        <f>IF((D77/365)=0,0,+D74/(D77/365))</f>
        <v>28.655601668612068</v>
      </c>
      <c r="E71" s="181">
        <f>IF((E77/365)=0,0,+E74/(E77/365))</f>
        <v>31.10732917531735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5456105</v>
      </c>
      <c r="D72" s="182">
        <v>8455576</v>
      </c>
      <c r="E72" s="182">
        <v>9871014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5456105</v>
      </c>
      <c r="D74" s="180">
        <f>+D72+D73</f>
        <v>8455576</v>
      </c>
      <c r="E74" s="180">
        <f>+E72+E73</f>
        <v>9871014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108897163</v>
      </c>
      <c r="D75" s="180">
        <f>+D14</f>
        <v>113880767</v>
      </c>
      <c r="E75" s="180">
        <f>+E14</f>
        <v>121882681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6171088</v>
      </c>
      <c r="D76" s="180">
        <v>6178082</v>
      </c>
      <c r="E76" s="180">
        <v>6060455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102726075</v>
      </c>
      <c r="D77" s="180">
        <f>+D75-D76</f>
        <v>107702685</v>
      </c>
      <c r="E77" s="180">
        <f>+E75-E76</f>
        <v>115822226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30.484892617231917</v>
      </c>
      <c r="D79" s="179">
        <f>IF((D84/365)=0,0,+D83/(D84/365))</f>
        <v>36.529769327657604</v>
      </c>
      <c r="E79" s="179">
        <f>IF((E84/365)=0,0,+E83/(E84/365))</f>
        <v>39.211633144371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9573323</v>
      </c>
      <c r="D80" s="189">
        <v>11144540</v>
      </c>
      <c r="E80" s="189">
        <v>13441101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1079437</v>
      </c>
      <c r="D81" s="190">
        <v>1516187</v>
      </c>
      <c r="E81" s="190">
        <v>971585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2034000</v>
      </c>
      <c r="D82" s="190">
        <v>1693818</v>
      </c>
      <c r="E82" s="190">
        <v>1917192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8618760</v>
      </c>
      <c r="D83" s="191">
        <f>+D80+D81-D82</f>
        <v>10966909</v>
      </c>
      <c r="E83" s="191">
        <f>+E80+E81-E82</f>
        <v>12495494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103193652</v>
      </c>
      <c r="D84" s="191">
        <f>+D11</f>
        <v>109579717</v>
      </c>
      <c r="E84" s="191">
        <f>+E11</f>
        <v>116313832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58.856276315434023</v>
      </c>
      <c r="D86" s="179">
        <f>IF((D90/365)=0,0,+D87/(D90/365))</f>
        <v>64.938076242017544</v>
      </c>
      <c r="E86" s="179">
        <f>IF((E90/365)=0,0,+E87/(E90/365))</f>
        <v>63.337552241484289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16564587</v>
      </c>
      <c r="D87" s="51">
        <f>+D69</f>
        <v>19161658</v>
      </c>
      <c r="E87" s="51">
        <f>+E69</f>
        <v>20098346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108897163</v>
      </c>
      <c r="D88" s="51">
        <f t="shared" si="0"/>
        <v>113880767</v>
      </c>
      <c r="E88" s="51">
        <f t="shared" si="0"/>
        <v>121882681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6171088</v>
      </c>
      <c r="D89" s="52">
        <f t="shared" si="0"/>
        <v>6178082</v>
      </c>
      <c r="E89" s="52">
        <f t="shared" si="0"/>
        <v>6060455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102726075</v>
      </c>
      <c r="D90" s="51">
        <f>+D88-D89</f>
        <v>107702685</v>
      </c>
      <c r="E90" s="51">
        <f>+E88-E89</f>
        <v>115822226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49.746815191647649</v>
      </c>
      <c r="D94" s="192">
        <f>IF(D96=0,0,(D95/D96)*100)</f>
        <v>55.531253084854548</v>
      </c>
      <c r="E94" s="192">
        <f>IF(E96=0,0,(E95/E96)*100)</f>
        <v>48.836733349323595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58541584</v>
      </c>
      <c r="D95" s="51">
        <f>+D32</f>
        <v>65985850</v>
      </c>
      <c r="E95" s="51">
        <f>+E32</f>
        <v>61791679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117679059</v>
      </c>
      <c r="D96" s="51">
        <v>118826510</v>
      </c>
      <c r="E96" s="51">
        <v>126527052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34.196645698909094</v>
      </c>
      <c r="D98" s="192">
        <f>IF(D104=0,0,(D101/D104)*100)</f>
        <v>37.154344934725458</v>
      </c>
      <c r="E98" s="192">
        <f>IF(E104=0,0,(E101/E104)*100)</f>
        <v>36.344154322804435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1553092</v>
      </c>
      <c r="D99" s="51">
        <f>+D28</f>
        <v>2659449</v>
      </c>
      <c r="E99" s="51">
        <f>+E28</f>
        <v>2415624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6171088</v>
      </c>
      <c r="D100" s="52">
        <f>+D76</f>
        <v>6178082</v>
      </c>
      <c r="E100" s="52">
        <f>+E76</f>
        <v>6060455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7724180</v>
      </c>
      <c r="D101" s="51">
        <f>+D99+D100</f>
        <v>8837531</v>
      </c>
      <c r="E101" s="51">
        <f>+E99+E100</f>
        <v>8476079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16564587</v>
      </c>
      <c r="D102" s="180">
        <f>+D69</f>
        <v>19161658</v>
      </c>
      <c r="E102" s="180">
        <f>+E69</f>
        <v>20098346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6022950</v>
      </c>
      <c r="D103" s="194">
        <v>4624338</v>
      </c>
      <c r="E103" s="194">
        <v>3223366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22587537</v>
      </c>
      <c r="D104" s="180">
        <f>+D102+D103</f>
        <v>23785996</v>
      </c>
      <c r="E104" s="180">
        <f>+E102+E103</f>
        <v>23321712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9.3285734858707414</v>
      </c>
      <c r="D106" s="197">
        <f>IF(D109=0,0,(D107/D109)*100)</f>
        <v>6.5491087490094202</v>
      </c>
      <c r="E106" s="197">
        <f>IF(E109=0,0,(E107/E109)*100)</f>
        <v>4.9578770575333753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6022950</v>
      </c>
      <c r="D107" s="180">
        <f>+D103</f>
        <v>4624338</v>
      </c>
      <c r="E107" s="180">
        <f>+E103</f>
        <v>3223366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58541584</v>
      </c>
      <c r="D108" s="180">
        <f>+D32</f>
        <v>65985850</v>
      </c>
      <c r="E108" s="180">
        <f>+E32</f>
        <v>61791679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64564534</v>
      </c>
      <c r="D109" s="180">
        <f>+D107+D108</f>
        <v>70610188</v>
      </c>
      <c r="E109" s="180">
        <f>+E107+E108</f>
        <v>65015045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4.0528255046316364</v>
      </c>
      <c r="D111" s="197">
        <f>IF((+D113+D115)=0,0,((+D112+D113+D114)/(+D113+D115)))</f>
        <v>5.318563063683885</v>
      </c>
      <c r="E111" s="197">
        <f>IF((+E113+E115)=0,0,((+E112+E113+E114)/(+E113+E115)))</f>
        <v>5.4347376223094415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1553092</v>
      </c>
      <c r="D112" s="180">
        <f>+D17</f>
        <v>2659449</v>
      </c>
      <c r="E112" s="180">
        <f>+E17</f>
        <v>2415624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333980</v>
      </c>
      <c r="D113" s="180">
        <v>308286</v>
      </c>
      <c r="E113" s="180">
        <v>264153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6171088</v>
      </c>
      <c r="D114" s="180">
        <v>6178082</v>
      </c>
      <c r="E114" s="180">
        <v>6060455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1654302</v>
      </c>
      <c r="D115" s="180">
        <v>1411317</v>
      </c>
      <c r="E115" s="180">
        <v>1344063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15.650840500086856</v>
      </c>
      <c r="D119" s="197">
        <f>IF(+D121=0,0,(+D120)/(+D121))</f>
        <v>16.589814605892251</v>
      </c>
      <c r="E119" s="197">
        <f>IF(+E121=0,0,(+E120)/(+E121))</f>
        <v>17.605111167395847</v>
      </c>
    </row>
    <row r="120" spans="1:8" ht="24" customHeight="1" x14ac:dyDescent="0.25">
      <c r="A120" s="17">
        <v>21</v>
      </c>
      <c r="B120" s="48" t="s">
        <v>381</v>
      </c>
      <c r="C120" s="180">
        <v>96582714</v>
      </c>
      <c r="D120" s="180">
        <v>102493235</v>
      </c>
      <c r="E120" s="180">
        <v>106694984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6171088</v>
      </c>
      <c r="D121" s="180">
        <v>6178082</v>
      </c>
      <c r="E121" s="180">
        <v>6060455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27979</v>
      </c>
      <c r="D124" s="198">
        <v>27425</v>
      </c>
      <c r="E124" s="198">
        <v>25249</v>
      </c>
    </row>
    <row r="125" spans="1:8" ht="24" customHeight="1" x14ac:dyDescent="0.2">
      <c r="A125" s="44">
        <v>2</v>
      </c>
      <c r="B125" s="48" t="s">
        <v>385</v>
      </c>
      <c r="C125" s="198">
        <v>6438</v>
      </c>
      <c r="D125" s="198">
        <v>6512</v>
      </c>
      <c r="E125" s="198">
        <v>6338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4.3459148803976388</v>
      </c>
      <c r="D126" s="199">
        <f>IF(D125=0,0,D124/D125)</f>
        <v>4.2114557739557741</v>
      </c>
      <c r="E126" s="199">
        <f>IF(E125=0,0,E124/E125)</f>
        <v>3.9837488166614072</v>
      </c>
    </row>
    <row r="127" spans="1:8" ht="24" customHeight="1" x14ac:dyDescent="0.2">
      <c r="A127" s="44">
        <v>4</v>
      </c>
      <c r="B127" s="48" t="s">
        <v>387</v>
      </c>
      <c r="C127" s="198">
        <v>81</v>
      </c>
      <c r="D127" s="198">
        <v>81</v>
      </c>
      <c r="E127" s="198">
        <v>75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122</v>
      </c>
      <c r="E128" s="198">
        <v>122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122</v>
      </c>
      <c r="D129" s="198">
        <v>122</v>
      </c>
      <c r="E129" s="198">
        <v>122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0.94630000000000003</v>
      </c>
      <c r="D130" s="171">
        <v>0.92759999999999998</v>
      </c>
      <c r="E130" s="171">
        <v>0.92230000000000001</v>
      </c>
    </row>
    <row r="131" spans="1:8" ht="24" customHeight="1" x14ac:dyDescent="0.2">
      <c r="A131" s="44">
        <v>7</v>
      </c>
      <c r="B131" s="48" t="s">
        <v>391</v>
      </c>
      <c r="C131" s="171">
        <v>0.62829999999999997</v>
      </c>
      <c r="D131" s="171">
        <v>0.61580000000000001</v>
      </c>
      <c r="E131" s="171">
        <v>0.56699999999999995</v>
      </c>
    </row>
    <row r="132" spans="1:8" ht="24" customHeight="1" x14ac:dyDescent="0.2">
      <c r="A132" s="44">
        <v>8</v>
      </c>
      <c r="B132" s="48" t="s">
        <v>392</v>
      </c>
      <c r="C132" s="199">
        <v>713.2</v>
      </c>
      <c r="D132" s="199">
        <v>744.3</v>
      </c>
      <c r="E132" s="199">
        <v>768.4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0.34094311079391731</v>
      </c>
      <c r="D135" s="203">
        <f>IF(D149=0,0,D143/D149)</f>
        <v>0.33312816110170601</v>
      </c>
      <c r="E135" s="203">
        <f>IF(E149=0,0,E143/E149)</f>
        <v>0.32779139683132225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0.44633273079565078</v>
      </c>
      <c r="D136" s="203">
        <f>IF(D149=0,0,D144/D149)</f>
        <v>0.45207337480501386</v>
      </c>
      <c r="E136" s="203">
        <f>IF(E149=0,0,E144/E149)</f>
        <v>0.46160472515436501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0.14829251350125977</v>
      </c>
      <c r="D137" s="203">
        <f>IF(D149=0,0,D145/D149)</f>
        <v>0.1847374128801102</v>
      </c>
      <c r="E137" s="203">
        <f>IF(E149=0,0,E145/E149)</f>
        <v>0.17772839777364957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3.3145244896625334E-2</v>
      </c>
      <c r="D138" s="203">
        <f>IF(D149=0,0,D146/D149)</f>
        <v>1.1168070271448591E-3</v>
      </c>
      <c r="E138" s="203">
        <f>IF(E149=0,0,E146/E149)</f>
        <v>1.1657091883285038E-3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2.5680309962013849E-2</v>
      </c>
      <c r="D139" s="203">
        <f>IF(D149=0,0,D147/D149)</f>
        <v>2.4732871434343998E-2</v>
      </c>
      <c r="E139" s="203">
        <f>IF(E149=0,0,E147/E149)</f>
        <v>2.7462799830795553E-2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5.6060900505329834E-3</v>
      </c>
      <c r="D140" s="203">
        <f>IF(D149=0,0,D148/D149)</f>
        <v>4.2113727516810574E-3</v>
      </c>
      <c r="E140" s="203">
        <f>IF(E149=0,0,E148/E149)</f>
        <v>4.2469712215391225E-3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1.0000000000000002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64173269</v>
      </c>
      <c r="D143" s="205">
        <f>+D46-D147</f>
        <v>69500394</v>
      </c>
      <c r="E143" s="205">
        <f>+E46-E147</f>
        <v>77709316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84009999</v>
      </c>
      <c r="D144" s="205">
        <f>+D51</f>
        <v>94315886</v>
      </c>
      <c r="E144" s="205">
        <f>+E51</f>
        <v>109432364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27912033</v>
      </c>
      <c r="D145" s="205">
        <f>+D55</f>
        <v>38541692</v>
      </c>
      <c r="E145" s="205">
        <f>+E55</f>
        <v>42133968</v>
      </c>
    </row>
    <row r="146" spans="1:7" ht="20.100000000000001" customHeight="1" x14ac:dyDescent="0.2">
      <c r="A146" s="202">
        <v>11</v>
      </c>
      <c r="B146" s="201" t="s">
        <v>404</v>
      </c>
      <c r="C146" s="204">
        <v>6238691</v>
      </c>
      <c r="D146" s="205">
        <v>232999</v>
      </c>
      <c r="E146" s="205">
        <v>276354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4833620</v>
      </c>
      <c r="D147" s="205">
        <f>+D47</f>
        <v>5160009</v>
      </c>
      <c r="E147" s="205">
        <f>+E47</f>
        <v>6510590</v>
      </c>
    </row>
    <row r="148" spans="1:7" ht="20.100000000000001" customHeight="1" x14ac:dyDescent="0.2">
      <c r="A148" s="202">
        <v>13</v>
      </c>
      <c r="B148" s="201" t="s">
        <v>406</v>
      </c>
      <c r="C148" s="206">
        <v>1055194</v>
      </c>
      <c r="D148" s="205">
        <v>878617</v>
      </c>
      <c r="E148" s="205">
        <v>1006827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188222806</v>
      </c>
      <c r="D149" s="205">
        <f>SUM(D143:D148)</f>
        <v>208629597</v>
      </c>
      <c r="E149" s="205">
        <f>SUM(E143:E148)</f>
        <v>237069419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0.3704350091052997</v>
      </c>
      <c r="D152" s="203">
        <f>IF(D166=0,0,D160/D166)</f>
        <v>0.36994302121248096</v>
      </c>
      <c r="E152" s="203">
        <f>IF(E166=0,0,E160/E166)</f>
        <v>0.37655394070701864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0.48165898107864968</v>
      </c>
      <c r="D153" s="203">
        <f>IF(D166=0,0,D161/D166)</f>
        <v>0.47300653665202425</v>
      </c>
      <c r="E153" s="203">
        <f>IF(E166=0,0,E161/E166)</f>
        <v>0.47230622707066811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0.11000604334710429</v>
      </c>
      <c r="D154" s="203">
        <f>IF(D166=0,0,D162/D166)</f>
        <v>0.13845304517764467</v>
      </c>
      <c r="E154" s="203">
        <f>IF(E166=0,0,E162/E166)</f>
        <v>0.13168490409905484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2.1442032227504744E-2</v>
      </c>
      <c r="D155" s="203">
        <f>IF(D166=0,0,D163/D166)</f>
        <v>6.3265951569727171E-4</v>
      </c>
      <c r="E155" s="203">
        <f>IF(E166=0,0,E163/E166)</f>
        <v>6.0363650434871238E-4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1.2165780353845855E-2</v>
      </c>
      <c r="D156" s="203">
        <f>IF(D166=0,0,D164/D166)</f>
        <v>1.3683936211022305E-2</v>
      </c>
      <c r="E156" s="203">
        <f>IF(E166=0,0,E164/E166)</f>
        <v>1.4673329724666664E-2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4.292153887595733E-3</v>
      </c>
      <c r="D157" s="203">
        <f>IF(D166=0,0,D165/D166)</f>
        <v>4.2808012311304914E-3</v>
      </c>
      <c r="E157" s="203">
        <f>IF(E166=0,0,E165/E166)</f>
        <v>4.1779618942430546E-3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37246716</v>
      </c>
      <c r="D160" s="208">
        <f>+D44-D164</f>
        <v>39685901</v>
      </c>
      <c r="E160" s="208">
        <f>+E44-E164</f>
        <v>42544404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48430129</v>
      </c>
      <c r="D161" s="208">
        <f>+D50</f>
        <v>50742113</v>
      </c>
      <c r="E161" s="208">
        <f>+E50</f>
        <v>53362838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11060952</v>
      </c>
      <c r="D162" s="208">
        <f>+D54</f>
        <v>14852649</v>
      </c>
      <c r="E162" s="208">
        <f>+E54</f>
        <v>14878229</v>
      </c>
    </row>
    <row r="163" spans="1:6" ht="20.100000000000001" customHeight="1" x14ac:dyDescent="0.2">
      <c r="A163" s="202">
        <v>11</v>
      </c>
      <c r="B163" s="201" t="s">
        <v>420</v>
      </c>
      <c r="C163" s="207">
        <v>2155966</v>
      </c>
      <c r="D163" s="208">
        <v>67869</v>
      </c>
      <c r="E163" s="208">
        <v>68201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1223252</v>
      </c>
      <c r="D164" s="208">
        <f>+D45</f>
        <v>1467954</v>
      </c>
      <c r="E164" s="208">
        <f>+E45</f>
        <v>1657845</v>
      </c>
    </row>
    <row r="165" spans="1:6" ht="20.100000000000001" customHeight="1" x14ac:dyDescent="0.2">
      <c r="A165" s="202">
        <v>13</v>
      </c>
      <c r="B165" s="201" t="s">
        <v>422</v>
      </c>
      <c r="C165" s="209">
        <v>431570</v>
      </c>
      <c r="D165" s="208">
        <v>459226</v>
      </c>
      <c r="E165" s="208">
        <v>472041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100548585</v>
      </c>
      <c r="D166" s="208">
        <f>SUM(D160:D165)</f>
        <v>107275712</v>
      </c>
      <c r="E166" s="208">
        <f>SUM(E160:E165)</f>
        <v>112983558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1900</v>
      </c>
      <c r="D169" s="198">
        <v>1747</v>
      </c>
      <c r="E169" s="198">
        <v>1720</v>
      </c>
    </row>
    <row r="170" spans="1:6" ht="20.100000000000001" customHeight="1" x14ac:dyDescent="0.2">
      <c r="A170" s="202">
        <v>2</v>
      </c>
      <c r="B170" s="201" t="s">
        <v>426</v>
      </c>
      <c r="C170" s="198">
        <v>3371</v>
      </c>
      <c r="D170" s="198">
        <v>3532</v>
      </c>
      <c r="E170" s="198">
        <v>3482</v>
      </c>
    </row>
    <row r="171" spans="1:6" ht="20.100000000000001" customHeight="1" x14ac:dyDescent="0.2">
      <c r="A171" s="202">
        <v>3</v>
      </c>
      <c r="B171" s="201" t="s">
        <v>427</v>
      </c>
      <c r="C171" s="198">
        <v>1133</v>
      </c>
      <c r="D171" s="198">
        <v>1200</v>
      </c>
      <c r="E171" s="198">
        <v>1105</v>
      </c>
    </row>
    <row r="172" spans="1:6" ht="20.100000000000001" customHeight="1" x14ac:dyDescent="0.2">
      <c r="A172" s="202">
        <v>4</v>
      </c>
      <c r="B172" s="201" t="s">
        <v>428</v>
      </c>
      <c r="C172" s="198">
        <v>935</v>
      </c>
      <c r="D172" s="198">
        <v>1192</v>
      </c>
      <c r="E172" s="198">
        <v>1103</v>
      </c>
    </row>
    <row r="173" spans="1:6" ht="20.100000000000001" customHeight="1" x14ac:dyDescent="0.2">
      <c r="A173" s="202">
        <v>5</v>
      </c>
      <c r="B173" s="201" t="s">
        <v>429</v>
      </c>
      <c r="C173" s="198">
        <v>198</v>
      </c>
      <c r="D173" s="198">
        <v>8</v>
      </c>
      <c r="E173" s="198">
        <v>2</v>
      </c>
    </row>
    <row r="174" spans="1:6" ht="20.100000000000001" customHeight="1" x14ac:dyDescent="0.2">
      <c r="A174" s="202">
        <v>6</v>
      </c>
      <c r="B174" s="201" t="s">
        <v>430</v>
      </c>
      <c r="C174" s="198">
        <v>34</v>
      </c>
      <c r="D174" s="198">
        <v>33</v>
      </c>
      <c r="E174" s="198">
        <v>31</v>
      </c>
    </row>
    <row r="175" spans="1:6" ht="20.100000000000001" customHeight="1" x14ac:dyDescent="0.2">
      <c r="A175" s="202">
        <v>7</v>
      </c>
      <c r="B175" s="201" t="s">
        <v>431</v>
      </c>
      <c r="C175" s="198">
        <v>155</v>
      </c>
      <c r="D175" s="198">
        <v>90</v>
      </c>
      <c r="E175" s="198">
        <v>114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6438</v>
      </c>
      <c r="D176" s="198">
        <f>+D169+D170+D171+D174</f>
        <v>6512</v>
      </c>
      <c r="E176" s="198">
        <f>+E169+E170+E171+E174</f>
        <v>6338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1.1143000000000001</v>
      </c>
      <c r="D179" s="210">
        <v>1.1544000000000001</v>
      </c>
      <c r="E179" s="210">
        <v>1.1603000000000001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1.4221999999999999</v>
      </c>
      <c r="D180" s="210">
        <v>1.4061999999999999</v>
      </c>
      <c r="E180" s="210">
        <v>1.3565</v>
      </c>
    </row>
    <row r="181" spans="1:6" ht="20.100000000000001" customHeight="1" x14ac:dyDescent="0.2">
      <c r="A181" s="202">
        <v>3</v>
      </c>
      <c r="B181" s="201" t="s">
        <v>427</v>
      </c>
      <c r="C181" s="210">
        <v>0.88289799999999996</v>
      </c>
      <c r="D181" s="210">
        <v>0.97322900000000001</v>
      </c>
      <c r="E181" s="210">
        <v>1.008313</v>
      </c>
    </row>
    <row r="182" spans="1:6" ht="20.100000000000001" customHeight="1" x14ac:dyDescent="0.2">
      <c r="A182" s="202">
        <v>4</v>
      </c>
      <c r="B182" s="201" t="s">
        <v>428</v>
      </c>
      <c r="C182" s="210">
        <v>0.8599</v>
      </c>
      <c r="D182" s="210">
        <v>0.97260000000000002</v>
      </c>
      <c r="E182" s="210">
        <v>1.0074000000000001</v>
      </c>
    </row>
    <row r="183" spans="1:6" ht="20.100000000000001" customHeight="1" x14ac:dyDescent="0.2">
      <c r="A183" s="202">
        <v>5</v>
      </c>
      <c r="B183" s="201" t="s">
        <v>429</v>
      </c>
      <c r="C183" s="210">
        <v>0.99150000000000005</v>
      </c>
      <c r="D183" s="210">
        <v>1.0669999999999999</v>
      </c>
      <c r="E183" s="210">
        <v>1.512</v>
      </c>
    </row>
    <row r="184" spans="1:6" ht="20.100000000000001" customHeight="1" x14ac:dyDescent="0.2">
      <c r="A184" s="202">
        <v>6</v>
      </c>
      <c r="B184" s="201" t="s">
        <v>430</v>
      </c>
      <c r="C184" s="210">
        <v>1.2007000000000001</v>
      </c>
      <c r="D184" s="210">
        <v>1.1505000000000001</v>
      </c>
      <c r="E184" s="210">
        <v>1.0644</v>
      </c>
    </row>
    <row r="185" spans="1:6" ht="20.100000000000001" customHeight="1" x14ac:dyDescent="0.2">
      <c r="A185" s="202">
        <v>7</v>
      </c>
      <c r="B185" s="201" t="s">
        <v>431</v>
      </c>
      <c r="C185" s="210">
        <v>0.97219999999999995</v>
      </c>
      <c r="D185" s="210">
        <v>0.97450000000000003</v>
      </c>
      <c r="E185" s="210">
        <v>1.0903</v>
      </c>
    </row>
    <row r="186" spans="1:6" ht="20.100000000000001" customHeight="1" x14ac:dyDescent="0.2">
      <c r="A186" s="202">
        <v>8</v>
      </c>
      <c r="B186" s="201" t="s">
        <v>435</v>
      </c>
      <c r="C186" s="210">
        <v>1.235252</v>
      </c>
      <c r="D186" s="210">
        <v>1.2575670000000001</v>
      </c>
      <c r="E186" s="210">
        <v>1.2411220000000001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4589</v>
      </c>
      <c r="D189" s="198">
        <v>5055</v>
      </c>
      <c r="E189" s="198">
        <v>5066</v>
      </c>
    </row>
    <row r="190" spans="1:6" ht="20.100000000000001" customHeight="1" x14ac:dyDescent="0.2">
      <c r="A190" s="202">
        <v>2</v>
      </c>
      <c r="B190" s="201" t="s">
        <v>439</v>
      </c>
      <c r="C190" s="198">
        <v>34004</v>
      </c>
      <c r="D190" s="198">
        <v>34480</v>
      </c>
      <c r="E190" s="198">
        <v>35812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38593</v>
      </c>
      <c r="D191" s="198">
        <f>+D190+D189</f>
        <v>39535</v>
      </c>
      <c r="E191" s="198">
        <f>+E190+E189</f>
        <v>40878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FILING&amp;RCHARLOTTE HUNGERFORD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112283</v>
      </c>
      <c r="D14" s="237">
        <v>236294</v>
      </c>
      <c r="E14" s="237">
        <f t="shared" ref="E14:E24" si="0">D14-C14</f>
        <v>124011</v>
      </c>
      <c r="F14" s="238">
        <f t="shared" ref="F14:F24" si="1">IF(C14=0,0,E14/C14)</f>
        <v>1.1044503620316521</v>
      </c>
    </row>
    <row r="15" spans="1:7" ht="20.25" customHeight="1" x14ac:dyDescent="0.3">
      <c r="A15" s="235">
        <v>2</v>
      </c>
      <c r="B15" s="236" t="s">
        <v>447</v>
      </c>
      <c r="C15" s="237">
        <v>56369</v>
      </c>
      <c r="D15" s="237">
        <v>111324</v>
      </c>
      <c r="E15" s="237">
        <f t="shared" si="0"/>
        <v>54955</v>
      </c>
      <c r="F15" s="238">
        <f t="shared" si="1"/>
        <v>0.97491529031914703</v>
      </c>
    </row>
    <row r="16" spans="1:7" ht="20.25" customHeight="1" x14ac:dyDescent="0.3">
      <c r="A16" s="235">
        <v>3</v>
      </c>
      <c r="B16" s="236" t="s">
        <v>448</v>
      </c>
      <c r="C16" s="237">
        <v>73096</v>
      </c>
      <c r="D16" s="237">
        <v>245783</v>
      </c>
      <c r="E16" s="237">
        <f t="shared" si="0"/>
        <v>172687</v>
      </c>
      <c r="F16" s="238">
        <f t="shared" si="1"/>
        <v>2.3624685345299334</v>
      </c>
    </row>
    <row r="17" spans="1:6" ht="20.25" customHeight="1" x14ac:dyDescent="0.3">
      <c r="A17" s="235">
        <v>4</v>
      </c>
      <c r="B17" s="236" t="s">
        <v>449</v>
      </c>
      <c r="C17" s="237">
        <v>29994</v>
      </c>
      <c r="D17" s="237">
        <v>74674</v>
      </c>
      <c r="E17" s="237">
        <f t="shared" si="0"/>
        <v>44680</v>
      </c>
      <c r="F17" s="238">
        <f t="shared" si="1"/>
        <v>1.4896312595852503</v>
      </c>
    </row>
    <row r="18" spans="1:6" ht="20.25" customHeight="1" x14ac:dyDescent="0.3">
      <c r="A18" s="235">
        <v>5</v>
      </c>
      <c r="B18" s="236" t="s">
        <v>385</v>
      </c>
      <c r="C18" s="239">
        <v>5</v>
      </c>
      <c r="D18" s="239">
        <v>17</v>
      </c>
      <c r="E18" s="239">
        <f t="shared" si="0"/>
        <v>12</v>
      </c>
      <c r="F18" s="238">
        <f t="shared" si="1"/>
        <v>2.4</v>
      </c>
    </row>
    <row r="19" spans="1:6" ht="20.25" customHeight="1" x14ac:dyDescent="0.3">
      <c r="A19" s="235">
        <v>6</v>
      </c>
      <c r="B19" s="236" t="s">
        <v>384</v>
      </c>
      <c r="C19" s="239">
        <v>21</v>
      </c>
      <c r="D19" s="239">
        <v>70</v>
      </c>
      <c r="E19" s="239">
        <f t="shared" si="0"/>
        <v>49</v>
      </c>
      <c r="F19" s="238">
        <f t="shared" si="1"/>
        <v>2.3333333333333335</v>
      </c>
    </row>
    <row r="20" spans="1:6" ht="20.25" customHeight="1" x14ac:dyDescent="0.3">
      <c r="A20" s="235">
        <v>7</v>
      </c>
      <c r="B20" s="236" t="s">
        <v>450</v>
      </c>
      <c r="C20" s="239">
        <v>130</v>
      </c>
      <c r="D20" s="239">
        <v>472</v>
      </c>
      <c r="E20" s="239">
        <f t="shared" si="0"/>
        <v>342</v>
      </c>
      <c r="F20" s="238">
        <f t="shared" si="1"/>
        <v>2.6307692307692307</v>
      </c>
    </row>
    <row r="21" spans="1:6" ht="20.25" customHeight="1" x14ac:dyDescent="0.3">
      <c r="A21" s="235">
        <v>8</v>
      </c>
      <c r="B21" s="236" t="s">
        <v>451</v>
      </c>
      <c r="C21" s="239">
        <v>22</v>
      </c>
      <c r="D21" s="239">
        <v>39</v>
      </c>
      <c r="E21" s="239">
        <f t="shared" si="0"/>
        <v>17</v>
      </c>
      <c r="F21" s="238">
        <f t="shared" si="1"/>
        <v>0.77272727272727271</v>
      </c>
    </row>
    <row r="22" spans="1:6" ht="20.25" customHeight="1" x14ac:dyDescent="0.3">
      <c r="A22" s="235">
        <v>9</v>
      </c>
      <c r="B22" s="236" t="s">
        <v>452</v>
      </c>
      <c r="C22" s="239">
        <v>4</v>
      </c>
      <c r="D22" s="239">
        <v>17</v>
      </c>
      <c r="E22" s="239">
        <f t="shared" si="0"/>
        <v>13</v>
      </c>
      <c r="F22" s="238">
        <f t="shared" si="1"/>
        <v>3.25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185379</v>
      </c>
      <c r="D23" s="243">
        <f>+D14+D16</f>
        <v>482077</v>
      </c>
      <c r="E23" s="243">
        <f t="shared" si="0"/>
        <v>296698</v>
      </c>
      <c r="F23" s="244">
        <f t="shared" si="1"/>
        <v>1.6004941228510241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86363</v>
      </c>
      <c r="D24" s="243">
        <f>+D15+D17</f>
        <v>185998</v>
      </c>
      <c r="E24" s="243">
        <f t="shared" si="0"/>
        <v>99635</v>
      </c>
      <c r="F24" s="244">
        <f t="shared" si="1"/>
        <v>1.1536769218299503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6436</v>
      </c>
      <c r="D29" s="237">
        <v>0</v>
      </c>
      <c r="E29" s="237">
        <f t="shared" si="2"/>
        <v>-6436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449</v>
      </c>
      <c r="C30" s="237">
        <v>3474</v>
      </c>
      <c r="D30" s="237">
        <v>0</v>
      </c>
      <c r="E30" s="237">
        <f t="shared" si="2"/>
        <v>-3474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8</v>
      </c>
      <c r="D33" s="239">
        <v>0</v>
      </c>
      <c r="E33" s="239">
        <f t="shared" si="2"/>
        <v>-8</v>
      </c>
      <c r="F33" s="238">
        <f t="shared" si="3"/>
        <v>-1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6436</v>
      </c>
      <c r="D36" s="243">
        <f>+D27+D29</f>
        <v>0</v>
      </c>
      <c r="E36" s="243">
        <f t="shared" si="2"/>
        <v>-6436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3474</v>
      </c>
      <c r="D37" s="243">
        <f>+D28+D30</f>
        <v>0</v>
      </c>
      <c r="E37" s="243">
        <f t="shared" si="2"/>
        <v>-3474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1991166</v>
      </c>
      <c r="D40" s="237">
        <v>2887477</v>
      </c>
      <c r="E40" s="237">
        <f t="shared" ref="E40:E50" si="4">D40-C40</f>
        <v>896311</v>
      </c>
      <c r="F40" s="238">
        <f t="shared" ref="F40:F50" si="5">IF(C40=0,0,E40/C40)</f>
        <v>0.45014378509878133</v>
      </c>
    </row>
    <row r="41" spans="1:6" ht="20.25" customHeight="1" x14ac:dyDescent="0.3">
      <c r="A41" s="235">
        <v>2</v>
      </c>
      <c r="B41" s="236" t="s">
        <v>447</v>
      </c>
      <c r="C41" s="237">
        <v>1132326</v>
      </c>
      <c r="D41" s="237">
        <v>1550570</v>
      </c>
      <c r="E41" s="237">
        <f t="shared" si="4"/>
        <v>418244</v>
      </c>
      <c r="F41" s="238">
        <f t="shared" si="5"/>
        <v>0.36936712572174446</v>
      </c>
    </row>
    <row r="42" spans="1:6" ht="20.25" customHeight="1" x14ac:dyDescent="0.3">
      <c r="A42" s="235">
        <v>3</v>
      </c>
      <c r="B42" s="236" t="s">
        <v>448</v>
      </c>
      <c r="C42" s="237">
        <v>2114587</v>
      </c>
      <c r="D42" s="237">
        <v>3597401</v>
      </c>
      <c r="E42" s="237">
        <f t="shared" si="4"/>
        <v>1482814</v>
      </c>
      <c r="F42" s="238">
        <f t="shared" si="5"/>
        <v>0.70123102052552111</v>
      </c>
    </row>
    <row r="43" spans="1:6" ht="20.25" customHeight="1" x14ac:dyDescent="0.3">
      <c r="A43" s="235">
        <v>4</v>
      </c>
      <c r="B43" s="236" t="s">
        <v>449</v>
      </c>
      <c r="C43" s="237">
        <v>728828</v>
      </c>
      <c r="D43" s="237">
        <v>1247567</v>
      </c>
      <c r="E43" s="237">
        <f t="shared" si="4"/>
        <v>518739</v>
      </c>
      <c r="F43" s="238">
        <f t="shared" si="5"/>
        <v>0.71174406032699078</v>
      </c>
    </row>
    <row r="44" spans="1:6" ht="20.25" customHeight="1" x14ac:dyDescent="0.3">
      <c r="A44" s="235">
        <v>5</v>
      </c>
      <c r="B44" s="236" t="s">
        <v>385</v>
      </c>
      <c r="C44" s="239">
        <v>123</v>
      </c>
      <c r="D44" s="239">
        <v>164</v>
      </c>
      <c r="E44" s="239">
        <f t="shared" si="4"/>
        <v>41</v>
      </c>
      <c r="F44" s="238">
        <f t="shared" si="5"/>
        <v>0.33333333333333331</v>
      </c>
    </row>
    <row r="45" spans="1:6" ht="20.25" customHeight="1" x14ac:dyDescent="0.3">
      <c r="A45" s="235">
        <v>6</v>
      </c>
      <c r="B45" s="236" t="s">
        <v>384</v>
      </c>
      <c r="C45" s="239">
        <v>564</v>
      </c>
      <c r="D45" s="239">
        <v>673</v>
      </c>
      <c r="E45" s="239">
        <f t="shared" si="4"/>
        <v>109</v>
      </c>
      <c r="F45" s="238">
        <f t="shared" si="5"/>
        <v>0.19326241134751773</v>
      </c>
    </row>
    <row r="46" spans="1:6" ht="20.25" customHeight="1" x14ac:dyDescent="0.3">
      <c r="A46" s="235">
        <v>7</v>
      </c>
      <c r="B46" s="236" t="s">
        <v>450</v>
      </c>
      <c r="C46" s="239">
        <v>3844</v>
      </c>
      <c r="D46" s="239">
        <v>5403</v>
      </c>
      <c r="E46" s="239">
        <f t="shared" si="4"/>
        <v>1559</v>
      </c>
      <c r="F46" s="238">
        <f t="shared" si="5"/>
        <v>0.40556711758584807</v>
      </c>
    </row>
    <row r="47" spans="1:6" ht="20.25" customHeight="1" x14ac:dyDescent="0.3">
      <c r="A47" s="235">
        <v>8</v>
      </c>
      <c r="B47" s="236" t="s">
        <v>451</v>
      </c>
      <c r="C47" s="239">
        <v>305</v>
      </c>
      <c r="D47" s="239">
        <v>409</v>
      </c>
      <c r="E47" s="239">
        <f t="shared" si="4"/>
        <v>104</v>
      </c>
      <c r="F47" s="238">
        <f t="shared" si="5"/>
        <v>0.34098360655737703</v>
      </c>
    </row>
    <row r="48" spans="1:6" ht="20.25" customHeight="1" x14ac:dyDescent="0.3">
      <c r="A48" s="235">
        <v>9</v>
      </c>
      <c r="B48" s="236" t="s">
        <v>452</v>
      </c>
      <c r="C48" s="239">
        <v>98</v>
      </c>
      <c r="D48" s="239">
        <v>133</v>
      </c>
      <c r="E48" s="239">
        <f t="shared" si="4"/>
        <v>35</v>
      </c>
      <c r="F48" s="238">
        <f t="shared" si="5"/>
        <v>0.35714285714285715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4105753</v>
      </c>
      <c r="D49" s="243">
        <f>+D40+D42</f>
        <v>6484878</v>
      </c>
      <c r="E49" s="243">
        <f t="shared" si="4"/>
        <v>2379125</v>
      </c>
      <c r="F49" s="244">
        <f t="shared" si="5"/>
        <v>0.57946130709762622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1861154</v>
      </c>
      <c r="D50" s="243">
        <f>+D41+D43</f>
        <v>2798137</v>
      </c>
      <c r="E50" s="243">
        <f t="shared" si="4"/>
        <v>936983</v>
      </c>
      <c r="F50" s="244">
        <f t="shared" si="5"/>
        <v>0.50344195053176688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227216</v>
      </c>
      <c r="D53" s="237">
        <v>0</v>
      </c>
      <c r="E53" s="237">
        <f t="shared" ref="E53:E63" si="6">D53-C53</f>
        <v>-227216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156424</v>
      </c>
      <c r="D54" s="237">
        <v>0</v>
      </c>
      <c r="E54" s="237">
        <f t="shared" si="6"/>
        <v>-156424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327751</v>
      </c>
      <c r="D55" s="237">
        <v>0</v>
      </c>
      <c r="E55" s="237">
        <f t="shared" si="6"/>
        <v>-327751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142194</v>
      </c>
      <c r="D56" s="237">
        <v>0</v>
      </c>
      <c r="E56" s="237">
        <f t="shared" si="6"/>
        <v>-142194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15</v>
      </c>
      <c r="D57" s="239">
        <v>0</v>
      </c>
      <c r="E57" s="239">
        <f t="shared" si="6"/>
        <v>-15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78</v>
      </c>
      <c r="D58" s="239">
        <v>0</v>
      </c>
      <c r="E58" s="239">
        <f t="shared" si="6"/>
        <v>-78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441</v>
      </c>
      <c r="D59" s="239">
        <v>0</v>
      </c>
      <c r="E59" s="239">
        <f t="shared" si="6"/>
        <v>-441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42</v>
      </c>
      <c r="D60" s="239">
        <v>0</v>
      </c>
      <c r="E60" s="239">
        <f t="shared" si="6"/>
        <v>-42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13</v>
      </c>
      <c r="D61" s="239">
        <v>0</v>
      </c>
      <c r="E61" s="239">
        <f t="shared" si="6"/>
        <v>-13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554967</v>
      </c>
      <c r="D62" s="243">
        <f>+D53+D55</f>
        <v>0</v>
      </c>
      <c r="E62" s="243">
        <f t="shared" si="6"/>
        <v>-554967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298618</v>
      </c>
      <c r="D63" s="243">
        <f>+D54+D56</f>
        <v>0</v>
      </c>
      <c r="E63" s="243">
        <f t="shared" si="6"/>
        <v>-298618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17760</v>
      </c>
      <c r="D66" s="237">
        <v>85793</v>
      </c>
      <c r="E66" s="237">
        <f t="shared" ref="E66:E76" si="8">D66-C66</f>
        <v>68033</v>
      </c>
      <c r="F66" s="238">
        <f t="shared" ref="F66:F76" si="9">IF(C66=0,0,E66/C66)</f>
        <v>3.830686936936937</v>
      </c>
    </row>
    <row r="67" spans="1:6" ht="20.25" customHeight="1" x14ac:dyDescent="0.3">
      <c r="A67" s="235">
        <v>2</v>
      </c>
      <c r="B67" s="236" t="s">
        <v>447</v>
      </c>
      <c r="C67" s="237">
        <v>9706</v>
      </c>
      <c r="D67" s="237">
        <v>52677</v>
      </c>
      <c r="E67" s="237">
        <f t="shared" si="8"/>
        <v>42971</v>
      </c>
      <c r="F67" s="238">
        <f t="shared" si="9"/>
        <v>4.4272614877395426</v>
      </c>
    </row>
    <row r="68" spans="1:6" ht="20.25" customHeight="1" x14ac:dyDescent="0.3">
      <c r="A68" s="235">
        <v>3</v>
      </c>
      <c r="B68" s="236" t="s">
        <v>448</v>
      </c>
      <c r="C68" s="237">
        <v>22090</v>
      </c>
      <c r="D68" s="237">
        <v>47539</v>
      </c>
      <c r="E68" s="237">
        <f t="shared" si="8"/>
        <v>25449</v>
      </c>
      <c r="F68" s="238">
        <f t="shared" si="9"/>
        <v>1.1520597555454957</v>
      </c>
    </row>
    <row r="69" spans="1:6" ht="20.25" customHeight="1" x14ac:dyDescent="0.3">
      <c r="A69" s="235">
        <v>4</v>
      </c>
      <c r="B69" s="236" t="s">
        <v>449</v>
      </c>
      <c r="C69" s="237">
        <v>8521</v>
      </c>
      <c r="D69" s="237">
        <v>10120</v>
      </c>
      <c r="E69" s="237">
        <f t="shared" si="8"/>
        <v>1599</v>
      </c>
      <c r="F69" s="238">
        <f t="shared" si="9"/>
        <v>0.18765403121699331</v>
      </c>
    </row>
    <row r="70" spans="1:6" ht="20.25" customHeight="1" x14ac:dyDescent="0.3">
      <c r="A70" s="235">
        <v>5</v>
      </c>
      <c r="B70" s="236" t="s">
        <v>385</v>
      </c>
      <c r="C70" s="239">
        <v>1</v>
      </c>
      <c r="D70" s="239">
        <v>5</v>
      </c>
      <c r="E70" s="239">
        <f t="shared" si="8"/>
        <v>4</v>
      </c>
      <c r="F70" s="238">
        <f t="shared" si="9"/>
        <v>4</v>
      </c>
    </row>
    <row r="71" spans="1:6" ht="20.25" customHeight="1" x14ac:dyDescent="0.3">
      <c r="A71" s="235">
        <v>6</v>
      </c>
      <c r="B71" s="236" t="s">
        <v>384</v>
      </c>
      <c r="C71" s="239">
        <v>8</v>
      </c>
      <c r="D71" s="239">
        <v>24</v>
      </c>
      <c r="E71" s="239">
        <f t="shared" si="8"/>
        <v>16</v>
      </c>
      <c r="F71" s="238">
        <f t="shared" si="9"/>
        <v>2</v>
      </c>
    </row>
    <row r="72" spans="1:6" ht="20.25" customHeight="1" x14ac:dyDescent="0.3">
      <c r="A72" s="235">
        <v>7</v>
      </c>
      <c r="B72" s="236" t="s">
        <v>450</v>
      </c>
      <c r="C72" s="239">
        <v>35</v>
      </c>
      <c r="D72" s="239">
        <v>51</v>
      </c>
      <c r="E72" s="239">
        <f t="shared" si="8"/>
        <v>16</v>
      </c>
      <c r="F72" s="238">
        <f t="shared" si="9"/>
        <v>0.45714285714285713</v>
      </c>
    </row>
    <row r="73" spans="1:6" ht="20.25" customHeight="1" x14ac:dyDescent="0.3">
      <c r="A73" s="235">
        <v>8</v>
      </c>
      <c r="B73" s="236" t="s">
        <v>451</v>
      </c>
      <c r="C73" s="239">
        <v>11</v>
      </c>
      <c r="D73" s="239">
        <v>18</v>
      </c>
      <c r="E73" s="239">
        <f t="shared" si="8"/>
        <v>7</v>
      </c>
      <c r="F73" s="238">
        <f t="shared" si="9"/>
        <v>0.63636363636363635</v>
      </c>
    </row>
    <row r="74" spans="1:6" ht="20.25" customHeight="1" x14ac:dyDescent="0.3">
      <c r="A74" s="235">
        <v>9</v>
      </c>
      <c r="B74" s="236" t="s">
        <v>452</v>
      </c>
      <c r="C74" s="239">
        <v>1</v>
      </c>
      <c r="D74" s="239">
        <v>4</v>
      </c>
      <c r="E74" s="239">
        <f t="shared" si="8"/>
        <v>3</v>
      </c>
      <c r="F74" s="238">
        <f t="shared" si="9"/>
        <v>3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39850</v>
      </c>
      <c r="D75" s="243">
        <f>+D66+D68</f>
        <v>133332</v>
      </c>
      <c r="E75" s="243">
        <f t="shared" si="8"/>
        <v>93482</v>
      </c>
      <c r="F75" s="244">
        <f t="shared" si="9"/>
        <v>2.3458469259723964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18227</v>
      </c>
      <c r="D76" s="243">
        <f>+D67+D69</f>
        <v>62797</v>
      </c>
      <c r="E76" s="243">
        <f t="shared" si="8"/>
        <v>44570</v>
      </c>
      <c r="F76" s="244">
        <f t="shared" si="9"/>
        <v>2.4452734953640203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6514</v>
      </c>
      <c r="D79" s="237">
        <v>0</v>
      </c>
      <c r="E79" s="237">
        <f t="shared" ref="E79:E89" si="10">D79-C79</f>
        <v>-6514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447</v>
      </c>
      <c r="C80" s="237">
        <v>3891</v>
      </c>
      <c r="D80" s="237">
        <v>0</v>
      </c>
      <c r="E80" s="237">
        <f t="shared" si="10"/>
        <v>-3891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448</v>
      </c>
      <c r="C81" s="237">
        <v>9613</v>
      </c>
      <c r="D81" s="237">
        <v>779</v>
      </c>
      <c r="E81" s="237">
        <f t="shared" si="10"/>
        <v>-8834</v>
      </c>
      <c r="F81" s="238">
        <f t="shared" si="11"/>
        <v>-0.91896390304795594</v>
      </c>
    </row>
    <row r="82" spans="1:6" ht="20.25" customHeight="1" x14ac:dyDescent="0.3">
      <c r="A82" s="235">
        <v>4</v>
      </c>
      <c r="B82" s="236" t="s">
        <v>449</v>
      </c>
      <c r="C82" s="237">
        <v>1842</v>
      </c>
      <c r="D82" s="237">
        <v>295</v>
      </c>
      <c r="E82" s="237">
        <f t="shared" si="10"/>
        <v>-1547</v>
      </c>
      <c r="F82" s="238">
        <f t="shared" si="11"/>
        <v>-0.8398479913137894</v>
      </c>
    </row>
    <row r="83" spans="1:6" ht="20.25" customHeight="1" x14ac:dyDescent="0.3">
      <c r="A83" s="235">
        <v>5</v>
      </c>
      <c r="B83" s="236" t="s">
        <v>385</v>
      </c>
      <c r="C83" s="239">
        <v>1</v>
      </c>
      <c r="D83" s="239">
        <v>0</v>
      </c>
      <c r="E83" s="239">
        <f t="shared" si="10"/>
        <v>-1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384</v>
      </c>
      <c r="C84" s="239">
        <v>1</v>
      </c>
      <c r="D84" s="239">
        <v>0</v>
      </c>
      <c r="E84" s="239">
        <f t="shared" si="10"/>
        <v>-1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450</v>
      </c>
      <c r="C85" s="239">
        <v>12</v>
      </c>
      <c r="D85" s="239">
        <v>3</v>
      </c>
      <c r="E85" s="239">
        <f t="shared" si="10"/>
        <v>-9</v>
      </c>
      <c r="F85" s="238">
        <f t="shared" si="11"/>
        <v>-0.75</v>
      </c>
    </row>
    <row r="86" spans="1:6" ht="20.25" customHeight="1" x14ac:dyDescent="0.3">
      <c r="A86" s="235">
        <v>8</v>
      </c>
      <c r="B86" s="236" t="s">
        <v>451</v>
      </c>
      <c r="C86" s="239">
        <v>2</v>
      </c>
      <c r="D86" s="239">
        <v>0</v>
      </c>
      <c r="E86" s="239">
        <f t="shared" si="10"/>
        <v>-2</v>
      </c>
      <c r="F86" s="238">
        <f t="shared" si="11"/>
        <v>-1</v>
      </c>
    </row>
    <row r="87" spans="1:6" ht="20.25" customHeight="1" x14ac:dyDescent="0.3">
      <c r="A87" s="235">
        <v>9</v>
      </c>
      <c r="B87" s="236" t="s">
        <v>452</v>
      </c>
      <c r="C87" s="239">
        <v>1</v>
      </c>
      <c r="D87" s="239">
        <v>0</v>
      </c>
      <c r="E87" s="239">
        <f t="shared" si="10"/>
        <v>-1</v>
      </c>
      <c r="F87" s="238">
        <f t="shared" si="11"/>
        <v>-1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16127</v>
      </c>
      <c r="D88" s="243">
        <f>+D79+D81</f>
        <v>779</v>
      </c>
      <c r="E88" s="243">
        <f t="shared" si="10"/>
        <v>-15348</v>
      </c>
      <c r="F88" s="244">
        <f t="shared" si="11"/>
        <v>-0.9516959136851243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5733</v>
      </c>
      <c r="D89" s="243">
        <f>+D80+D82</f>
        <v>295</v>
      </c>
      <c r="E89" s="243">
        <f t="shared" si="10"/>
        <v>-5438</v>
      </c>
      <c r="F89" s="244">
        <f t="shared" si="11"/>
        <v>-0.94854351997209141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1034520</v>
      </c>
      <c r="D92" s="237">
        <v>1318395</v>
      </c>
      <c r="E92" s="237">
        <f t="shared" ref="E92:E102" si="12">D92-C92</f>
        <v>283875</v>
      </c>
      <c r="F92" s="238">
        <f t="shared" ref="F92:F102" si="13">IF(C92=0,0,E92/C92)</f>
        <v>0.27440262150562578</v>
      </c>
    </row>
    <row r="93" spans="1:6" ht="20.25" customHeight="1" x14ac:dyDescent="0.3">
      <c r="A93" s="235">
        <v>2</v>
      </c>
      <c r="B93" s="236" t="s">
        <v>447</v>
      </c>
      <c r="C93" s="237">
        <v>575860</v>
      </c>
      <c r="D93" s="237">
        <v>708239</v>
      </c>
      <c r="E93" s="237">
        <f t="shared" si="12"/>
        <v>132379</v>
      </c>
      <c r="F93" s="238">
        <f t="shared" si="13"/>
        <v>0.22988052651686175</v>
      </c>
    </row>
    <row r="94" spans="1:6" ht="20.25" customHeight="1" x14ac:dyDescent="0.3">
      <c r="A94" s="235">
        <v>3</v>
      </c>
      <c r="B94" s="236" t="s">
        <v>448</v>
      </c>
      <c r="C94" s="237">
        <v>1306292</v>
      </c>
      <c r="D94" s="237">
        <v>2028879</v>
      </c>
      <c r="E94" s="237">
        <f t="shared" si="12"/>
        <v>722587</v>
      </c>
      <c r="F94" s="238">
        <f t="shared" si="13"/>
        <v>0.55315886493984501</v>
      </c>
    </row>
    <row r="95" spans="1:6" ht="20.25" customHeight="1" x14ac:dyDescent="0.3">
      <c r="A95" s="235">
        <v>4</v>
      </c>
      <c r="B95" s="236" t="s">
        <v>449</v>
      </c>
      <c r="C95" s="237">
        <v>440544</v>
      </c>
      <c r="D95" s="237">
        <v>727090</v>
      </c>
      <c r="E95" s="237">
        <f t="shared" si="12"/>
        <v>286546</v>
      </c>
      <c r="F95" s="238">
        <f t="shared" si="13"/>
        <v>0.65043673276676106</v>
      </c>
    </row>
    <row r="96" spans="1:6" ht="20.25" customHeight="1" x14ac:dyDescent="0.3">
      <c r="A96" s="235">
        <v>5</v>
      </c>
      <c r="B96" s="236" t="s">
        <v>385</v>
      </c>
      <c r="C96" s="239">
        <v>81</v>
      </c>
      <c r="D96" s="239">
        <v>86</v>
      </c>
      <c r="E96" s="239">
        <f t="shared" si="12"/>
        <v>5</v>
      </c>
      <c r="F96" s="238">
        <f t="shared" si="13"/>
        <v>6.1728395061728392E-2</v>
      </c>
    </row>
    <row r="97" spans="1:6" ht="20.25" customHeight="1" x14ac:dyDescent="0.3">
      <c r="A97" s="235">
        <v>6</v>
      </c>
      <c r="B97" s="236" t="s">
        <v>384</v>
      </c>
      <c r="C97" s="239">
        <v>318</v>
      </c>
      <c r="D97" s="239">
        <v>369</v>
      </c>
      <c r="E97" s="239">
        <f t="shared" si="12"/>
        <v>51</v>
      </c>
      <c r="F97" s="238">
        <f t="shared" si="13"/>
        <v>0.16037735849056603</v>
      </c>
    </row>
    <row r="98" spans="1:6" ht="20.25" customHeight="1" x14ac:dyDescent="0.3">
      <c r="A98" s="235">
        <v>7</v>
      </c>
      <c r="B98" s="236" t="s">
        <v>450</v>
      </c>
      <c r="C98" s="239">
        <v>1860</v>
      </c>
      <c r="D98" s="239">
        <v>2631</v>
      </c>
      <c r="E98" s="239">
        <f t="shared" si="12"/>
        <v>771</v>
      </c>
      <c r="F98" s="238">
        <f t="shared" si="13"/>
        <v>0.41451612903225804</v>
      </c>
    </row>
    <row r="99" spans="1:6" ht="20.25" customHeight="1" x14ac:dyDescent="0.3">
      <c r="A99" s="235">
        <v>8</v>
      </c>
      <c r="B99" s="236" t="s">
        <v>451</v>
      </c>
      <c r="C99" s="239">
        <v>180</v>
      </c>
      <c r="D99" s="239">
        <v>310</v>
      </c>
      <c r="E99" s="239">
        <f t="shared" si="12"/>
        <v>130</v>
      </c>
      <c r="F99" s="238">
        <f t="shared" si="13"/>
        <v>0.72222222222222221</v>
      </c>
    </row>
    <row r="100" spans="1:6" ht="20.25" customHeight="1" x14ac:dyDescent="0.3">
      <c r="A100" s="235">
        <v>9</v>
      </c>
      <c r="B100" s="236" t="s">
        <v>452</v>
      </c>
      <c r="C100" s="239">
        <v>73</v>
      </c>
      <c r="D100" s="239">
        <v>75</v>
      </c>
      <c r="E100" s="239">
        <f t="shared" si="12"/>
        <v>2</v>
      </c>
      <c r="F100" s="238">
        <f t="shared" si="13"/>
        <v>2.7397260273972601E-2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2340812</v>
      </c>
      <c r="D101" s="243">
        <f>+D92+D94</f>
        <v>3347274</v>
      </c>
      <c r="E101" s="243">
        <f t="shared" si="12"/>
        <v>1006462</v>
      </c>
      <c r="F101" s="244">
        <f t="shared" si="13"/>
        <v>0.4299627650575954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1016404</v>
      </c>
      <c r="D102" s="243">
        <f>+D93+D95</f>
        <v>1435329</v>
      </c>
      <c r="E102" s="243">
        <f t="shared" si="12"/>
        <v>418925</v>
      </c>
      <c r="F102" s="244">
        <f t="shared" si="13"/>
        <v>0.41216386397534838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11270</v>
      </c>
      <c r="D105" s="237">
        <v>0</v>
      </c>
      <c r="E105" s="237">
        <f t="shared" ref="E105:E115" si="14">D105-C105</f>
        <v>-11270</v>
      </c>
      <c r="F105" s="238">
        <f t="shared" ref="F105:F115" si="15">IF(C105=0,0,E105/C105)</f>
        <v>-1</v>
      </c>
    </row>
    <row r="106" spans="1:6" ht="20.25" customHeight="1" x14ac:dyDescent="0.3">
      <c r="A106" s="235">
        <v>2</v>
      </c>
      <c r="B106" s="236" t="s">
        <v>447</v>
      </c>
      <c r="C106" s="237">
        <v>7270</v>
      </c>
      <c r="D106" s="237">
        <v>0</v>
      </c>
      <c r="E106" s="237">
        <f t="shared" si="14"/>
        <v>-7270</v>
      </c>
      <c r="F106" s="238">
        <f t="shared" si="15"/>
        <v>-1</v>
      </c>
    </row>
    <row r="107" spans="1:6" ht="20.25" customHeight="1" x14ac:dyDescent="0.3">
      <c r="A107" s="235">
        <v>3</v>
      </c>
      <c r="B107" s="236" t="s">
        <v>448</v>
      </c>
      <c r="C107" s="237">
        <v>13529</v>
      </c>
      <c r="D107" s="237">
        <v>6177</v>
      </c>
      <c r="E107" s="237">
        <f t="shared" si="14"/>
        <v>-7352</v>
      </c>
      <c r="F107" s="238">
        <f t="shared" si="15"/>
        <v>-0.54342523468105552</v>
      </c>
    </row>
    <row r="108" spans="1:6" ht="20.25" customHeight="1" x14ac:dyDescent="0.3">
      <c r="A108" s="235">
        <v>4</v>
      </c>
      <c r="B108" s="236" t="s">
        <v>449</v>
      </c>
      <c r="C108" s="237">
        <v>2944</v>
      </c>
      <c r="D108" s="237">
        <v>2733</v>
      </c>
      <c r="E108" s="237">
        <f t="shared" si="14"/>
        <v>-211</v>
      </c>
      <c r="F108" s="238">
        <f t="shared" si="15"/>
        <v>-7.1671195652173919E-2</v>
      </c>
    </row>
    <row r="109" spans="1:6" ht="20.25" customHeight="1" x14ac:dyDescent="0.3">
      <c r="A109" s="235">
        <v>5</v>
      </c>
      <c r="B109" s="236" t="s">
        <v>385</v>
      </c>
      <c r="C109" s="239">
        <v>2</v>
      </c>
      <c r="D109" s="239">
        <v>0</v>
      </c>
      <c r="E109" s="239">
        <f t="shared" si="14"/>
        <v>-2</v>
      </c>
      <c r="F109" s="238">
        <f t="shared" si="15"/>
        <v>-1</v>
      </c>
    </row>
    <row r="110" spans="1:6" ht="20.25" customHeight="1" x14ac:dyDescent="0.3">
      <c r="A110" s="235">
        <v>6</v>
      </c>
      <c r="B110" s="236" t="s">
        <v>384</v>
      </c>
      <c r="C110" s="239">
        <v>4</v>
      </c>
      <c r="D110" s="239">
        <v>0</v>
      </c>
      <c r="E110" s="239">
        <f t="shared" si="14"/>
        <v>-4</v>
      </c>
      <c r="F110" s="238">
        <f t="shared" si="15"/>
        <v>-1</v>
      </c>
    </row>
    <row r="111" spans="1:6" ht="20.25" customHeight="1" x14ac:dyDescent="0.3">
      <c r="A111" s="235">
        <v>7</v>
      </c>
      <c r="B111" s="236" t="s">
        <v>450</v>
      </c>
      <c r="C111" s="239">
        <v>18</v>
      </c>
      <c r="D111" s="239">
        <v>3</v>
      </c>
      <c r="E111" s="239">
        <f t="shared" si="14"/>
        <v>-15</v>
      </c>
      <c r="F111" s="238">
        <f t="shared" si="15"/>
        <v>-0.83333333333333337</v>
      </c>
    </row>
    <row r="112" spans="1:6" ht="20.25" customHeight="1" x14ac:dyDescent="0.3">
      <c r="A112" s="235">
        <v>8</v>
      </c>
      <c r="B112" s="236" t="s">
        <v>451</v>
      </c>
      <c r="C112" s="239">
        <v>5</v>
      </c>
      <c r="D112" s="239">
        <v>1</v>
      </c>
      <c r="E112" s="239">
        <f t="shared" si="14"/>
        <v>-4</v>
      </c>
      <c r="F112" s="238">
        <f t="shared" si="15"/>
        <v>-0.8</v>
      </c>
    </row>
    <row r="113" spans="1:6" ht="20.25" customHeight="1" x14ac:dyDescent="0.3">
      <c r="A113" s="235">
        <v>9</v>
      </c>
      <c r="B113" s="236" t="s">
        <v>452</v>
      </c>
      <c r="C113" s="239">
        <v>2</v>
      </c>
      <c r="D113" s="239">
        <v>0</v>
      </c>
      <c r="E113" s="239">
        <f t="shared" si="14"/>
        <v>-2</v>
      </c>
      <c r="F113" s="238">
        <f t="shared" si="15"/>
        <v>-1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24799</v>
      </c>
      <c r="D114" s="243">
        <f>+D105+D107</f>
        <v>6177</v>
      </c>
      <c r="E114" s="243">
        <f t="shared" si="14"/>
        <v>-18622</v>
      </c>
      <c r="F114" s="244">
        <f t="shared" si="15"/>
        <v>-0.75091737570063311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10214</v>
      </c>
      <c r="D115" s="243">
        <f>+D106+D108</f>
        <v>2733</v>
      </c>
      <c r="E115" s="243">
        <f t="shared" si="14"/>
        <v>-7481</v>
      </c>
      <c r="F115" s="244">
        <f t="shared" si="15"/>
        <v>-0.73242608184844327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808197</v>
      </c>
      <c r="D118" s="237">
        <v>766342</v>
      </c>
      <c r="E118" s="237">
        <f t="shared" ref="E118:E128" si="16">D118-C118</f>
        <v>-41855</v>
      </c>
      <c r="F118" s="238">
        <f t="shared" ref="F118:F128" si="17">IF(C118=0,0,E118/C118)</f>
        <v>-5.1788116016268308E-2</v>
      </c>
    </row>
    <row r="119" spans="1:6" ht="20.25" customHeight="1" x14ac:dyDescent="0.3">
      <c r="A119" s="235">
        <v>2</v>
      </c>
      <c r="B119" s="236" t="s">
        <v>447</v>
      </c>
      <c r="C119" s="237">
        <v>579236</v>
      </c>
      <c r="D119" s="237">
        <v>507993</v>
      </c>
      <c r="E119" s="237">
        <f t="shared" si="16"/>
        <v>-71243</v>
      </c>
      <c r="F119" s="238">
        <f t="shared" si="17"/>
        <v>-0.12299477242436589</v>
      </c>
    </row>
    <row r="120" spans="1:6" ht="20.25" customHeight="1" x14ac:dyDescent="0.3">
      <c r="A120" s="235">
        <v>3</v>
      </c>
      <c r="B120" s="236" t="s">
        <v>448</v>
      </c>
      <c r="C120" s="237">
        <v>1038394</v>
      </c>
      <c r="D120" s="237">
        <v>1128387</v>
      </c>
      <c r="E120" s="237">
        <f t="shared" si="16"/>
        <v>89993</v>
      </c>
      <c r="F120" s="238">
        <f t="shared" si="17"/>
        <v>8.6665562397317403E-2</v>
      </c>
    </row>
    <row r="121" spans="1:6" ht="20.25" customHeight="1" x14ac:dyDescent="0.3">
      <c r="A121" s="235">
        <v>4</v>
      </c>
      <c r="B121" s="236" t="s">
        <v>449</v>
      </c>
      <c r="C121" s="237">
        <v>421132</v>
      </c>
      <c r="D121" s="237">
        <v>420967</v>
      </c>
      <c r="E121" s="237">
        <f t="shared" si="16"/>
        <v>-165</v>
      </c>
      <c r="F121" s="238">
        <f t="shared" si="17"/>
        <v>-3.9180114548407623E-4</v>
      </c>
    </row>
    <row r="122" spans="1:6" ht="20.25" customHeight="1" x14ac:dyDescent="0.3">
      <c r="A122" s="235">
        <v>5</v>
      </c>
      <c r="B122" s="236" t="s">
        <v>385</v>
      </c>
      <c r="C122" s="239">
        <v>64</v>
      </c>
      <c r="D122" s="239">
        <v>47</v>
      </c>
      <c r="E122" s="239">
        <f t="shared" si="16"/>
        <v>-17</v>
      </c>
      <c r="F122" s="238">
        <f t="shared" si="17"/>
        <v>-0.265625</v>
      </c>
    </row>
    <row r="123" spans="1:6" ht="20.25" customHeight="1" x14ac:dyDescent="0.3">
      <c r="A123" s="235">
        <v>6</v>
      </c>
      <c r="B123" s="236" t="s">
        <v>384</v>
      </c>
      <c r="C123" s="239">
        <v>233</v>
      </c>
      <c r="D123" s="239">
        <v>208</v>
      </c>
      <c r="E123" s="239">
        <f t="shared" si="16"/>
        <v>-25</v>
      </c>
      <c r="F123" s="238">
        <f t="shared" si="17"/>
        <v>-0.1072961373390558</v>
      </c>
    </row>
    <row r="124" spans="1:6" ht="20.25" customHeight="1" x14ac:dyDescent="0.3">
      <c r="A124" s="235">
        <v>7</v>
      </c>
      <c r="B124" s="236" t="s">
        <v>450</v>
      </c>
      <c r="C124" s="239">
        <v>1443</v>
      </c>
      <c r="D124" s="239">
        <v>1829</v>
      </c>
      <c r="E124" s="239">
        <f t="shared" si="16"/>
        <v>386</v>
      </c>
      <c r="F124" s="238">
        <f t="shared" si="17"/>
        <v>0.26749826749826749</v>
      </c>
    </row>
    <row r="125" spans="1:6" ht="20.25" customHeight="1" x14ac:dyDescent="0.3">
      <c r="A125" s="235">
        <v>8</v>
      </c>
      <c r="B125" s="236" t="s">
        <v>451</v>
      </c>
      <c r="C125" s="239">
        <v>123</v>
      </c>
      <c r="D125" s="239">
        <v>138</v>
      </c>
      <c r="E125" s="239">
        <f t="shared" si="16"/>
        <v>15</v>
      </c>
      <c r="F125" s="238">
        <f t="shared" si="17"/>
        <v>0.12195121951219512</v>
      </c>
    </row>
    <row r="126" spans="1:6" ht="20.25" customHeight="1" x14ac:dyDescent="0.3">
      <c r="A126" s="235">
        <v>9</v>
      </c>
      <c r="B126" s="236" t="s">
        <v>452</v>
      </c>
      <c r="C126" s="239">
        <v>57</v>
      </c>
      <c r="D126" s="239">
        <v>46</v>
      </c>
      <c r="E126" s="239">
        <f t="shared" si="16"/>
        <v>-11</v>
      </c>
      <c r="F126" s="238">
        <f t="shared" si="17"/>
        <v>-0.19298245614035087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1846591</v>
      </c>
      <c r="D127" s="243">
        <f>+D118+D120</f>
        <v>1894729</v>
      </c>
      <c r="E127" s="243">
        <f t="shared" si="16"/>
        <v>48138</v>
      </c>
      <c r="F127" s="244">
        <f t="shared" si="17"/>
        <v>2.6068577178162355E-2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1000368</v>
      </c>
      <c r="D128" s="243">
        <f>+D119+D121</f>
        <v>928960</v>
      </c>
      <c r="E128" s="243">
        <f t="shared" si="16"/>
        <v>-71408</v>
      </c>
      <c r="F128" s="244">
        <f t="shared" si="17"/>
        <v>-7.1381731522799613E-2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21031</v>
      </c>
      <c r="D131" s="237">
        <v>0</v>
      </c>
      <c r="E131" s="237">
        <f t="shared" ref="E131:E141" si="18">D131-C131</f>
        <v>-21031</v>
      </c>
      <c r="F131" s="238">
        <f t="shared" ref="F131:F141" si="19">IF(C131=0,0,E131/C131)</f>
        <v>-1</v>
      </c>
    </row>
    <row r="132" spans="1:6" ht="20.25" customHeight="1" x14ac:dyDescent="0.3">
      <c r="A132" s="235">
        <v>2</v>
      </c>
      <c r="B132" s="236" t="s">
        <v>447</v>
      </c>
      <c r="C132" s="237">
        <v>11660</v>
      </c>
      <c r="D132" s="237">
        <v>0</v>
      </c>
      <c r="E132" s="237">
        <f t="shared" si="18"/>
        <v>-11660</v>
      </c>
      <c r="F132" s="238">
        <f t="shared" si="19"/>
        <v>-1</v>
      </c>
    </row>
    <row r="133" spans="1:6" ht="20.25" customHeight="1" x14ac:dyDescent="0.3">
      <c r="A133" s="235">
        <v>3</v>
      </c>
      <c r="B133" s="236" t="s">
        <v>448</v>
      </c>
      <c r="C133" s="237">
        <v>2644</v>
      </c>
      <c r="D133" s="237">
        <v>41976</v>
      </c>
      <c r="E133" s="237">
        <f t="shared" si="18"/>
        <v>39332</v>
      </c>
      <c r="F133" s="238">
        <f t="shared" si="19"/>
        <v>14.875945537065054</v>
      </c>
    </row>
    <row r="134" spans="1:6" ht="20.25" customHeight="1" x14ac:dyDescent="0.3">
      <c r="A134" s="235">
        <v>4</v>
      </c>
      <c r="B134" s="236" t="s">
        <v>449</v>
      </c>
      <c r="C134" s="237">
        <v>1286</v>
      </c>
      <c r="D134" s="237">
        <v>11301</v>
      </c>
      <c r="E134" s="237">
        <f t="shared" si="18"/>
        <v>10015</v>
      </c>
      <c r="F134" s="238">
        <f t="shared" si="19"/>
        <v>7.7877138413685847</v>
      </c>
    </row>
    <row r="135" spans="1:6" ht="20.25" customHeight="1" x14ac:dyDescent="0.3">
      <c r="A135" s="235">
        <v>5</v>
      </c>
      <c r="B135" s="236" t="s">
        <v>385</v>
      </c>
      <c r="C135" s="239">
        <v>2</v>
      </c>
      <c r="D135" s="239">
        <v>0</v>
      </c>
      <c r="E135" s="239">
        <f t="shared" si="18"/>
        <v>-2</v>
      </c>
      <c r="F135" s="238">
        <f t="shared" si="19"/>
        <v>-1</v>
      </c>
    </row>
    <row r="136" spans="1:6" ht="20.25" customHeight="1" x14ac:dyDescent="0.3">
      <c r="A136" s="235">
        <v>6</v>
      </c>
      <c r="B136" s="236" t="s">
        <v>384</v>
      </c>
      <c r="C136" s="239">
        <v>4</v>
      </c>
      <c r="D136" s="239">
        <v>0</v>
      </c>
      <c r="E136" s="239">
        <f t="shared" si="18"/>
        <v>-4</v>
      </c>
      <c r="F136" s="238">
        <f t="shared" si="19"/>
        <v>-1</v>
      </c>
    </row>
    <row r="137" spans="1:6" ht="20.25" customHeight="1" x14ac:dyDescent="0.3">
      <c r="A137" s="235">
        <v>7</v>
      </c>
      <c r="B137" s="236" t="s">
        <v>450</v>
      </c>
      <c r="C137" s="239">
        <v>3</v>
      </c>
      <c r="D137" s="239">
        <v>23</v>
      </c>
      <c r="E137" s="239">
        <f t="shared" si="18"/>
        <v>20</v>
      </c>
      <c r="F137" s="238">
        <f t="shared" si="19"/>
        <v>6.666666666666667</v>
      </c>
    </row>
    <row r="138" spans="1:6" ht="20.25" customHeight="1" x14ac:dyDescent="0.3">
      <c r="A138" s="235">
        <v>8</v>
      </c>
      <c r="B138" s="236" t="s">
        <v>451</v>
      </c>
      <c r="C138" s="239">
        <v>3</v>
      </c>
      <c r="D138" s="239">
        <v>6</v>
      </c>
      <c r="E138" s="239">
        <f t="shared" si="18"/>
        <v>3</v>
      </c>
      <c r="F138" s="238">
        <f t="shared" si="19"/>
        <v>1</v>
      </c>
    </row>
    <row r="139" spans="1:6" ht="20.25" customHeight="1" x14ac:dyDescent="0.3">
      <c r="A139" s="235">
        <v>9</v>
      </c>
      <c r="B139" s="236" t="s">
        <v>452</v>
      </c>
      <c r="C139" s="239">
        <v>2</v>
      </c>
      <c r="D139" s="239">
        <v>0</v>
      </c>
      <c r="E139" s="239">
        <f t="shared" si="18"/>
        <v>-2</v>
      </c>
      <c r="F139" s="238">
        <f t="shared" si="19"/>
        <v>-1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23675</v>
      </c>
      <c r="D140" s="243">
        <f>+D131+D133</f>
        <v>41976</v>
      </c>
      <c r="E140" s="243">
        <f t="shared" si="18"/>
        <v>18301</v>
      </c>
      <c r="F140" s="244">
        <f t="shared" si="19"/>
        <v>0.77300950369588173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12946</v>
      </c>
      <c r="D141" s="243">
        <f>+D132+D134</f>
        <v>11301</v>
      </c>
      <c r="E141" s="243">
        <f t="shared" si="18"/>
        <v>-1645</v>
      </c>
      <c r="F141" s="244">
        <f t="shared" si="19"/>
        <v>-0.12706627529738915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60204</v>
      </c>
      <c r="D144" s="237">
        <v>0</v>
      </c>
      <c r="E144" s="237">
        <f t="shared" ref="E144:E154" si="20">D144-C144</f>
        <v>-60204</v>
      </c>
      <c r="F144" s="238">
        <f t="shared" ref="F144:F154" si="21">IF(C144=0,0,E144/C144)</f>
        <v>-1</v>
      </c>
    </row>
    <row r="145" spans="1:6" ht="20.25" customHeight="1" x14ac:dyDescent="0.3">
      <c r="A145" s="235">
        <v>2</v>
      </c>
      <c r="B145" s="236" t="s">
        <v>447</v>
      </c>
      <c r="C145" s="237">
        <v>37104</v>
      </c>
      <c r="D145" s="237">
        <v>0</v>
      </c>
      <c r="E145" s="237">
        <f t="shared" si="20"/>
        <v>-37104</v>
      </c>
      <c r="F145" s="238">
        <f t="shared" si="21"/>
        <v>-1</v>
      </c>
    </row>
    <row r="146" spans="1:6" ht="20.25" customHeight="1" x14ac:dyDescent="0.3">
      <c r="A146" s="235">
        <v>3</v>
      </c>
      <c r="B146" s="236" t="s">
        <v>448</v>
      </c>
      <c r="C146" s="237">
        <v>27993</v>
      </c>
      <c r="D146" s="237">
        <v>6691</v>
      </c>
      <c r="E146" s="237">
        <f t="shared" si="20"/>
        <v>-21302</v>
      </c>
      <c r="F146" s="238">
        <f t="shared" si="21"/>
        <v>-0.76097595827528308</v>
      </c>
    </row>
    <row r="147" spans="1:6" ht="20.25" customHeight="1" x14ac:dyDescent="0.3">
      <c r="A147" s="235">
        <v>4</v>
      </c>
      <c r="B147" s="236" t="s">
        <v>449</v>
      </c>
      <c r="C147" s="237">
        <v>16301</v>
      </c>
      <c r="D147" s="237">
        <v>1727</v>
      </c>
      <c r="E147" s="237">
        <f t="shared" si="20"/>
        <v>-14574</v>
      </c>
      <c r="F147" s="238">
        <f t="shared" si="21"/>
        <v>-0.89405557941230596</v>
      </c>
    </row>
    <row r="148" spans="1:6" ht="20.25" customHeight="1" x14ac:dyDescent="0.3">
      <c r="A148" s="235">
        <v>5</v>
      </c>
      <c r="B148" s="236" t="s">
        <v>385</v>
      </c>
      <c r="C148" s="239">
        <v>3</v>
      </c>
      <c r="D148" s="239">
        <v>0</v>
      </c>
      <c r="E148" s="239">
        <f t="shared" si="20"/>
        <v>-3</v>
      </c>
      <c r="F148" s="238">
        <f t="shared" si="21"/>
        <v>-1</v>
      </c>
    </row>
    <row r="149" spans="1:6" ht="20.25" customHeight="1" x14ac:dyDescent="0.3">
      <c r="A149" s="235">
        <v>6</v>
      </c>
      <c r="B149" s="236" t="s">
        <v>384</v>
      </c>
      <c r="C149" s="239">
        <v>12</v>
      </c>
      <c r="D149" s="239">
        <v>0</v>
      </c>
      <c r="E149" s="239">
        <f t="shared" si="20"/>
        <v>-12</v>
      </c>
      <c r="F149" s="238">
        <f t="shared" si="21"/>
        <v>-1</v>
      </c>
    </row>
    <row r="150" spans="1:6" ht="20.25" customHeight="1" x14ac:dyDescent="0.3">
      <c r="A150" s="235">
        <v>7</v>
      </c>
      <c r="B150" s="236" t="s">
        <v>450</v>
      </c>
      <c r="C150" s="239">
        <v>33</v>
      </c>
      <c r="D150" s="239">
        <v>3</v>
      </c>
      <c r="E150" s="239">
        <f t="shared" si="20"/>
        <v>-30</v>
      </c>
      <c r="F150" s="238">
        <f t="shared" si="21"/>
        <v>-0.90909090909090906</v>
      </c>
    </row>
    <row r="151" spans="1:6" ht="20.25" customHeight="1" x14ac:dyDescent="0.3">
      <c r="A151" s="235">
        <v>8</v>
      </c>
      <c r="B151" s="236" t="s">
        <v>451</v>
      </c>
      <c r="C151" s="239">
        <v>4</v>
      </c>
      <c r="D151" s="239">
        <v>1</v>
      </c>
      <c r="E151" s="239">
        <f t="shared" si="20"/>
        <v>-3</v>
      </c>
      <c r="F151" s="238">
        <f t="shared" si="21"/>
        <v>-0.75</v>
      </c>
    </row>
    <row r="152" spans="1:6" ht="20.25" customHeight="1" x14ac:dyDescent="0.3">
      <c r="A152" s="235">
        <v>9</v>
      </c>
      <c r="B152" s="236" t="s">
        <v>452</v>
      </c>
      <c r="C152" s="239">
        <v>1</v>
      </c>
      <c r="D152" s="239">
        <v>0</v>
      </c>
      <c r="E152" s="239">
        <f t="shared" si="20"/>
        <v>-1</v>
      </c>
      <c r="F152" s="238">
        <f t="shared" si="21"/>
        <v>-1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88197</v>
      </c>
      <c r="D153" s="243">
        <f>+D144+D146</f>
        <v>6691</v>
      </c>
      <c r="E153" s="243">
        <f t="shared" si="20"/>
        <v>-81506</v>
      </c>
      <c r="F153" s="244">
        <f t="shared" si="21"/>
        <v>-0.92413574157851175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53405</v>
      </c>
      <c r="D154" s="243">
        <f>+D145+D147</f>
        <v>1727</v>
      </c>
      <c r="E154" s="243">
        <f t="shared" si="20"/>
        <v>-51678</v>
      </c>
      <c r="F154" s="244">
        <f t="shared" si="21"/>
        <v>-0.96766220391349123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180</v>
      </c>
      <c r="D159" s="237">
        <v>0</v>
      </c>
      <c r="E159" s="237">
        <f t="shared" si="22"/>
        <v>-180</v>
      </c>
      <c r="F159" s="238">
        <f t="shared" si="23"/>
        <v>-1</v>
      </c>
    </row>
    <row r="160" spans="1:6" ht="20.25" customHeight="1" x14ac:dyDescent="0.3">
      <c r="A160" s="235">
        <v>4</v>
      </c>
      <c r="B160" s="236" t="s">
        <v>449</v>
      </c>
      <c r="C160" s="237">
        <v>56</v>
      </c>
      <c r="D160" s="237">
        <v>0</v>
      </c>
      <c r="E160" s="237">
        <f t="shared" si="22"/>
        <v>-56</v>
      </c>
      <c r="F160" s="238">
        <f t="shared" si="23"/>
        <v>-1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1</v>
      </c>
      <c r="D163" s="239">
        <v>0</v>
      </c>
      <c r="E163" s="239">
        <f t="shared" si="22"/>
        <v>-1</v>
      </c>
      <c r="F163" s="238">
        <f t="shared" si="23"/>
        <v>-1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180</v>
      </c>
      <c r="D166" s="243">
        <f>+D157+D159</f>
        <v>0</v>
      </c>
      <c r="E166" s="243">
        <f t="shared" si="22"/>
        <v>-180</v>
      </c>
      <c r="F166" s="244">
        <f t="shared" si="23"/>
        <v>-1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56</v>
      </c>
      <c r="D167" s="243">
        <f>+D158+D160</f>
        <v>0</v>
      </c>
      <c r="E167" s="243">
        <f t="shared" si="22"/>
        <v>-56</v>
      </c>
      <c r="F167" s="244">
        <f t="shared" si="23"/>
        <v>-1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728</v>
      </c>
      <c r="D172" s="237">
        <v>3284</v>
      </c>
      <c r="E172" s="237">
        <f t="shared" si="24"/>
        <v>2556</v>
      </c>
      <c r="F172" s="238">
        <f t="shared" si="25"/>
        <v>3.5109890109890109</v>
      </c>
    </row>
    <row r="173" spans="1:6" ht="20.25" customHeight="1" x14ac:dyDescent="0.3">
      <c r="A173" s="235">
        <v>4</v>
      </c>
      <c r="B173" s="236" t="s">
        <v>449</v>
      </c>
      <c r="C173" s="237">
        <v>352</v>
      </c>
      <c r="D173" s="237">
        <v>902</v>
      </c>
      <c r="E173" s="237">
        <f t="shared" si="24"/>
        <v>550</v>
      </c>
      <c r="F173" s="238">
        <f t="shared" si="25"/>
        <v>1.5625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2</v>
      </c>
      <c r="D176" s="239">
        <v>9</v>
      </c>
      <c r="E176" s="239">
        <f t="shared" si="24"/>
        <v>7</v>
      </c>
      <c r="F176" s="238">
        <f t="shared" si="25"/>
        <v>3.5</v>
      </c>
    </row>
    <row r="177" spans="1:6" ht="20.25" customHeight="1" x14ac:dyDescent="0.3">
      <c r="A177" s="235">
        <v>8</v>
      </c>
      <c r="B177" s="236" t="s">
        <v>451</v>
      </c>
      <c r="C177" s="239">
        <v>1</v>
      </c>
      <c r="D177" s="239">
        <v>0</v>
      </c>
      <c r="E177" s="239">
        <f t="shared" si="24"/>
        <v>-1</v>
      </c>
      <c r="F177" s="238">
        <f t="shared" si="25"/>
        <v>-1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728</v>
      </c>
      <c r="D179" s="243">
        <f>+D170+D172</f>
        <v>3284</v>
      </c>
      <c r="E179" s="243">
        <f t="shared" si="24"/>
        <v>2556</v>
      </c>
      <c r="F179" s="244">
        <f t="shared" si="25"/>
        <v>3.5109890109890109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352</v>
      </c>
      <c r="D180" s="243">
        <f>+D171+D173</f>
        <v>902</v>
      </c>
      <c r="E180" s="243">
        <f t="shared" si="24"/>
        <v>550</v>
      </c>
      <c r="F180" s="244">
        <f t="shared" si="25"/>
        <v>1.5625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3149</v>
      </c>
      <c r="D185" s="237">
        <v>4171</v>
      </c>
      <c r="E185" s="237">
        <f t="shared" si="26"/>
        <v>1022</v>
      </c>
      <c r="F185" s="238">
        <f t="shared" si="27"/>
        <v>0.32454747538901241</v>
      </c>
    </row>
    <row r="186" spans="1:6" ht="20.25" customHeight="1" x14ac:dyDescent="0.3">
      <c r="A186" s="235">
        <v>4</v>
      </c>
      <c r="B186" s="236" t="s">
        <v>449</v>
      </c>
      <c r="C186" s="237">
        <v>651</v>
      </c>
      <c r="D186" s="237">
        <v>1234</v>
      </c>
      <c r="E186" s="237">
        <f t="shared" si="26"/>
        <v>583</v>
      </c>
      <c r="F186" s="238">
        <f t="shared" si="27"/>
        <v>0.89554531490015366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8</v>
      </c>
      <c r="D189" s="239">
        <v>5</v>
      </c>
      <c r="E189" s="239">
        <f t="shared" si="26"/>
        <v>-3</v>
      </c>
      <c r="F189" s="238">
        <f t="shared" si="27"/>
        <v>-0.375</v>
      </c>
    </row>
    <row r="190" spans="1:6" ht="20.25" customHeight="1" x14ac:dyDescent="0.3">
      <c r="A190" s="235">
        <v>8</v>
      </c>
      <c r="B190" s="236" t="s">
        <v>451</v>
      </c>
      <c r="C190" s="239">
        <v>1</v>
      </c>
      <c r="D190" s="239">
        <v>0</v>
      </c>
      <c r="E190" s="239">
        <f t="shared" si="26"/>
        <v>-1</v>
      </c>
      <c r="F190" s="238">
        <f t="shared" si="27"/>
        <v>-1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3149</v>
      </c>
      <c r="D192" s="243">
        <f>+D183+D185</f>
        <v>4171</v>
      </c>
      <c r="E192" s="243">
        <f t="shared" si="26"/>
        <v>1022</v>
      </c>
      <c r="F192" s="244">
        <f t="shared" si="27"/>
        <v>0.32454747538901241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651</v>
      </c>
      <c r="D193" s="243">
        <f>+D184+D186</f>
        <v>1234</v>
      </c>
      <c r="E193" s="243">
        <f t="shared" si="26"/>
        <v>583</v>
      </c>
      <c r="F193" s="244">
        <f t="shared" si="27"/>
        <v>0.89554531490015366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4290161</v>
      </c>
      <c r="D198" s="243">
        <f t="shared" si="28"/>
        <v>5294301</v>
      </c>
      <c r="E198" s="243">
        <f t="shared" ref="E198:E208" si="29">D198-C198</f>
        <v>1004140</v>
      </c>
      <c r="F198" s="251">
        <f t="shared" ref="F198:F208" si="30">IF(C198=0,0,E198/C198)</f>
        <v>0.23405648412728566</v>
      </c>
    </row>
    <row r="199" spans="1:9" ht="20.25" customHeight="1" x14ac:dyDescent="0.3">
      <c r="A199" s="249"/>
      <c r="B199" s="250" t="s">
        <v>473</v>
      </c>
      <c r="C199" s="243">
        <f t="shared" si="28"/>
        <v>2569846</v>
      </c>
      <c r="D199" s="243">
        <f t="shared" si="28"/>
        <v>2930803</v>
      </c>
      <c r="E199" s="243">
        <f t="shared" si="29"/>
        <v>360957</v>
      </c>
      <c r="F199" s="251">
        <f t="shared" si="30"/>
        <v>0.14045861113856628</v>
      </c>
    </row>
    <row r="200" spans="1:9" ht="20.25" customHeight="1" x14ac:dyDescent="0.3">
      <c r="A200" s="249"/>
      <c r="B200" s="250" t="s">
        <v>474</v>
      </c>
      <c r="C200" s="243">
        <f t="shared" si="28"/>
        <v>4946482</v>
      </c>
      <c r="D200" s="243">
        <f t="shared" si="28"/>
        <v>7111067</v>
      </c>
      <c r="E200" s="243">
        <f t="shared" si="29"/>
        <v>2164585</v>
      </c>
      <c r="F200" s="251">
        <f t="shared" si="30"/>
        <v>0.4376009050472639</v>
      </c>
    </row>
    <row r="201" spans="1:9" ht="20.25" customHeight="1" x14ac:dyDescent="0.3">
      <c r="A201" s="249"/>
      <c r="B201" s="250" t="s">
        <v>475</v>
      </c>
      <c r="C201" s="243">
        <f t="shared" si="28"/>
        <v>1798119</v>
      </c>
      <c r="D201" s="243">
        <f t="shared" si="28"/>
        <v>2498610</v>
      </c>
      <c r="E201" s="243">
        <f t="shared" si="29"/>
        <v>700491</v>
      </c>
      <c r="F201" s="251">
        <f t="shared" si="30"/>
        <v>0.38956876602716506</v>
      </c>
    </row>
    <row r="202" spans="1:9" ht="20.25" customHeight="1" x14ac:dyDescent="0.3">
      <c r="A202" s="249"/>
      <c r="B202" s="250" t="s">
        <v>476</v>
      </c>
      <c r="C202" s="252">
        <f t="shared" si="28"/>
        <v>297</v>
      </c>
      <c r="D202" s="252">
        <f t="shared" si="28"/>
        <v>319</v>
      </c>
      <c r="E202" s="252">
        <f t="shared" si="29"/>
        <v>22</v>
      </c>
      <c r="F202" s="251">
        <f t="shared" si="30"/>
        <v>7.407407407407407E-2</v>
      </c>
    </row>
    <row r="203" spans="1:9" ht="20.25" customHeight="1" x14ac:dyDescent="0.3">
      <c r="A203" s="249"/>
      <c r="B203" s="250" t="s">
        <v>477</v>
      </c>
      <c r="C203" s="252">
        <f t="shared" si="28"/>
        <v>1243</v>
      </c>
      <c r="D203" s="252">
        <f t="shared" si="28"/>
        <v>1344</v>
      </c>
      <c r="E203" s="252">
        <f t="shared" si="29"/>
        <v>101</v>
      </c>
      <c r="F203" s="251">
        <f t="shared" si="30"/>
        <v>8.1255028157683026E-2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7838</v>
      </c>
      <c r="D204" s="252">
        <f t="shared" si="28"/>
        <v>10432</v>
      </c>
      <c r="E204" s="252">
        <f t="shared" si="29"/>
        <v>2594</v>
      </c>
      <c r="F204" s="251">
        <f t="shared" si="30"/>
        <v>0.3309517734115846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699</v>
      </c>
      <c r="D205" s="252">
        <f t="shared" si="28"/>
        <v>922</v>
      </c>
      <c r="E205" s="252">
        <f t="shared" si="29"/>
        <v>223</v>
      </c>
      <c r="F205" s="251">
        <f t="shared" si="30"/>
        <v>0.31902718168812588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252</v>
      </c>
      <c r="D206" s="252">
        <f t="shared" si="28"/>
        <v>275</v>
      </c>
      <c r="E206" s="252">
        <f t="shared" si="29"/>
        <v>23</v>
      </c>
      <c r="F206" s="251">
        <f t="shared" si="30"/>
        <v>9.1269841269841265E-2</v>
      </c>
    </row>
    <row r="207" spans="1:9" ht="20.25" customHeight="1" x14ac:dyDescent="0.3">
      <c r="A207" s="249"/>
      <c r="B207" s="242" t="s">
        <v>481</v>
      </c>
      <c r="C207" s="243">
        <f>+C198+C200</f>
        <v>9236643</v>
      </c>
      <c r="D207" s="243">
        <f>+D198+D200</f>
        <v>12405368</v>
      </c>
      <c r="E207" s="243">
        <f t="shared" si="29"/>
        <v>3168725</v>
      </c>
      <c r="F207" s="251">
        <f t="shared" si="30"/>
        <v>0.34306024385699435</v>
      </c>
    </row>
    <row r="208" spans="1:9" ht="20.25" customHeight="1" x14ac:dyDescent="0.3">
      <c r="A208" s="249"/>
      <c r="B208" s="242" t="s">
        <v>482</v>
      </c>
      <c r="C208" s="243">
        <f>+C199+C201</f>
        <v>4367965</v>
      </c>
      <c r="D208" s="243">
        <f>+D199+D201</f>
        <v>5429413</v>
      </c>
      <c r="E208" s="243">
        <f t="shared" si="29"/>
        <v>1061448</v>
      </c>
      <c r="F208" s="251">
        <f t="shared" si="30"/>
        <v>0.24300744168050797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FILING&amp;RCHARLOTTE HUNGERFORD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2066890</v>
      </c>
      <c r="D26" s="237">
        <v>365986</v>
      </c>
      <c r="E26" s="237">
        <f t="shared" ref="E26:E36" si="2">D26-C26</f>
        <v>-1700904</v>
      </c>
      <c r="F26" s="238">
        <f t="shared" ref="F26:F36" si="3">IF(C26=0,0,E26/C26)</f>
        <v>-0.82292913507733845</v>
      </c>
    </row>
    <row r="27" spans="1:6" ht="20.25" customHeight="1" x14ac:dyDescent="0.3">
      <c r="A27" s="235">
        <v>2</v>
      </c>
      <c r="B27" s="236" t="s">
        <v>447</v>
      </c>
      <c r="C27" s="237">
        <v>884117</v>
      </c>
      <c r="D27" s="237">
        <v>247447</v>
      </c>
      <c r="E27" s="237">
        <f t="shared" si="2"/>
        <v>-636670</v>
      </c>
      <c r="F27" s="238">
        <f t="shared" si="3"/>
        <v>-0.72011962217670289</v>
      </c>
    </row>
    <row r="28" spans="1:6" ht="20.25" customHeight="1" x14ac:dyDescent="0.3">
      <c r="A28" s="235">
        <v>3</v>
      </c>
      <c r="B28" s="236" t="s">
        <v>448</v>
      </c>
      <c r="C28" s="237">
        <v>6672663</v>
      </c>
      <c r="D28" s="237">
        <v>1755382</v>
      </c>
      <c r="E28" s="237">
        <f t="shared" si="2"/>
        <v>-4917281</v>
      </c>
      <c r="F28" s="238">
        <f t="shared" si="3"/>
        <v>-0.73692931892409375</v>
      </c>
    </row>
    <row r="29" spans="1:6" ht="20.25" customHeight="1" x14ac:dyDescent="0.3">
      <c r="A29" s="235">
        <v>4</v>
      </c>
      <c r="B29" s="236" t="s">
        <v>449</v>
      </c>
      <c r="C29" s="237">
        <v>2768122</v>
      </c>
      <c r="D29" s="237">
        <v>1034498</v>
      </c>
      <c r="E29" s="237">
        <f t="shared" si="2"/>
        <v>-1733624</v>
      </c>
      <c r="F29" s="238">
        <f t="shared" si="3"/>
        <v>-0.62628164510090234</v>
      </c>
    </row>
    <row r="30" spans="1:6" ht="20.25" customHeight="1" x14ac:dyDescent="0.3">
      <c r="A30" s="235">
        <v>5</v>
      </c>
      <c r="B30" s="236" t="s">
        <v>385</v>
      </c>
      <c r="C30" s="239">
        <v>263</v>
      </c>
      <c r="D30" s="239">
        <v>43</v>
      </c>
      <c r="E30" s="239">
        <f t="shared" si="2"/>
        <v>-220</v>
      </c>
      <c r="F30" s="238">
        <f t="shared" si="3"/>
        <v>-0.83650190114068446</v>
      </c>
    </row>
    <row r="31" spans="1:6" ht="20.25" customHeight="1" x14ac:dyDescent="0.3">
      <c r="A31" s="235">
        <v>6</v>
      </c>
      <c r="B31" s="236" t="s">
        <v>384</v>
      </c>
      <c r="C31" s="239">
        <v>669</v>
      </c>
      <c r="D31" s="239">
        <v>107</v>
      </c>
      <c r="E31" s="239">
        <f t="shared" si="2"/>
        <v>-562</v>
      </c>
      <c r="F31" s="238">
        <f t="shared" si="3"/>
        <v>-0.84005979073243642</v>
      </c>
    </row>
    <row r="32" spans="1:6" ht="20.25" customHeight="1" x14ac:dyDescent="0.3">
      <c r="A32" s="235">
        <v>7</v>
      </c>
      <c r="B32" s="236" t="s">
        <v>450</v>
      </c>
      <c r="C32" s="239">
        <v>7595</v>
      </c>
      <c r="D32" s="239">
        <v>1851</v>
      </c>
      <c r="E32" s="239">
        <f t="shared" si="2"/>
        <v>-5744</v>
      </c>
      <c r="F32" s="238">
        <f t="shared" si="3"/>
        <v>-0.75628703094140881</v>
      </c>
    </row>
    <row r="33" spans="1:6" ht="20.25" customHeight="1" x14ac:dyDescent="0.3">
      <c r="A33" s="235">
        <v>8</v>
      </c>
      <c r="B33" s="236" t="s">
        <v>451</v>
      </c>
      <c r="C33" s="239">
        <v>4075</v>
      </c>
      <c r="D33" s="239">
        <v>1041</v>
      </c>
      <c r="E33" s="239">
        <f t="shared" si="2"/>
        <v>-3034</v>
      </c>
      <c r="F33" s="238">
        <f t="shared" si="3"/>
        <v>-0.74453987730061355</v>
      </c>
    </row>
    <row r="34" spans="1:6" ht="20.25" customHeight="1" x14ac:dyDescent="0.3">
      <c r="A34" s="235">
        <v>9</v>
      </c>
      <c r="B34" s="236" t="s">
        <v>452</v>
      </c>
      <c r="C34" s="239">
        <v>74</v>
      </c>
      <c r="D34" s="239">
        <v>20</v>
      </c>
      <c r="E34" s="239">
        <f t="shared" si="2"/>
        <v>-54</v>
      </c>
      <c r="F34" s="238">
        <f t="shared" si="3"/>
        <v>-0.72972972972972971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8739553</v>
      </c>
      <c r="D35" s="243">
        <f>+D26+D28</f>
        <v>2121368</v>
      </c>
      <c r="E35" s="243">
        <f t="shared" si="2"/>
        <v>-6618185</v>
      </c>
      <c r="F35" s="244">
        <f t="shared" si="3"/>
        <v>-0.75726813488058253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3652239</v>
      </c>
      <c r="D36" s="243">
        <f>+D27+D29</f>
        <v>1281945</v>
      </c>
      <c r="E36" s="243">
        <f t="shared" si="2"/>
        <v>-2370294</v>
      </c>
      <c r="F36" s="244">
        <f t="shared" si="3"/>
        <v>-0.64899750536588652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216385</v>
      </c>
      <c r="D50" s="237">
        <v>115204</v>
      </c>
      <c r="E50" s="237">
        <f t="shared" ref="E50:E60" si="6">D50-C50</f>
        <v>-101181</v>
      </c>
      <c r="F50" s="238">
        <f t="shared" ref="F50:F60" si="7">IF(C50=0,0,E50/C50)</f>
        <v>-0.46759710700834162</v>
      </c>
    </row>
    <row r="51" spans="1:6" ht="20.25" customHeight="1" x14ac:dyDescent="0.3">
      <c r="A51" s="235">
        <v>2</v>
      </c>
      <c r="B51" s="236" t="s">
        <v>447</v>
      </c>
      <c r="C51" s="237">
        <v>125583</v>
      </c>
      <c r="D51" s="237">
        <v>60918</v>
      </c>
      <c r="E51" s="237">
        <f t="shared" si="6"/>
        <v>-64665</v>
      </c>
      <c r="F51" s="238">
        <f t="shared" si="7"/>
        <v>-0.51491842048684933</v>
      </c>
    </row>
    <row r="52" spans="1:6" ht="20.25" customHeight="1" x14ac:dyDescent="0.3">
      <c r="A52" s="235">
        <v>3</v>
      </c>
      <c r="B52" s="236" t="s">
        <v>448</v>
      </c>
      <c r="C52" s="237">
        <v>3073359</v>
      </c>
      <c r="D52" s="237">
        <v>813448</v>
      </c>
      <c r="E52" s="237">
        <f t="shared" si="6"/>
        <v>-2259911</v>
      </c>
      <c r="F52" s="238">
        <f t="shared" si="7"/>
        <v>-0.73532281780293163</v>
      </c>
    </row>
    <row r="53" spans="1:6" ht="20.25" customHeight="1" x14ac:dyDescent="0.3">
      <c r="A53" s="235">
        <v>4</v>
      </c>
      <c r="B53" s="236" t="s">
        <v>449</v>
      </c>
      <c r="C53" s="237">
        <v>1024156</v>
      </c>
      <c r="D53" s="237">
        <v>362196</v>
      </c>
      <c r="E53" s="237">
        <f t="shared" si="6"/>
        <v>-661960</v>
      </c>
      <c r="F53" s="238">
        <f t="shared" si="7"/>
        <v>-0.64634684559774092</v>
      </c>
    </row>
    <row r="54" spans="1:6" ht="20.25" customHeight="1" x14ac:dyDescent="0.3">
      <c r="A54" s="235">
        <v>5</v>
      </c>
      <c r="B54" s="236" t="s">
        <v>385</v>
      </c>
      <c r="C54" s="239">
        <v>24</v>
      </c>
      <c r="D54" s="239">
        <v>15</v>
      </c>
      <c r="E54" s="239">
        <f t="shared" si="6"/>
        <v>-9</v>
      </c>
      <c r="F54" s="238">
        <f t="shared" si="7"/>
        <v>-0.375</v>
      </c>
    </row>
    <row r="55" spans="1:6" ht="20.25" customHeight="1" x14ac:dyDescent="0.3">
      <c r="A55" s="235">
        <v>6</v>
      </c>
      <c r="B55" s="236" t="s">
        <v>384</v>
      </c>
      <c r="C55" s="239">
        <v>136</v>
      </c>
      <c r="D55" s="239">
        <v>68</v>
      </c>
      <c r="E55" s="239">
        <f t="shared" si="6"/>
        <v>-68</v>
      </c>
      <c r="F55" s="238">
        <f t="shared" si="7"/>
        <v>-0.5</v>
      </c>
    </row>
    <row r="56" spans="1:6" ht="20.25" customHeight="1" x14ac:dyDescent="0.3">
      <c r="A56" s="235">
        <v>7</v>
      </c>
      <c r="B56" s="236" t="s">
        <v>450</v>
      </c>
      <c r="C56" s="239">
        <v>4328</v>
      </c>
      <c r="D56" s="239">
        <v>1003</v>
      </c>
      <c r="E56" s="239">
        <f t="shared" si="6"/>
        <v>-3325</v>
      </c>
      <c r="F56" s="238">
        <f t="shared" si="7"/>
        <v>-0.76825323475046214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24</v>
      </c>
      <c r="D58" s="239">
        <v>13</v>
      </c>
      <c r="E58" s="239">
        <f t="shared" si="6"/>
        <v>-11</v>
      </c>
      <c r="F58" s="238">
        <f t="shared" si="7"/>
        <v>-0.45833333333333331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3289744</v>
      </c>
      <c r="D59" s="243">
        <f>+D50+D52</f>
        <v>928652</v>
      </c>
      <c r="E59" s="243">
        <f t="shared" si="6"/>
        <v>-2361092</v>
      </c>
      <c r="F59" s="244">
        <f t="shared" si="7"/>
        <v>-0.71771298921739812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1149739</v>
      </c>
      <c r="D60" s="243">
        <f>+D51+D53</f>
        <v>423114</v>
      </c>
      <c r="E60" s="243">
        <f t="shared" si="6"/>
        <v>-726625</v>
      </c>
      <c r="F60" s="244">
        <f t="shared" si="7"/>
        <v>-0.63199126062523758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149777</v>
      </c>
      <c r="D86" s="237">
        <v>54283</v>
      </c>
      <c r="E86" s="237">
        <f t="shared" ref="E86:E96" si="12">D86-C86</f>
        <v>-95494</v>
      </c>
      <c r="F86" s="238">
        <f t="shared" ref="F86:F96" si="13">IF(C86=0,0,E86/C86)</f>
        <v>-0.63757452746416343</v>
      </c>
    </row>
    <row r="87" spans="1:6" ht="20.25" customHeight="1" x14ac:dyDescent="0.3">
      <c r="A87" s="235">
        <v>2</v>
      </c>
      <c r="B87" s="236" t="s">
        <v>447</v>
      </c>
      <c r="C87" s="237">
        <v>73454</v>
      </c>
      <c r="D87" s="237">
        <v>21291</v>
      </c>
      <c r="E87" s="237">
        <f t="shared" si="12"/>
        <v>-52163</v>
      </c>
      <c r="F87" s="238">
        <f t="shared" si="13"/>
        <v>-0.71014512484003589</v>
      </c>
    </row>
    <row r="88" spans="1:6" ht="20.25" customHeight="1" x14ac:dyDescent="0.3">
      <c r="A88" s="235">
        <v>3</v>
      </c>
      <c r="B88" s="236" t="s">
        <v>448</v>
      </c>
      <c r="C88" s="237">
        <v>717761</v>
      </c>
      <c r="D88" s="237">
        <v>199890</v>
      </c>
      <c r="E88" s="237">
        <f t="shared" si="12"/>
        <v>-517871</v>
      </c>
      <c r="F88" s="238">
        <f t="shared" si="13"/>
        <v>-0.72150897025611593</v>
      </c>
    </row>
    <row r="89" spans="1:6" ht="20.25" customHeight="1" x14ac:dyDescent="0.3">
      <c r="A89" s="235">
        <v>4</v>
      </c>
      <c r="B89" s="236" t="s">
        <v>449</v>
      </c>
      <c r="C89" s="237">
        <v>256501</v>
      </c>
      <c r="D89" s="237">
        <v>113568</v>
      </c>
      <c r="E89" s="237">
        <f t="shared" si="12"/>
        <v>-142933</v>
      </c>
      <c r="F89" s="238">
        <f t="shared" si="13"/>
        <v>-0.5572414922358977</v>
      </c>
    </row>
    <row r="90" spans="1:6" ht="20.25" customHeight="1" x14ac:dyDescent="0.3">
      <c r="A90" s="235">
        <v>5</v>
      </c>
      <c r="B90" s="236" t="s">
        <v>385</v>
      </c>
      <c r="C90" s="239">
        <v>36</v>
      </c>
      <c r="D90" s="239">
        <v>7</v>
      </c>
      <c r="E90" s="239">
        <f t="shared" si="12"/>
        <v>-29</v>
      </c>
      <c r="F90" s="238">
        <f t="shared" si="13"/>
        <v>-0.80555555555555558</v>
      </c>
    </row>
    <row r="91" spans="1:6" ht="20.25" customHeight="1" x14ac:dyDescent="0.3">
      <c r="A91" s="235">
        <v>6</v>
      </c>
      <c r="B91" s="236" t="s">
        <v>384</v>
      </c>
      <c r="C91" s="239">
        <v>64</v>
      </c>
      <c r="D91" s="239">
        <v>16</v>
      </c>
      <c r="E91" s="239">
        <f t="shared" si="12"/>
        <v>-48</v>
      </c>
      <c r="F91" s="238">
        <f t="shared" si="13"/>
        <v>-0.75</v>
      </c>
    </row>
    <row r="92" spans="1:6" ht="20.25" customHeight="1" x14ac:dyDescent="0.3">
      <c r="A92" s="235">
        <v>7</v>
      </c>
      <c r="B92" s="236" t="s">
        <v>450</v>
      </c>
      <c r="C92" s="239">
        <v>855</v>
      </c>
      <c r="D92" s="239">
        <v>213</v>
      </c>
      <c r="E92" s="239">
        <f t="shared" si="12"/>
        <v>-642</v>
      </c>
      <c r="F92" s="238">
        <f t="shared" si="13"/>
        <v>-0.75087719298245614</v>
      </c>
    </row>
    <row r="93" spans="1:6" ht="20.25" customHeight="1" x14ac:dyDescent="0.3">
      <c r="A93" s="235">
        <v>8</v>
      </c>
      <c r="B93" s="236" t="s">
        <v>451</v>
      </c>
      <c r="C93" s="239">
        <v>537</v>
      </c>
      <c r="D93" s="239">
        <v>101</v>
      </c>
      <c r="E93" s="239">
        <f t="shared" si="12"/>
        <v>-436</v>
      </c>
      <c r="F93" s="238">
        <f t="shared" si="13"/>
        <v>-0.81191806331471139</v>
      </c>
    </row>
    <row r="94" spans="1:6" ht="20.25" customHeight="1" x14ac:dyDescent="0.3">
      <c r="A94" s="235">
        <v>9</v>
      </c>
      <c r="B94" s="236" t="s">
        <v>452</v>
      </c>
      <c r="C94" s="239">
        <v>5</v>
      </c>
      <c r="D94" s="239">
        <v>1</v>
      </c>
      <c r="E94" s="239">
        <f t="shared" si="12"/>
        <v>-4</v>
      </c>
      <c r="F94" s="238">
        <f t="shared" si="13"/>
        <v>-0.8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867538</v>
      </c>
      <c r="D95" s="243">
        <f>+D86+D88</f>
        <v>254173</v>
      </c>
      <c r="E95" s="243">
        <f t="shared" si="12"/>
        <v>-613365</v>
      </c>
      <c r="F95" s="244">
        <f t="shared" si="13"/>
        <v>-0.7070180211126198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329955</v>
      </c>
      <c r="D96" s="243">
        <f>+D87+D89</f>
        <v>134859</v>
      </c>
      <c r="E96" s="243">
        <f t="shared" si="12"/>
        <v>-195096</v>
      </c>
      <c r="F96" s="244">
        <f t="shared" si="13"/>
        <v>-0.59128062917670587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747227</v>
      </c>
      <c r="D98" s="237">
        <v>131450</v>
      </c>
      <c r="E98" s="237">
        <f t="shared" ref="E98:E108" si="14">D98-C98</f>
        <v>-615777</v>
      </c>
      <c r="F98" s="238">
        <f t="shared" ref="F98:F108" si="15">IF(C98=0,0,E98/C98)</f>
        <v>-0.8240829092096511</v>
      </c>
    </row>
    <row r="99" spans="1:7" ht="20.25" customHeight="1" x14ac:dyDescent="0.3">
      <c r="A99" s="235">
        <v>2</v>
      </c>
      <c r="B99" s="236" t="s">
        <v>447</v>
      </c>
      <c r="C99" s="237">
        <v>358687</v>
      </c>
      <c r="D99" s="237">
        <v>87088</v>
      </c>
      <c r="E99" s="237">
        <f t="shared" si="14"/>
        <v>-271599</v>
      </c>
      <c r="F99" s="238">
        <f t="shared" si="15"/>
        <v>-0.75720335557184959</v>
      </c>
    </row>
    <row r="100" spans="1:7" ht="20.25" customHeight="1" x14ac:dyDescent="0.3">
      <c r="A100" s="235">
        <v>3</v>
      </c>
      <c r="B100" s="236" t="s">
        <v>448</v>
      </c>
      <c r="C100" s="237">
        <v>3117327</v>
      </c>
      <c r="D100" s="237">
        <v>1002050</v>
      </c>
      <c r="E100" s="237">
        <f t="shared" si="14"/>
        <v>-2115277</v>
      </c>
      <c r="F100" s="238">
        <f t="shared" si="15"/>
        <v>-0.67855473615697037</v>
      </c>
    </row>
    <row r="101" spans="1:7" ht="20.25" customHeight="1" x14ac:dyDescent="0.3">
      <c r="A101" s="235">
        <v>4</v>
      </c>
      <c r="B101" s="236" t="s">
        <v>449</v>
      </c>
      <c r="C101" s="237">
        <v>1191118</v>
      </c>
      <c r="D101" s="237">
        <v>482640</v>
      </c>
      <c r="E101" s="237">
        <f t="shared" si="14"/>
        <v>-708478</v>
      </c>
      <c r="F101" s="238">
        <f t="shared" si="15"/>
        <v>-0.59480085096522761</v>
      </c>
    </row>
    <row r="102" spans="1:7" ht="20.25" customHeight="1" x14ac:dyDescent="0.3">
      <c r="A102" s="235">
        <v>5</v>
      </c>
      <c r="B102" s="236" t="s">
        <v>385</v>
      </c>
      <c r="C102" s="239">
        <v>143</v>
      </c>
      <c r="D102" s="239">
        <v>18</v>
      </c>
      <c r="E102" s="239">
        <f t="shared" si="14"/>
        <v>-125</v>
      </c>
      <c r="F102" s="238">
        <f t="shared" si="15"/>
        <v>-0.87412587412587417</v>
      </c>
    </row>
    <row r="103" spans="1:7" ht="20.25" customHeight="1" x14ac:dyDescent="0.3">
      <c r="A103" s="235">
        <v>6</v>
      </c>
      <c r="B103" s="236" t="s">
        <v>384</v>
      </c>
      <c r="C103" s="239">
        <v>310</v>
      </c>
      <c r="D103" s="239">
        <v>44</v>
      </c>
      <c r="E103" s="239">
        <f t="shared" si="14"/>
        <v>-266</v>
      </c>
      <c r="F103" s="238">
        <f t="shared" si="15"/>
        <v>-0.85806451612903223</v>
      </c>
    </row>
    <row r="104" spans="1:7" ht="20.25" customHeight="1" x14ac:dyDescent="0.3">
      <c r="A104" s="235">
        <v>7</v>
      </c>
      <c r="B104" s="236" t="s">
        <v>450</v>
      </c>
      <c r="C104" s="239">
        <v>3651</v>
      </c>
      <c r="D104" s="239">
        <v>910</v>
      </c>
      <c r="E104" s="239">
        <f t="shared" si="14"/>
        <v>-2741</v>
      </c>
      <c r="F104" s="238">
        <f t="shared" si="15"/>
        <v>-0.75075321829635722</v>
      </c>
    </row>
    <row r="105" spans="1:7" ht="20.25" customHeight="1" x14ac:dyDescent="0.3">
      <c r="A105" s="235">
        <v>8</v>
      </c>
      <c r="B105" s="236" t="s">
        <v>451</v>
      </c>
      <c r="C105" s="239">
        <v>2056</v>
      </c>
      <c r="D105" s="239">
        <v>530</v>
      </c>
      <c r="E105" s="239">
        <f t="shared" si="14"/>
        <v>-1526</v>
      </c>
      <c r="F105" s="238">
        <f t="shared" si="15"/>
        <v>-0.74221789883268485</v>
      </c>
    </row>
    <row r="106" spans="1:7" ht="20.25" customHeight="1" x14ac:dyDescent="0.3">
      <c r="A106" s="235">
        <v>9</v>
      </c>
      <c r="B106" s="236" t="s">
        <v>452</v>
      </c>
      <c r="C106" s="239">
        <v>24</v>
      </c>
      <c r="D106" s="239">
        <v>6</v>
      </c>
      <c r="E106" s="239">
        <f t="shared" si="14"/>
        <v>-18</v>
      </c>
      <c r="F106" s="238">
        <f t="shared" si="15"/>
        <v>-0.75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3864554</v>
      </c>
      <c r="D107" s="243">
        <f>+D98+D100</f>
        <v>1133500</v>
      </c>
      <c r="E107" s="243">
        <f t="shared" si="14"/>
        <v>-2731054</v>
      </c>
      <c r="F107" s="244">
        <f t="shared" si="15"/>
        <v>-0.70669319150411669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1549805</v>
      </c>
      <c r="D108" s="243">
        <f>+D99+D101</f>
        <v>569728</v>
      </c>
      <c r="E108" s="243">
        <f t="shared" si="14"/>
        <v>-980077</v>
      </c>
      <c r="F108" s="244">
        <f t="shared" si="15"/>
        <v>-0.63238730033778445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3180279</v>
      </c>
      <c r="D112" s="243">
        <f t="shared" si="16"/>
        <v>666923</v>
      </c>
      <c r="E112" s="243">
        <f t="shared" ref="E112:E122" si="17">D112-C112</f>
        <v>-2513356</v>
      </c>
      <c r="F112" s="244">
        <f t="shared" ref="F112:F122" si="18">IF(C112=0,0,E112/C112)</f>
        <v>-0.79029418488126357</v>
      </c>
    </row>
    <row r="113" spans="1:6" ht="20.25" customHeight="1" x14ac:dyDescent="0.3">
      <c r="A113" s="249"/>
      <c r="B113" s="250" t="s">
        <v>473</v>
      </c>
      <c r="C113" s="243">
        <f t="shared" si="16"/>
        <v>1441841</v>
      </c>
      <c r="D113" s="243">
        <f t="shared" si="16"/>
        <v>416744</v>
      </c>
      <c r="E113" s="243">
        <f t="shared" si="17"/>
        <v>-1025097</v>
      </c>
      <c r="F113" s="244">
        <f t="shared" si="18"/>
        <v>-0.71096396898132319</v>
      </c>
    </row>
    <row r="114" spans="1:6" ht="20.25" customHeight="1" x14ac:dyDescent="0.3">
      <c r="A114" s="249"/>
      <c r="B114" s="250" t="s">
        <v>474</v>
      </c>
      <c r="C114" s="243">
        <f t="shared" si="16"/>
        <v>13581110</v>
      </c>
      <c r="D114" s="243">
        <f t="shared" si="16"/>
        <v>3770770</v>
      </c>
      <c r="E114" s="243">
        <f t="shared" si="17"/>
        <v>-9810340</v>
      </c>
      <c r="F114" s="244">
        <f t="shared" si="18"/>
        <v>-0.7223518548925677</v>
      </c>
    </row>
    <row r="115" spans="1:6" ht="20.25" customHeight="1" x14ac:dyDescent="0.3">
      <c r="A115" s="249"/>
      <c r="B115" s="250" t="s">
        <v>475</v>
      </c>
      <c r="C115" s="243">
        <f t="shared" si="16"/>
        <v>5239897</v>
      </c>
      <c r="D115" s="243">
        <f t="shared" si="16"/>
        <v>1992902</v>
      </c>
      <c r="E115" s="243">
        <f t="shared" si="17"/>
        <v>-3246995</v>
      </c>
      <c r="F115" s="244">
        <f t="shared" si="18"/>
        <v>-0.61966771484248639</v>
      </c>
    </row>
    <row r="116" spans="1:6" ht="20.25" customHeight="1" x14ac:dyDescent="0.3">
      <c r="A116" s="249"/>
      <c r="B116" s="250" t="s">
        <v>476</v>
      </c>
      <c r="C116" s="252">
        <f t="shared" si="16"/>
        <v>466</v>
      </c>
      <c r="D116" s="252">
        <f t="shared" si="16"/>
        <v>83</v>
      </c>
      <c r="E116" s="252">
        <f t="shared" si="17"/>
        <v>-383</v>
      </c>
      <c r="F116" s="244">
        <f t="shared" si="18"/>
        <v>-0.82188841201716734</v>
      </c>
    </row>
    <row r="117" spans="1:6" ht="20.25" customHeight="1" x14ac:dyDescent="0.3">
      <c r="A117" s="249"/>
      <c r="B117" s="250" t="s">
        <v>477</v>
      </c>
      <c r="C117" s="252">
        <f t="shared" si="16"/>
        <v>1179</v>
      </c>
      <c r="D117" s="252">
        <f t="shared" si="16"/>
        <v>235</v>
      </c>
      <c r="E117" s="252">
        <f t="shared" si="17"/>
        <v>-944</v>
      </c>
      <c r="F117" s="244">
        <f t="shared" si="18"/>
        <v>-0.80067854113655645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16429</v>
      </c>
      <c r="D118" s="252">
        <f t="shared" si="16"/>
        <v>3977</v>
      </c>
      <c r="E118" s="252">
        <f t="shared" si="17"/>
        <v>-12452</v>
      </c>
      <c r="F118" s="244">
        <f t="shared" si="18"/>
        <v>-0.75792805405076391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6668</v>
      </c>
      <c r="D119" s="252">
        <f t="shared" si="16"/>
        <v>1672</v>
      </c>
      <c r="E119" s="252">
        <f t="shared" si="17"/>
        <v>-4996</v>
      </c>
      <c r="F119" s="244">
        <f t="shared" si="18"/>
        <v>-0.74925014997000605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127</v>
      </c>
      <c r="D120" s="252">
        <f t="shared" si="16"/>
        <v>40</v>
      </c>
      <c r="E120" s="252">
        <f t="shared" si="17"/>
        <v>-87</v>
      </c>
      <c r="F120" s="244">
        <f t="shared" si="18"/>
        <v>-0.68503937007874016</v>
      </c>
    </row>
    <row r="121" spans="1:6" ht="39.950000000000003" customHeight="1" x14ac:dyDescent="0.3">
      <c r="A121" s="249"/>
      <c r="B121" s="242" t="s">
        <v>453</v>
      </c>
      <c r="C121" s="243">
        <f>+C112+C114</f>
        <v>16761389</v>
      </c>
      <c r="D121" s="243">
        <f>+D112+D114</f>
        <v>4437693</v>
      </c>
      <c r="E121" s="243">
        <f t="shared" si="17"/>
        <v>-12323696</v>
      </c>
      <c r="F121" s="244">
        <f t="shared" si="18"/>
        <v>-0.73524312334735509</v>
      </c>
    </row>
    <row r="122" spans="1:6" ht="39.950000000000003" customHeight="1" x14ac:dyDescent="0.3">
      <c r="A122" s="249"/>
      <c r="B122" s="242" t="s">
        <v>482</v>
      </c>
      <c r="C122" s="243">
        <f>+C113+C115</f>
        <v>6681738</v>
      </c>
      <c r="D122" s="243">
        <f>+D113+D115</f>
        <v>2409646</v>
      </c>
      <c r="E122" s="243">
        <f t="shared" si="17"/>
        <v>-4272092</v>
      </c>
      <c r="F122" s="244">
        <f t="shared" si="18"/>
        <v>-0.639368379903552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FILING&amp;RCHARLOTTE HUNGERFORD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8455576</v>
      </c>
      <c r="D13" s="23">
        <v>9871014</v>
      </c>
      <c r="E13" s="23">
        <f t="shared" ref="E13:E22" si="0">D13-C13</f>
        <v>1415438</v>
      </c>
      <c r="F13" s="24">
        <f t="shared" ref="F13:F22" si="1">IF(C13=0,0,E13/C13)</f>
        <v>0.16739699341594233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11144540</v>
      </c>
      <c r="D15" s="23">
        <v>13441101</v>
      </c>
      <c r="E15" s="23">
        <f t="shared" si="0"/>
        <v>2296561</v>
      </c>
      <c r="F15" s="24">
        <f t="shared" si="1"/>
        <v>0.20607050627482157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1516187</v>
      </c>
      <c r="D18" s="23">
        <v>971585</v>
      </c>
      <c r="E18" s="23">
        <f t="shared" si="0"/>
        <v>-544602</v>
      </c>
      <c r="F18" s="24">
        <f t="shared" si="1"/>
        <v>-0.3591918411119473</v>
      </c>
    </row>
    <row r="19" spans="1:11" ht="24" customHeight="1" x14ac:dyDescent="0.2">
      <c r="A19" s="21">
        <v>7</v>
      </c>
      <c r="B19" s="22" t="s">
        <v>22</v>
      </c>
      <c r="C19" s="23">
        <v>1994112</v>
      </c>
      <c r="D19" s="23">
        <v>2025113</v>
      </c>
      <c r="E19" s="23">
        <f t="shared" si="0"/>
        <v>31001</v>
      </c>
      <c r="F19" s="24">
        <f t="shared" si="1"/>
        <v>1.5546268213620901E-2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0</v>
      </c>
      <c r="E20" s="23">
        <f t="shared" si="0"/>
        <v>0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2360864</v>
      </c>
      <c r="D21" s="23">
        <v>1717026</v>
      </c>
      <c r="E21" s="23">
        <f t="shared" si="0"/>
        <v>-643838</v>
      </c>
      <c r="F21" s="24">
        <f t="shared" si="1"/>
        <v>-0.27271287122002791</v>
      </c>
    </row>
    <row r="22" spans="1:11" ht="24" customHeight="1" x14ac:dyDescent="0.25">
      <c r="A22" s="25"/>
      <c r="B22" s="26" t="s">
        <v>25</v>
      </c>
      <c r="C22" s="27">
        <f>SUM(C13:C21)</f>
        <v>25471279</v>
      </c>
      <c r="D22" s="27">
        <f>SUM(D13:D21)</f>
        <v>28025839</v>
      </c>
      <c r="E22" s="27">
        <f t="shared" si="0"/>
        <v>2554560</v>
      </c>
      <c r="F22" s="28">
        <f t="shared" si="1"/>
        <v>0.10029178354176875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16087230</v>
      </c>
      <c r="D25" s="23">
        <v>18116227</v>
      </c>
      <c r="E25" s="23">
        <f>D25-C25</f>
        <v>2028997</v>
      </c>
      <c r="F25" s="24">
        <f>IF(C25=0,0,E25/C25)</f>
        <v>0.1261246964207014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288839</v>
      </c>
      <c r="D27" s="23">
        <v>400278</v>
      </c>
      <c r="E27" s="23">
        <f>D27-C27</f>
        <v>111439</v>
      </c>
      <c r="F27" s="24">
        <f>IF(C27=0,0,E27/C27)</f>
        <v>0.38581701224557624</v>
      </c>
    </row>
    <row r="28" spans="1:11" ht="35.1" customHeight="1" x14ac:dyDescent="0.2">
      <c r="A28" s="21">
        <v>4</v>
      </c>
      <c r="B28" s="22" t="s">
        <v>31</v>
      </c>
      <c r="C28" s="23">
        <v>6563036</v>
      </c>
      <c r="D28" s="23">
        <v>6989321</v>
      </c>
      <c r="E28" s="23">
        <f>D28-C28</f>
        <v>426285</v>
      </c>
      <c r="F28" s="24">
        <f>IF(C28=0,0,E28/C28)</f>
        <v>6.4952409220366922E-2</v>
      </c>
    </row>
    <row r="29" spans="1:11" ht="35.1" customHeight="1" x14ac:dyDescent="0.25">
      <c r="A29" s="25"/>
      <c r="B29" s="26" t="s">
        <v>32</v>
      </c>
      <c r="C29" s="27">
        <f>SUM(C25:C28)</f>
        <v>22939105</v>
      </c>
      <c r="D29" s="27">
        <f>SUM(D25:D28)</f>
        <v>25505826</v>
      </c>
      <c r="E29" s="27">
        <f>D29-C29</f>
        <v>2566721</v>
      </c>
      <c r="F29" s="28">
        <f>IF(C29=0,0,E29/C29)</f>
        <v>0.11189281360366937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28762329</v>
      </c>
      <c r="D32" s="23">
        <v>33807880</v>
      </c>
      <c r="E32" s="23">
        <f>D32-C32</f>
        <v>5045551</v>
      </c>
      <c r="F32" s="24">
        <f>IF(C32=0,0,E32/C32)</f>
        <v>0.17542219894640659</v>
      </c>
    </row>
    <row r="33" spans="1:8" ht="24" customHeight="1" x14ac:dyDescent="0.2">
      <c r="A33" s="21">
        <v>7</v>
      </c>
      <c r="B33" s="22" t="s">
        <v>35</v>
      </c>
      <c r="C33" s="23">
        <v>1677378</v>
      </c>
      <c r="D33" s="23">
        <v>1334720</v>
      </c>
      <c r="E33" s="23">
        <f>D33-C33</f>
        <v>-342658</v>
      </c>
      <c r="F33" s="24">
        <f>IF(C33=0,0,E33/C33)</f>
        <v>-0.20428192095043574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141431820</v>
      </c>
      <c r="D36" s="23">
        <v>143527470</v>
      </c>
      <c r="E36" s="23">
        <f>D36-C36</f>
        <v>2095650</v>
      </c>
      <c r="F36" s="24">
        <f>IF(C36=0,0,E36/C36)</f>
        <v>1.4817386921839796E-2</v>
      </c>
    </row>
    <row r="37" spans="1:8" ht="24" customHeight="1" x14ac:dyDescent="0.2">
      <c r="A37" s="21">
        <v>2</v>
      </c>
      <c r="B37" s="22" t="s">
        <v>39</v>
      </c>
      <c r="C37" s="23">
        <v>102493235</v>
      </c>
      <c r="D37" s="23">
        <v>106694984</v>
      </c>
      <c r="E37" s="23">
        <f>D37-C37</f>
        <v>4201749</v>
      </c>
      <c r="F37" s="23">
        <f>IF(C37=0,0,E37/C37)</f>
        <v>4.0995378865736849E-2</v>
      </c>
    </row>
    <row r="38" spans="1:8" ht="24" customHeight="1" x14ac:dyDescent="0.25">
      <c r="A38" s="25"/>
      <c r="B38" s="26" t="s">
        <v>40</v>
      </c>
      <c r="C38" s="27">
        <f>C36-C37</f>
        <v>38938585</v>
      </c>
      <c r="D38" s="27">
        <f>D36-D37</f>
        <v>36832486</v>
      </c>
      <c r="E38" s="27">
        <f>D38-C38</f>
        <v>-2106099</v>
      </c>
      <c r="F38" s="28">
        <f>IF(C38=0,0,E38/C38)</f>
        <v>-5.4087712740460397E-2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1037834</v>
      </c>
      <c r="D40" s="23">
        <v>1020301</v>
      </c>
      <c r="E40" s="23">
        <f>D40-C40</f>
        <v>-17533</v>
      </c>
      <c r="F40" s="24">
        <f>IF(C40=0,0,E40/C40)</f>
        <v>-1.6893838513673671E-2</v>
      </c>
    </row>
    <row r="41" spans="1:8" ht="24" customHeight="1" x14ac:dyDescent="0.25">
      <c r="A41" s="25"/>
      <c r="B41" s="26" t="s">
        <v>42</v>
      </c>
      <c r="C41" s="27">
        <f>+C38+C40</f>
        <v>39976419</v>
      </c>
      <c r="D41" s="27">
        <f>+D38+D40</f>
        <v>37852787</v>
      </c>
      <c r="E41" s="27">
        <f>D41-C41</f>
        <v>-2123632</v>
      </c>
      <c r="F41" s="28">
        <f>IF(C41=0,0,E41/C41)</f>
        <v>-5.3122116815915901E-2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118826510</v>
      </c>
      <c r="D43" s="27">
        <f>D22+D29+D31+D32+D33+D41</f>
        <v>126527052</v>
      </c>
      <c r="E43" s="27">
        <f>D43-C43</f>
        <v>7700542</v>
      </c>
      <c r="F43" s="28">
        <f>IF(C43=0,0,E43/C43)</f>
        <v>6.4804916007379157E-2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5509809</v>
      </c>
      <c r="D49" s="23">
        <v>5029676</v>
      </c>
      <c r="E49" s="23">
        <f t="shared" ref="E49:E56" si="2">D49-C49</f>
        <v>-480133</v>
      </c>
      <c r="F49" s="24">
        <f t="shared" ref="F49:F56" si="3">IF(C49=0,0,E49/C49)</f>
        <v>-8.7141496193425219E-2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3433272</v>
      </c>
      <c r="D50" s="23">
        <v>4027215</v>
      </c>
      <c r="E50" s="23">
        <f t="shared" si="2"/>
        <v>593943</v>
      </c>
      <c r="F50" s="24">
        <f t="shared" si="3"/>
        <v>0.17299619721362014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1693818</v>
      </c>
      <c r="D51" s="23">
        <v>1917192</v>
      </c>
      <c r="E51" s="23">
        <f t="shared" si="2"/>
        <v>223374</v>
      </c>
      <c r="F51" s="24">
        <f t="shared" si="3"/>
        <v>0.13187603390683061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1155000</v>
      </c>
      <c r="D53" s="23">
        <v>1200000</v>
      </c>
      <c r="E53" s="23">
        <f t="shared" si="2"/>
        <v>45000</v>
      </c>
      <c r="F53" s="24">
        <f t="shared" si="3"/>
        <v>3.896103896103896E-2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186190</v>
      </c>
      <c r="D54" s="23">
        <v>198100</v>
      </c>
      <c r="E54" s="23">
        <f t="shared" si="2"/>
        <v>11910</v>
      </c>
      <c r="F54" s="24">
        <f t="shared" si="3"/>
        <v>6.3966915516407971E-2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7183569</v>
      </c>
      <c r="D55" s="23">
        <v>7726163</v>
      </c>
      <c r="E55" s="23">
        <f t="shared" si="2"/>
        <v>542594</v>
      </c>
      <c r="F55" s="24">
        <f t="shared" si="3"/>
        <v>7.5532649578503391E-2</v>
      </c>
    </row>
    <row r="56" spans="1:6" ht="24" customHeight="1" x14ac:dyDescent="0.25">
      <c r="A56" s="25"/>
      <c r="B56" s="26" t="s">
        <v>54</v>
      </c>
      <c r="C56" s="27">
        <f>SUM(C49:C55)</f>
        <v>19161658</v>
      </c>
      <c r="D56" s="27">
        <f>SUM(D49:D55)</f>
        <v>20098346</v>
      </c>
      <c r="E56" s="27">
        <f t="shared" si="2"/>
        <v>936688</v>
      </c>
      <c r="F56" s="28">
        <f t="shared" si="3"/>
        <v>4.888345256970978E-2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1200000</v>
      </c>
      <c r="D59" s="23">
        <v>0</v>
      </c>
      <c r="E59" s="23">
        <f>D59-C59</f>
        <v>-1200000</v>
      </c>
      <c r="F59" s="24">
        <f>IF(C59=0,0,E59/C59)</f>
        <v>-1</v>
      </c>
    </row>
    <row r="60" spans="1:6" ht="24" customHeight="1" x14ac:dyDescent="0.2">
      <c r="A60" s="21">
        <v>2</v>
      </c>
      <c r="B60" s="22" t="s">
        <v>57</v>
      </c>
      <c r="C60" s="23">
        <v>3424338</v>
      </c>
      <c r="D60" s="23">
        <v>3223366</v>
      </c>
      <c r="E60" s="23">
        <f>D60-C60</f>
        <v>-200972</v>
      </c>
      <c r="F60" s="24">
        <f>IF(C60=0,0,E60/C60)</f>
        <v>-5.8689299946442203E-2</v>
      </c>
    </row>
    <row r="61" spans="1:6" ht="24" customHeight="1" x14ac:dyDescent="0.25">
      <c r="A61" s="25"/>
      <c r="B61" s="26" t="s">
        <v>58</v>
      </c>
      <c r="C61" s="27">
        <f>SUM(C59:C60)</f>
        <v>4624338</v>
      </c>
      <c r="D61" s="27">
        <f>SUM(D59:D60)</f>
        <v>3223366</v>
      </c>
      <c r="E61" s="27">
        <f>D61-C61</f>
        <v>-1400972</v>
      </c>
      <c r="F61" s="28">
        <f>IF(C61=0,0,E61/C61)</f>
        <v>-0.30295622854557774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26422971</v>
      </c>
      <c r="D63" s="23">
        <v>38287989</v>
      </c>
      <c r="E63" s="23">
        <f>D63-C63</f>
        <v>11865018</v>
      </c>
      <c r="F63" s="24">
        <f>IF(C63=0,0,E63/C63)</f>
        <v>0.44904178262164385</v>
      </c>
    </row>
    <row r="64" spans="1:6" ht="24" customHeight="1" x14ac:dyDescent="0.2">
      <c r="A64" s="21">
        <v>4</v>
      </c>
      <c r="B64" s="22" t="s">
        <v>60</v>
      </c>
      <c r="C64" s="23">
        <v>2631693</v>
      </c>
      <c r="D64" s="23">
        <v>3125672</v>
      </c>
      <c r="E64" s="23">
        <f>D64-C64</f>
        <v>493979</v>
      </c>
      <c r="F64" s="24">
        <f>IF(C64=0,0,E64/C64)</f>
        <v>0.18770388491362786</v>
      </c>
    </row>
    <row r="65" spans="1:6" ht="24" customHeight="1" x14ac:dyDescent="0.25">
      <c r="A65" s="25"/>
      <c r="B65" s="26" t="s">
        <v>61</v>
      </c>
      <c r="C65" s="27">
        <f>SUM(C61:C64)</f>
        <v>33679002</v>
      </c>
      <c r="D65" s="27">
        <f>SUM(D61:D64)</f>
        <v>44637027</v>
      </c>
      <c r="E65" s="27">
        <f>D65-C65</f>
        <v>10958025</v>
      </c>
      <c r="F65" s="28">
        <f>IF(C65=0,0,E65/C65)</f>
        <v>0.32536667802686076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47062165</v>
      </c>
      <c r="D70" s="23">
        <v>40934207</v>
      </c>
      <c r="E70" s="23">
        <f>D70-C70</f>
        <v>-6127958</v>
      </c>
      <c r="F70" s="24">
        <f>IF(C70=0,0,E70/C70)</f>
        <v>-0.13020986178600155</v>
      </c>
    </row>
    <row r="71" spans="1:6" ht="24" customHeight="1" x14ac:dyDescent="0.2">
      <c r="A71" s="21">
        <v>2</v>
      </c>
      <c r="B71" s="22" t="s">
        <v>65</v>
      </c>
      <c r="C71" s="23">
        <v>2810655</v>
      </c>
      <c r="D71" s="23">
        <v>3236940</v>
      </c>
      <c r="E71" s="23">
        <f>D71-C71</f>
        <v>426285</v>
      </c>
      <c r="F71" s="24">
        <f>IF(C71=0,0,E71/C71)</f>
        <v>0.15166749387598263</v>
      </c>
    </row>
    <row r="72" spans="1:6" ht="24" customHeight="1" x14ac:dyDescent="0.2">
      <c r="A72" s="21">
        <v>3</v>
      </c>
      <c r="B72" s="22" t="s">
        <v>66</v>
      </c>
      <c r="C72" s="23">
        <v>16113030</v>
      </c>
      <c r="D72" s="23">
        <v>17620532</v>
      </c>
      <c r="E72" s="23">
        <f>D72-C72</f>
        <v>1507502</v>
      </c>
      <c r="F72" s="24">
        <f>IF(C72=0,0,E72/C72)</f>
        <v>9.3557946581120988E-2</v>
      </c>
    </row>
    <row r="73" spans="1:6" ht="24" customHeight="1" x14ac:dyDescent="0.25">
      <c r="A73" s="21"/>
      <c r="B73" s="26" t="s">
        <v>67</v>
      </c>
      <c r="C73" s="27">
        <f>SUM(C70:C72)</f>
        <v>65985850</v>
      </c>
      <c r="D73" s="27">
        <f>SUM(D70:D72)</f>
        <v>61791679</v>
      </c>
      <c r="E73" s="27">
        <f>D73-C73</f>
        <v>-4194171</v>
      </c>
      <c r="F73" s="28">
        <f>IF(C73=0,0,E73/C73)</f>
        <v>-6.3561672691948345E-2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118826510</v>
      </c>
      <c r="D75" s="27">
        <f>D56+D65+D67+D73</f>
        <v>126527052</v>
      </c>
      <c r="E75" s="27">
        <f>D75-C75</f>
        <v>7700542</v>
      </c>
      <c r="F75" s="28">
        <f>IF(C75=0,0,E75/C75)</f>
        <v>6.4804916007379157E-2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FILING&amp;RTHE CHARLOTTE HUNGERFORD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208629597</v>
      </c>
      <c r="D12" s="51">
        <v>237069420</v>
      </c>
      <c r="E12" s="51">
        <f t="shared" ref="E12:E19" si="0">D12-C12</f>
        <v>28439823</v>
      </c>
      <c r="F12" s="70">
        <f t="shared" ref="F12:F19" si="1">IF(C12=0,0,E12/C12)</f>
        <v>0.13631729825946029</v>
      </c>
    </row>
    <row r="13" spans="1:8" ht="23.1" customHeight="1" x14ac:dyDescent="0.2">
      <c r="A13" s="25">
        <v>2</v>
      </c>
      <c r="B13" s="48" t="s">
        <v>72</v>
      </c>
      <c r="C13" s="51">
        <v>97340958</v>
      </c>
      <c r="D13" s="51">
        <v>118988604</v>
      </c>
      <c r="E13" s="51">
        <f t="shared" si="0"/>
        <v>21647646</v>
      </c>
      <c r="F13" s="70">
        <f t="shared" si="1"/>
        <v>0.22238990086783408</v>
      </c>
    </row>
    <row r="14" spans="1:8" ht="23.1" customHeight="1" x14ac:dyDescent="0.2">
      <c r="A14" s="25">
        <v>3</v>
      </c>
      <c r="B14" s="48" t="s">
        <v>73</v>
      </c>
      <c r="C14" s="51">
        <v>1718922</v>
      </c>
      <c r="D14" s="51">
        <v>1766984</v>
      </c>
      <c r="E14" s="51">
        <f t="shared" si="0"/>
        <v>48062</v>
      </c>
      <c r="F14" s="70">
        <f t="shared" si="1"/>
        <v>2.7960547366314471E-2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109569717</v>
      </c>
      <c r="D16" s="27">
        <f>D12-D13-D14-D15</f>
        <v>116313832</v>
      </c>
      <c r="E16" s="27">
        <f t="shared" si="0"/>
        <v>6744115</v>
      </c>
      <c r="F16" s="28">
        <f t="shared" si="1"/>
        <v>6.1550902791872683E-2</v>
      </c>
    </row>
    <row r="17" spans="1:7" ht="23.1" customHeight="1" x14ac:dyDescent="0.2">
      <c r="A17" s="25">
        <v>5</v>
      </c>
      <c r="B17" s="48" t="s">
        <v>76</v>
      </c>
      <c r="C17" s="51">
        <v>4949386</v>
      </c>
      <c r="D17" s="51">
        <v>5735128</v>
      </c>
      <c r="E17" s="51">
        <f t="shared" si="0"/>
        <v>785742</v>
      </c>
      <c r="F17" s="70">
        <f t="shared" si="1"/>
        <v>0.15875544966587773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114519103</v>
      </c>
      <c r="D19" s="27">
        <f>SUM(D16:D18)</f>
        <v>122048960</v>
      </c>
      <c r="E19" s="27">
        <f t="shared" si="0"/>
        <v>7529857</v>
      </c>
      <c r="F19" s="28">
        <f t="shared" si="1"/>
        <v>6.5751973275585296E-2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51728193</v>
      </c>
      <c r="D22" s="51">
        <v>54928730</v>
      </c>
      <c r="E22" s="51">
        <f t="shared" ref="E22:E31" si="2">D22-C22</f>
        <v>3200537</v>
      </c>
      <c r="F22" s="70">
        <f t="shared" ref="F22:F31" si="3">IF(C22=0,0,E22/C22)</f>
        <v>6.1872198010087073E-2</v>
      </c>
    </row>
    <row r="23" spans="1:7" ht="23.1" customHeight="1" x14ac:dyDescent="0.2">
      <c r="A23" s="25">
        <v>2</v>
      </c>
      <c r="B23" s="48" t="s">
        <v>81</v>
      </c>
      <c r="C23" s="51">
        <v>15812664</v>
      </c>
      <c r="D23" s="51">
        <v>16546435</v>
      </c>
      <c r="E23" s="51">
        <f t="shared" si="2"/>
        <v>733771</v>
      </c>
      <c r="F23" s="70">
        <f t="shared" si="3"/>
        <v>4.6404008837473559E-2</v>
      </c>
    </row>
    <row r="24" spans="1:7" ht="23.1" customHeight="1" x14ac:dyDescent="0.2">
      <c r="A24" s="25">
        <v>3</v>
      </c>
      <c r="B24" s="48" t="s">
        <v>82</v>
      </c>
      <c r="C24" s="51">
        <v>1707737</v>
      </c>
      <c r="D24" s="51">
        <v>3306463</v>
      </c>
      <c r="E24" s="51">
        <f t="shared" si="2"/>
        <v>1598726</v>
      </c>
      <c r="F24" s="70">
        <f t="shared" si="3"/>
        <v>0.93616640032979315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13208881</v>
      </c>
      <c r="D25" s="51">
        <v>12272846</v>
      </c>
      <c r="E25" s="51">
        <f t="shared" si="2"/>
        <v>-936035</v>
      </c>
      <c r="F25" s="70">
        <f t="shared" si="3"/>
        <v>-7.0864064866660539E-2</v>
      </c>
    </row>
    <row r="26" spans="1:7" ht="23.1" customHeight="1" x14ac:dyDescent="0.2">
      <c r="A26" s="25">
        <v>5</v>
      </c>
      <c r="B26" s="48" t="s">
        <v>84</v>
      </c>
      <c r="C26" s="51">
        <v>6178082</v>
      </c>
      <c r="D26" s="51">
        <v>6060455</v>
      </c>
      <c r="E26" s="51">
        <f t="shared" si="2"/>
        <v>-117627</v>
      </c>
      <c r="F26" s="70">
        <f t="shared" si="3"/>
        <v>-1.9039404138695471E-2</v>
      </c>
    </row>
    <row r="27" spans="1:7" ht="23.1" customHeight="1" x14ac:dyDescent="0.2">
      <c r="A27" s="25">
        <v>6</v>
      </c>
      <c r="B27" s="48" t="s">
        <v>85</v>
      </c>
      <c r="C27" s="51">
        <v>2129955</v>
      </c>
      <c r="D27" s="51">
        <v>3125364</v>
      </c>
      <c r="E27" s="51">
        <f t="shared" si="2"/>
        <v>995409</v>
      </c>
      <c r="F27" s="70">
        <f t="shared" si="3"/>
        <v>0.46733804235300747</v>
      </c>
    </row>
    <row r="28" spans="1:7" ht="23.1" customHeight="1" x14ac:dyDescent="0.2">
      <c r="A28" s="25">
        <v>7</v>
      </c>
      <c r="B28" s="48" t="s">
        <v>86</v>
      </c>
      <c r="C28" s="51">
        <v>308286</v>
      </c>
      <c r="D28" s="51">
        <v>264153</v>
      </c>
      <c r="E28" s="51">
        <f t="shared" si="2"/>
        <v>-44133</v>
      </c>
      <c r="F28" s="70">
        <f t="shared" si="3"/>
        <v>-0.14315603043926745</v>
      </c>
    </row>
    <row r="29" spans="1:7" ht="23.1" customHeight="1" x14ac:dyDescent="0.2">
      <c r="A29" s="25">
        <v>8</v>
      </c>
      <c r="B29" s="48" t="s">
        <v>87</v>
      </c>
      <c r="C29" s="51">
        <v>2111635</v>
      </c>
      <c r="D29" s="51">
        <v>1748531</v>
      </c>
      <c r="E29" s="51">
        <f t="shared" si="2"/>
        <v>-363104</v>
      </c>
      <c r="F29" s="70">
        <f t="shared" si="3"/>
        <v>-0.17195395984628026</v>
      </c>
    </row>
    <row r="30" spans="1:7" ht="23.1" customHeight="1" x14ac:dyDescent="0.2">
      <c r="A30" s="25">
        <v>9</v>
      </c>
      <c r="B30" s="48" t="s">
        <v>88</v>
      </c>
      <c r="C30" s="51">
        <v>20695334</v>
      </c>
      <c r="D30" s="51">
        <v>23629704</v>
      </c>
      <c r="E30" s="51">
        <f t="shared" si="2"/>
        <v>2934370</v>
      </c>
      <c r="F30" s="70">
        <f t="shared" si="3"/>
        <v>0.14178896557069337</v>
      </c>
    </row>
    <row r="31" spans="1:7" ht="23.1" customHeight="1" x14ac:dyDescent="0.25">
      <c r="A31" s="29"/>
      <c r="B31" s="71" t="s">
        <v>89</v>
      </c>
      <c r="C31" s="27">
        <f>SUM(C22:C30)</f>
        <v>113880767</v>
      </c>
      <c r="D31" s="27">
        <f>SUM(D22:D30)</f>
        <v>121882681</v>
      </c>
      <c r="E31" s="27">
        <f t="shared" si="2"/>
        <v>8001914</v>
      </c>
      <c r="F31" s="28">
        <f t="shared" si="3"/>
        <v>7.0265719232467064E-2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638336</v>
      </c>
      <c r="D33" s="27">
        <f>+D19-D31</f>
        <v>166279</v>
      </c>
      <c r="E33" s="27">
        <f>D33-C33</f>
        <v>-472057</v>
      </c>
      <c r="F33" s="28">
        <f>IF(C33=0,0,E33/C33)</f>
        <v>-0.73951179316222182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1496290</v>
      </c>
      <c r="D36" s="51">
        <v>2102513</v>
      </c>
      <c r="E36" s="51">
        <f>D36-C36</f>
        <v>606223</v>
      </c>
      <c r="F36" s="70">
        <f>IF(C36=0,0,E36/C36)</f>
        <v>0.40515073949568597</v>
      </c>
    </row>
    <row r="37" spans="1:6" ht="23.1" customHeight="1" x14ac:dyDescent="0.2">
      <c r="A37" s="44">
        <v>2</v>
      </c>
      <c r="B37" s="48" t="s">
        <v>93</v>
      </c>
      <c r="C37" s="51">
        <v>405765</v>
      </c>
      <c r="D37" s="51">
        <v>27952</v>
      </c>
      <c r="E37" s="51">
        <f>D37-C37</f>
        <v>-377813</v>
      </c>
      <c r="F37" s="70">
        <f>IF(C37=0,0,E37/C37)</f>
        <v>-0.93111283624758168</v>
      </c>
    </row>
    <row r="38" spans="1:6" ht="23.1" customHeight="1" x14ac:dyDescent="0.2">
      <c r="A38" s="44">
        <v>3</v>
      </c>
      <c r="B38" s="48" t="s">
        <v>94</v>
      </c>
      <c r="C38" s="51">
        <v>109058</v>
      </c>
      <c r="D38" s="51">
        <v>118880</v>
      </c>
      <c r="E38" s="51">
        <f>D38-C38</f>
        <v>9822</v>
      </c>
      <c r="F38" s="70">
        <f>IF(C38=0,0,E38/C38)</f>
        <v>9.0062168754240862E-2</v>
      </c>
    </row>
    <row r="39" spans="1:6" ht="23.1" customHeight="1" x14ac:dyDescent="0.25">
      <c r="A39" s="20"/>
      <c r="B39" s="71" t="s">
        <v>95</v>
      </c>
      <c r="C39" s="27">
        <f>SUM(C36:C38)</f>
        <v>2011113</v>
      </c>
      <c r="D39" s="27">
        <f>SUM(D36:D38)</f>
        <v>2249345</v>
      </c>
      <c r="E39" s="27">
        <f>D39-C39</f>
        <v>238232</v>
      </c>
      <c r="F39" s="28">
        <f>IF(C39=0,0,E39/C39)</f>
        <v>0.11845778929378906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2649449</v>
      </c>
      <c r="D41" s="27">
        <f>D33+D39</f>
        <v>2415624</v>
      </c>
      <c r="E41" s="27">
        <f>D41-C41</f>
        <v>-233825</v>
      </c>
      <c r="F41" s="28">
        <f>IF(C41=0,0,E41/C41)</f>
        <v>-8.8254199269357514E-2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2649449</v>
      </c>
      <c r="D48" s="27">
        <f>D41+D46</f>
        <v>2415624</v>
      </c>
      <c r="E48" s="27">
        <f>D48-C48</f>
        <v>-233825</v>
      </c>
      <c r="F48" s="28">
        <f>IF(C48=0,0,E48/C48)</f>
        <v>-8.8254199269357514E-2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FILING&amp;R&amp;8THE CHARLOTTE HUNGERFORD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2013-09-11T12:02:27Z</cp:lastPrinted>
  <dcterms:created xsi:type="dcterms:W3CDTF">2006-08-03T13:49:12Z</dcterms:created>
  <dcterms:modified xsi:type="dcterms:W3CDTF">2013-09-12T14:57:06Z</dcterms:modified>
</cp:coreProperties>
</file>