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Report_400!$A$10:$I$45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562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238" i="14"/>
  <c r="D237" i="14"/>
  <c r="D239" i="14" s="1"/>
  <c r="D230" i="14"/>
  <c r="D229" i="14"/>
  <c r="D226" i="14"/>
  <c r="D227" i="14" s="1"/>
  <c r="D223" i="14"/>
  <c r="D204" i="14"/>
  <c r="D269" i="14"/>
  <c r="D203" i="14"/>
  <c r="D283" i="14"/>
  <c r="D198" i="14"/>
  <c r="D290" i="14"/>
  <c r="D191" i="14"/>
  <c r="D280" i="14"/>
  <c r="D189" i="14"/>
  <c r="D278" i="14"/>
  <c r="D188" i="14"/>
  <c r="D214" i="14"/>
  <c r="D180" i="14"/>
  <c r="D179" i="14"/>
  <c r="D181" i="14" s="1"/>
  <c r="D171" i="14"/>
  <c r="D172" i="14" s="1"/>
  <c r="D173" i="14" s="1"/>
  <c r="D170" i="14"/>
  <c r="D165" i="14"/>
  <c r="D164" i="14"/>
  <c r="D158" i="14"/>
  <c r="D159" i="14" s="1"/>
  <c r="D155" i="14"/>
  <c r="D145" i="14"/>
  <c r="D144" i="14"/>
  <c r="D146" i="14" s="1"/>
  <c r="D136" i="14"/>
  <c r="D135" i="14"/>
  <c r="D130" i="14"/>
  <c r="D129" i="14"/>
  <c r="D123" i="14"/>
  <c r="D124" i="14" s="1"/>
  <c r="D120" i="14"/>
  <c r="D110" i="14"/>
  <c r="D109" i="14"/>
  <c r="D101" i="14"/>
  <c r="D102" i="14" s="1"/>
  <c r="D103" i="14" s="1"/>
  <c r="D100" i="14"/>
  <c r="D95" i="14"/>
  <c r="D94" i="14"/>
  <c r="D88" i="14"/>
  <c r="D89" i="14"/>
  <c r="D85" i="14"/>
  <c r="D77" i="14"/>
  <c r="D76" i="14"/>
  <c r="D67" i="14"/>
  <c r="D66" i="14"/>
  <c r="D59" i="14"/>
  <c r="D60" i="14" s="1"/>
  <c r="D61" i="14" s="1"/>
  <c r="D58" i="14"/>
  <c r="D53" i="14"/>
  <c r="D52" i="14"/>
  <c r="D47" i="14"/>
  <c r="D48" i="14" s="1"/>
  <c r="D90" i="14" s="1"/>
  <c r="D44" i="14"/>
  <c r="D36" i="14"/>
  <c r="D35" i="14"/>
  <c r="D37" i="14"/>
  <c r="D30" i="14"/>
  <c r="D31" i="14"/>
  <c r="D32" i="14" s="1"/>
  <c r="D29" i="14"/>
  <c r="D24" i="14"/>
  <c r="D23" i="14"/>
  <c r="D20" i="14"/>
  <c r="D21" i="14" s="1"/>
  <c r="D126" i="14" s="1"/>
  <c r="D127" i="14" s="1"/>
  <c r="D17" i="14"/>
  <c r="E97" i="19"/>
  <c r="D97" i="19"/>
  <c r="C97" i="19"/>
  <c r="E96" i="19"/>
  <c r="E98" i="19" s="1"/>
  <c r="D96" i="19"/>
  <c r="D98" i="19" s="1"/>
  <c r="C96" i="19"/>
  <c r="C98" i="19" s="1"/>
  <c r="E92" i="19"/>
  <c r="D92" i="19"/>
  <c r="C92" i="19"/>
  <c r="E91" i="19"/>
  <c r="E93" i="19"/>
  <c r="D91" i="19"/>
  <c r="D93" i="19"/>
  <c r="C91" i="19"/>
  <c r="E87" i="19"/>
  <c r="D87" i="19"/>
  <c r="C87" i="19"/>
  <c r="E86" i="19"/>
  <c r="D86" i="19"/>
  <c r="D88" i="19" s="1"/>
  <c r="C86" i="19"/>
  <c r="C88" i="19"/>
  <c r="E83" i="19"/>
  <c r="D83" i="19"/>
  <c r="C83" i="19"/>
  <c r="E76" i="19"/>
  <c r="D76" i="19"/>
  <c r="C76" i="19"/>
  <c r="E75" i="19"/>
  <c r="E101" i="19" s="1"/>
  <c r="E77" i="19"/>
  <c r="D75" i="19"/>
  <c r="D77" i="19" s="1"/>
  <c r="C75" i="19"/>
  <c r="C77" i="19" s="1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E21" i="19"/>
  <c r="D21" i="19"/>
  <c r="C21" i="19"/>
  <c r="E12" i="19"/>
  <c r="E34" i="19" s="1"/>
  <c r="E33" i="19"/>
  <c r="D12" i="19"/>
  <c r="D33" i="19" s="1"/>
  <c r="C12" i="19"/>
  <c r="C23" i="19" s="1"/>
  <c r="C46" i="19" s="1"/>
  <c r="C22" i="19"/>
  <c r="D21" i="18"/>
  <c r="C21" i="18"/>
  <c r="E21" i="18" s="1"/>
  <c r="F21" i="18" s="1"/>
  <c r="D19" i="18"/>
  <c r="C19" i="18"/>
  <c r="E19" i="18" s="1"/>
  <c r="F19" i="18" s="1"/>
  <c r="E17" i="18"/>
  <c r="F17" i="18" s="1"/>
  <c r="E15" i="18"/>
  <c r="F15" i="18" s="1"/>
  <c r="D45" i="17"/>
  <c r="C45" i="17"/>
  <c r="D44" i="17"/>
  <c r="E44" i="17" s="1"/>
  <c r="F44" i="17" s="1"/>
  <c r="C44" i="17"/>
  <c r="D43" i="17"/>
  <c r="D46" i="17" s="1"/>
  <c r="C43" i="17"/>
  <c r="C46" i="17" s="1"/>
  <c r="D36" i="17"/>
  <c r="D40" i="17" s="1"/>
  <c r="C36" i="17"/>
  <c r="C40" i="17" s="1"/>
  <c r="F35" i="17"/>
  <c r="E35" i="17"/>
  <c r="F34" i="17"/>
  <c r="E34" i="17"/>
  <c r="F33" i="17"/>
  <c r="E33" i="17"/>
  <c r="E36" i="17"/>
  <c r="E30" i="17"/>
  <c r="F30" i="17" s="1"/>
  <c r="E29" i="17"/>
  <c r="F29" i="17" s="1"/>
  <c r="E28" i="17"/>
  <c r="F28" i="17" s="1"/>
  <c r="E27" i="17"/>
  <c r="F27" i="17" s="1"/>
  <c r="D25" i="17"/>
  <c r="D39" i="17" s="1"/>
  <c r="C25" i="17"/>
  <c r="C39" i="17" s="1"/>
  <c r="E24" i="17"/>
  <c r="F24" i="17" s="1"/>
  <c r="E23" i="17"/>
  <c r="F23" i="17" s="1"/>
  <c r="E22" i="17"/>
  <c r="F22" i="17" s="1"/>
  <c r="D19" i="17"/>
  <c r="D20" i="17" s="1"/>
  <c r="C19" i="17"/>
  <c r="C20" i="17" s="1"/>
  <c r="E18" i="17"/>
  <c r="F18" i="17" s="1"/>
  <c r="D16" i="17"/>
  <c r="E16" i="17" s="1"/>
  <c r="F16" i="17" s="1"/>
  <c r="C16" i="17"/>
  <c r="F15" i="17"/>
  <c r="E15" i="17"/>
  <c r="F13" i="17"/>
  <c r="E13" i="17"/>
  <c r="F12" i="17"/>
  <c r="E12" i="17"/>
  <c r="C115" i="16"/>
  <c r="C105" i="16"/>
  <c r="C137" i="16" s="1"/>
  <c r="C139" i="16" s="1"/>
  <c r="C143" i="16" s="1"/>
  <c r="C96" i="16"/>
  <c r="C95" i="16"/>
  <c r="C89" i="16"/>
  <c r="C88" i="16"/>
  <c r="C83" i="16"/>
  <c r="C77" i="16"/>
  <c r="C78" i="16" s="1"/>
  <c r="C63" i="16"/>
  <c r="C59" i="16"/>
  <c r="C60" i="16" s="1"/>
  <c r="C48" i="16"/>
  <c r="C49" i="16" s="1"/>
  <c r="C36" i="16"/>
  <c r="C32" i="16"/>
  <c r="C33" i="16" s="1"/>
  <c r="C21" i="16"/>
  <c r="C37" i="16" s="1"/>
  <c r="C38" i="16" s="1"/>
  <c r="C127" i="16" s="1"/>
  <c r="C129" i="16" s="1"/>
  <c r="C133" i="16" s="1"/>
  <c r="E328" i="15"/>
  <c r="E325" i="15"/>
  <c r="D324" i="15"/>
  <c r="D326" i="15" s="1"/>
  <c r="C324" i="15"/>
  <c r="C326" i="15" s="1"/>
  <c r="C330" i="15" s="1"/>
  <c r="E318" i="15"/>
  <c r="E315" i="15"/>
  <c r="D314" i="15"/>
  <c r="D316" i="15"/>
  <c r="C314" i="15"/>
  <c r="C316" i="15" s="1"/>
  <c r="C320" i="15" s="1"/>
  <c r="E308" i="15"/>
  <c r="E305" i="15"/>
  <c r="D301" i="15"/>
  <c r="C301" i="15"/>
  <c r="D293" i="15"/>
  <c r="C293" i="15"/>
  <c r="E293" i="15" s="1"/>
  <c r="D292" i="15"/>
  <c r="E292" i="15"/>
  <c r="C292" i="15"/>
  <c r="D291" i="15"/>
  <c r="C291" i="15"/>
  <c r="D290" i="15"/>
  <c r="E290" i="15" s="1"/>
  <c r="C290" i="15"/>
  <c r="D288" i="15"/>
  <c r="E288" i="15"/>
  <c r="C288" i="15"/>
  <c r="D287" i="15"/>
  <c r="C287" i="15"/>
  <c r="D282" i="15"/>
  <c r="E282" i="15" s="1"/>
  <c r="C282" i="15"/>
  <c r="D281" i="15"/>
  <c r="C281" i="15"/>
  <c r="E281" i="15" s="1"/>
  <c r="D280" i="15"/>
  <c r="E280" i="15" s="1"/>
  <c r="C280" i="15"/>
  <c r="D279" i="15"/>
  <c r="C279" i="15"/>
  <c r="E279" i="15" s="1"/>
  <c r="D278" i="15"/>
  <c r="E278" i="15" s="1"/>
  <c r="C278" i="15"/>
  <c r="D277" i="15"/>
  <c r="C277" i="15"/>
  <c r="E277" i="15" s="1"/>
  <c r="D276" i="15"/>
  <c r="E276" i="15" s="1"/>
  <c r="C276" i="15"/>
  <c r="E270" i="15"/>
  <c r="D265" i="15"/>
  <c r="E265" i="15" s="1"/>
  <c r="C265" i="15"/>
  <c r="C302" i="15" s="1"/>
  <c r="D262" i="15"/>
  <c r="E262" i="15" s="1"/>
  <c r="C262" i="15"/>
  <c r="D251" i="15"/>
  <c r="C251" i="15"/>
  <c r="D233" i="15"/>
  <c r="E233" i="15" s="1"/>
  <c r="C233" i="15"/>
  <c r="D232" i="15"/>
  <c r="E232" i="15" s="1"/>
  <c r="C232" i="15"/>
  <c r="D231" i="15"/>
  <c r="C231" i="15"/>
  <c r="D230" i="15"/>
  <c r="C230" i="15"/>
  <c r="E230" i="15"/>
  <c r="D228" i="15"/>
  <c r="C228" i="15"/>
  <c r="E228" i="15" s="1"/>
  <c r="D227" i="15"/>
  <c r="C227" i="15"/>
  <c r="D221" i="15"/>
  <c r="D245" i="15"/>
  <c r="C221" i="15"/>
  <c r="C245" i="15"/>
  <c r="E245" i="15" s="1"/>
  <c r="D220" i="15"/>
  <c r="D244" i="15" s="1"/>
  <c r="C220" i="15"/>
  <c r="C244" i="15" s="1"/>
  <c r="D219" i="15"/>
  <c r="D243" i="15" s="1"/>
  <c r="C219" i="15"/>
  <c r="C243" i="15" s="1"/>
  <c r="D218" i="15"/>
  <c r="C218" i="15"/>
  <c r="C242" i="15" s="1"/>
  <c r="D216" i="15"/>
  <c r="E216" i="15" s="1"/>
  <c r="C216" i="15"/>
  <c r="C240" i="15" s="1"/>
  <c r="D215" i="15"/>
  <c r="D239" i="15" s="1"/>
  <c r="C215" i="15"/>
  <c r="E209" i="15"/>
  <c r="E208" i="15"/>
  <c r="E207" i="15"/>
  <c r="E206" i="15"/>
  <c r="D205" i="15"/>
  <c r="D229" i="15" s="1"/>
  <c r="C205" i="15"/>
  <c r="C210" i="15" s="1"/>
  <c r="E204" i="15"/>
  <c r="E203" i="15"/>
  <c r="E197" i="15"/>
  <c r="E196" i="15"/>
  <c r="D195" i="15"/>
  <c r="D260" i="15" s="1"/>
  <c r="C195" i="15"/>
  <c r="C260" i="15" s="1"/>
  <c r="E194" i="15"/>
  <c r="E193" i="15"/>
  <c r="E192" i="15"/>
  <c r="E191" i="15"/>
  <c r="E190" i="15"/>
  <c r="D188" i="15"/>
  <c r="C188" i="15"/>
  <c r="C261" i="15" s="1"/>
  <c r="E186" i="15"/>
  <c r="E185" i="15"/>
  <c r="D179" i="15"/>
  <c r="C179" i="15"/>
  <c r="D178" i="15"/>
  <c r="C178" i="15"/>
  <c r="D177" i="15"/>
  <c r="C177" i="15"/>
  <c r="E177" i="15" s="1"/>
  <c r="D176" i="15"/>
  <c r="C176" i="15"/>
  <c r="D174" i="15"/>
  <c r="C174" i="15"/>
  <c r="D173" i="15"/>
  <c r="C173" i="15"/>
  <c r="E173" i="15" s="1"/>
  <c r="D167" i="15"/>
  <c r="C167" i="15"/>
  <c r="D166" i="15"/>
  <c r="C166" i="15"/>
  <c r="E166" i="15" s="1"/>
  <c r="D165" i="15"/>
  <c r="C165" i="15"/>
  <c r="D164" i="15"/>
  <c r="C164" i="15"/>
  <c r="E164" i="15" s="1"/>
  <c r="D162" i="15"/>
  <c r="C162" i="15"/>
  <c r="E162" i="15" s="1"/>
  <c r="D161" i="15"/>
  <c r="E161" i="15" s="1"/>
  <c r="C161" i="15"/>
  <c r="E155" i="15"/>
  <c r="E154" i="15"/>
  <c r="E153" i="15"/>
  <c r="E152" i="15"/>
  <c r="D151" i="15"/>
  <c r="D156" i="15" s="1"/>
  <c r="C151" i="15"/>
  <c r="E150" i="15"/>
  <c r="E149" i="15"/>
  <c r="E143" i="15"/>
  <c r="E142" i="15"/>
  <c r="E141" i="15"/>
  <c r="E140" i="15"/>
  <c r="D139" i="15"/>
  <c r="D163" i="15" s="1"/>
  <c r="C139" i="15"/>
  <c r="E138" i="15"/>
  <c r="E137" i="15"/>
  <c r="D75" i="15"/>
  <c r="C75" i="15"/>
  <c r="D74" i="15"/>
  <c r="E74" i="15" s="1"/>
  <c r="C74" i="15"/>
  <c r="D73" i="15"/>
  <c r="E73" i="15" s="1"/>
  <c r="C73" i="15"/>
  <c r="D72" i="15"/>
  <c r="E72" i="15" s="1"/>
  <c r="C72" i="15"/>
  <c r="D70" i="15"/>
  <c r="E70" i="15" s="1"/>
  <c r="C70" i="15"/>
  <c r="D69" i="15"/>
  <c r="C69" i="15"/>
  <c r="E64" i="15"/>
  <c r="E63" i="15"/>
  <c r="E62" i="15"/>
  <c r="E61" i="15"/>
  <c r="D60" i="15"/>
  <c r="C60" i="15"/>
  <c r="C289" i="15" s="1"/>
  <c r="E59" i="15"/>
  <c r="E58" i="15"/>
  <c r="D54" i="15"/>
  <c r="C54" i="15"/>
  <c r="C55" i="15" s="1"/>
  <c r="E53" i="15"/>
  <c r="E52" i="15"/>
  <c r="E51" i="15"/>
  <c r="E50" i="15"/>
  <c r="E49" i="15"/>
  <c r="E48" i="15"/>
  <c r="E47" i="15"/>
  <c r="D42" i="15"/>
  <c r="E42" i="15" s="1"/>
  <c r="C42" i="15"/>
  <c r="D41" i="15"/>
  <c r="C41" i="15"/>
  <c r="E41" i="15" s="1"/>
  <c r="D40" i="15"/>
  <c r="E40" i="15" s="1"/>
  <c r="C40" i="15"/>
  <c r="D39" i="15"/>
  <c r="C39" i="15"/>
  <c r="E39" i="15" s="1"/>
  <c r="D38" i="15"/>
  <c r="E38" i="15"/>
  <c r="C38" i="15"/>
  <c r="D37" i="15"/>
  <c r="C37" i="15"/>
  <c r="E37" i="15"/>
  <c r="D36" i="15"/>
  <c r="E36" i="15"/>
  <c r="C36" i="15"/>
  <c r="D32" i="15"/>
  <c r="C32" i="15"/>
  <c r="C33" i="15" s="1"/>
  <c r="E31" i="15"/>
  <c r="E30" i="15"/>
  <c r="E29" i="15"/>
  <c r="E28" i="15"/>
  <c r="E27" i="15"/>
  <c r="E26" i="15"/>
  <c r="E25" i="15"/>
  <c r="D21" i="15"/>
  <c r="D22" i="15" s="1"/>
  <c r="E22" i="15" s="1"/>
  <c r="C21" i="15"/>
  <c r="C22" i="15" s="1"/>
  <c r="E20" i="15"/>
  <c r="E19" i="15"/>
  <c r="E18" i="15"/>
  <c r="E17" i="15"/>
  <c r="E16" i="15"/>
  <c r="E15" i="15"/>
  <c r="E14" i="15"/>
  <c r="E335" i="14"/>
  <c r="F335" i="14" s="1"/>
  <c r="F334" i="14"/>
  <c r="E334" i="14"/>
  <c r="E333" i="14"/>
  <c r="F333" i="14" s="1"/>
  <c r="F332" i="14"/>
  <c r="E332" i="14"/>
  <c r="E331" i="14"/>
  <c r="F331" i="14" s="1"/>
  <c r="E330" i="14"/>
  <c r="F330" i="14" s="1"/>
  <c r="F329" i="14"/>
  <c r="E329" i="14"/>
  <c r="F316" i="14"/>
  <c r="E316" i="14"/>
  <c r="C311" i="14"/>
  <c r="E311" i="14" s="1"/>
  <c r="F308" i="14"/>
  <c r="E308" i="14"/>
  <c r="C307" i="14"/>
  <c r="E307" i="14" s="1"/>
  <c r="C299" i="14"/>
  <c r="E299" i="14" s="1"/>
  <c r="F299" i="14" s="1"/>
  <c r="C298" i="14"/>
  <c r="E298" i="14"/>
  <c r="F298" i="14" s="1"/>
  <c r="C297" i="14"/>
  <c r="E297" i="14" s="1"/>
  <c r="C296" i="14"/>
  <c r="C295" i="14"/>
  <c r="E295" i="14" s="1"/>
  <c r="C294" i="14"/>
  <c r="E294" i="14" s="1"/>
  <c r="C250" i="14"/>
  <c r="C306" i="14" s="1"/>
  <c r="E249" i="14"/>
  <c r="F249" i="14" s="1"/>
  <c r="E248" i="14"/>
  <c r="F248" i="14" s="1"/>
  <c r="E245" i="14"/>
  <c r="F245" i="14" s="1"/>
  <c r="E244" i="14"/>
  <c r="F244" i="14" s="1"/>
  <c r="E243" i="14"/>
  <c r="F243" i="14" s="1"/>
  <c r="C238" i="14"/>
  <c r="E238" i="14" s="1"/>
  <c r="C237" i="14"/>
  <c r="E237" i="14" s="1"/>
  <c r="E234" i="14"/>
  <c r="F234" i="14" s="1"/>
  <c r="E233" i="14"/>
  <c r="F233" i="14" s="1"/>
  <c r="C230" i="14"/>
  <c r="E230" i="14" s="1"/>
  <c r="C229" i="14"/>
  <c r="E228" i="14"/>
  <c r="F228" i="14"/>
  <c r="C226" i="14"/>
  <c r="E226" i="14"/>
  <c r="E225" i="14"/>
  <c r="F225" i="14"/>
  <c r="E224" i="14"/>
  <c r="F224" i="14"/>
  <c r="C223" i="14"/>
  <c r="E222" i="14"/>
  <c r="F222" i="14" s="1"/>
  <c r="F221" i="14"/>
  <c r="E221" i="14"/>
  <c r="C204" i="14"/>
  <c r="C203" i="14"/>
  <c r="C283" i="14" s="1"/>
  <c r="E283" i="14" s="1"/>
  <c r="C198" i="14"/>
  <c r="C274" i="14" s="1"/>
  <c r="C191" i="14"/>
  <c r="C264" i="14" s="1"/>
  <c r="C189" i="14"/>
  <c r="C278" i="14" s="1"/>
  <c r="C188" i="14"/>
  <c r="C206" i="14" s="1"/>
  <c r="C180" i="14"/>
  <c r="C179" i="14"/>
  <c r="E179" i="14" s="1"/>
  <c r="C171" i="14"/>
  <c r="E171" i="14" s="1"/>
  <c r="C170" i="14"/>
  <c r="E169" i="14"/>
  <c r="F169" i="14" s="1"/>
  <c r="E168" i="14"/>
  <c r="F168" i="14" s="1"/>
  <c r="C165" i="14"/>
  <c r="E165" i="14" s="1"/>
  <c r="C164" i="14"/>
  <c r="E164" i="14" s="1"/>
  <c r="E163" i="14"/>
  <c r="F163" i="14" s="1"/>
  <c r="C158" i="14"/>
  <c r="C159" i="14" s="1"/>
  <c r="E157" i="14"/>
  <c r="F157" i="14" s="1"/>
  <c r="E156" i="14"/>
  <c r="F156" i="14" s="1"/>
  <c r="C155" i="14"/>
  <c r="E155" i="14" s="1"/>
  <c r="E154" i="14"/>
  <c r="F154" i="14" s="1"/>
  <c r="E153" i="14"/>
  <c r="F153" i="14" s="1"/>
  <c r="C145" i="14"/>
  <c r="E145" i="14" s="1"/>
  <c r="C144" i="14"/>
  <c r="E144" i="14" s="1"/>
  <c r="C136" i="14"/>
  <c r="C137" i="14" s="1"/>
  <c r="C135" i="14"/>
  <c r="E135" i="14" s="1"/>
  <c r="E134" i="14"/>
  <c r="F134" i="14"/>
  <c r="E133" i="14"/>
  <c r="F133" i="14"/>
  <c r="C130" i="14"/>
  <c r="E130" i="14"/>
  <c r="C129" i="14"/>
  <c r="E129" i="14"/>
  <c r="E128" i="14"/>
  <c r="F128" i="14"/>
  <c r="C123" i="14"/>
  <c r="E123" i="14" s="1"/>
  <c r="E122" i="14"/>
  <c r="F122" i="14" s="1"/>
  <c r="E121" i="14"/>
  <c r="F121" i="14" s="1"/>
  <c r="C120" i="14"/>
  <c r="E120" i="14" s="1"/>
  <c r="F120" i="14" s="1"/>
  <c r="E119" i="14"/>
  <c r="F119" i="14" s="1"/>
  <c r="E118" i="14"/>
  <c r="F118" i="14" s="1"/>
  <c r="C110" i="14"/>
  <c r="C109" i="14"/>
  <c r="C111" i="14"/>
  <c r="C101" i="14"/>
  <c r="E101" i="14"/>
  <c r="C100" i="14"/>
  <c r="E100" i="14" s="1"/>
  <c r="F100" i="14" s="1"/>
  <c r="E99" i="14"/>
  <c r="F99" i="14" s="1"/>
  <c r="E98" i="14"/>
  <c r="F98" i="14" s="1"/>
  <c r="C95" i="14"/>
  <c r="C94" i="14"/>
  <c r="E94" i="14" s="1"/>
  <c r="E93" i="14"/>
  <c r="F93" i="14" s="1"/>
  <c r="C88" i="14"/>
  <c r="E87" i="14"/>
  <c r="F87" i="14" s="1"/>
  <c r="E86" i="14"/>
  <c r="F86" i="14" s="1"/>
  <c r="C85" i="14"/>
  <c r="E85" i="14" s="1"/>
  <c r="E84" i="14"/>
  <c r="F84" i="14" s="1"/>
  <c r="E83" i="14"/>
  <c r="F83" i="14" s="1"/>
  <c r="C76" i="14"/>
  <c r="E74" i="14"/>
  <c r="F74" i="14" s="1"/>
  <c r="E73" i="14"/>
  <c r="F73" i="14" s="1"/>
  <c r="C67" i="14"/>
  <c r="E67" i="14" s="1"/>
  <c r="C66" i="14"/>
  <c r="C68" i="14"/>
  <c r="C59" i="14"/>
  <c r="C60" i="14" s="1"/>
  <c r="C58" i="14"/>
  <c r="E58" i="14" s="1"/>
  <c r="E57" i="14"/>
  <c r="F57" i="14" s="1"/>
  <c r="E56" i="14"/>
  <c r="F56" i="14" s="1"/>
  <c r="C53" i="14"/>
  <c r="E53" i="14" s="1"/>
  <c r="C52" i="14"/>
  <c r="E51" i="14"/>
  <c r="F51" i="14" s="1"/>
  <c r="C47" i="14"/>
  <c r="E47" i="14" s="1"/>
  <c r="E46" i="14"/>
  <c r="F46" i="14" s="1"/>
  <c r="E45" i="14"/>
  <c r="F45" i="14" s="1"/>
  <c r="E44" i="14"/>
  <c r="C44" i="14"/>
  <c r="E43" i="14"/>
  <c r="F43" i="14" s="1"/>
  <c r="E42" i="14"/>
  <c r="F42" i="14" s="1"/>
  <c r="C36" i="14"/>
  <c r="E36" i="14" s="1"/>
  <c r="C35" i="14"/>
  <c r="E35" i="14"/>
  <c r="C30" i="14"/>
  <c r="C31" i="14" s="1"/>
  <c r="C29" i="14"/>
  <c r="E29" i="14" s="1"/>
  <c r="E28" i="14"/>
  <c r="F28" i="14" s="1"/>
  <c r="E27" i="14"/>
  <c r="F27" i="14" s="1"/>
  <c r="E24" i="14"/>
  <c r="C24" i="14"/>
  <c r="C23" i="14"/>
  <c r="E22" i="14"/>
  <c r="F22" i="14" s="1"/>
  <c r="C20" i="14"/>
  <c r="E19" i="14"/>
  <c r="F19" i="14"/>
  <c r="E18" i="14"/>
  <c r="F18" i="14"/>
  <c r="C17" i="14"/>
  <c r="E17" i="14" s="1"/>
  <c r="F16" i="14"/>
  <c r="E16" i="14"/>
  <c r="F15" i="14"/>
  <c r="E15" i="14"/>
  <c r="D22" i="13"/>
  <c r="E22" i="13" s="1"/>
  <c r="F22" i="13" s="1"/>
  <c r="C22" i="13"/>
  <c r="F21" i="13"/>
  <c r="E21" i="13"/>
  <c r="F20" i="13"/>
  <c r="E20" i="13"/>
  <c r="D17" i="13"/>
  <c r="E17" i="13" s="1"/>
  <c r="F17" i="13" s="1"/>
  <c r="C17" i="13"/>
  <c r="F16" i="13"/>
  <c r="E16" i="13"/>
  <c r="D13" i="13"/>
  <c r="E13" i="13" s="1"/>
  <c r="F13" i="13" s="1"/>
  <c r="C13" i="13"/>
  <c r="F12" i="13"/>
  <c r="E12" i="13"/>
  <c r="D99" i="12"/>
  <c r="E99" i="12" s="1"/>
  <c r="F99" i="12" s="1"/>
  <c r="C99" i="12"/>
  <c r="F98" i="12"/>
  <c r="E98" i="12"/>
  <c r="F97" i="12"/>
  <c r="E97" i="12"/>
  <c r="F96" i="12"/>
  <c r="E96" i="12"/>
  <c r="D92" i="12"/>
  <c r="E92" i="12" s="1"/>
  <c r="F92" i="12" s="1"/>
  <c r="C92" i="12"/>
  <c r="F91" i="12"/>
  <c r="E91" i="12"/>
  <c r="F90" i="12"/>
  <c r="E90" i="12"/>
  <c r="F89" i="12"/>
  <c r="E89" i="12"/>
  <c r="F88" i="12"/>
  <c r="E88" i="12"/>
  <c r="F87" i="12"/>
  <c r="E87" i="12"/>
  <c r="D84" i="12"/>
  <c r="E84" i="12" s="1"/>
  <c r="F84" i="12" s="1"/>
  <c r="C84" i="12"/>
  <c r="F83" i="12"/>
  <c r="E83" i="12"/>
  <c r="F82" i="12"/>
  <c r="E82" i="12"/>
  <c r="F81" i="12"/>
  <c r="E81" i="12"/>
  <c r="F80" i="12"/>
  <c r="E80" i="12"/>
  <c r="F79" i="12"/>
  <c r="E79" i="12"/>
  <c r="D75" i="12"/>
  <c r="C75" i="12"/>
  <c r="F74" i="12"/>
  <c r="E74" i="12"/>
  <c r="E73" i="12"/>
  <c r="F73" i="12" s="1"/>
  <c r="D70" i="12"/>
  <c r="C70" i="12"/>
  <c r="E69" i="12"/>
  <c r="F69" i="12" s="1"/>
  <c r="E68" i="12"/>
  <c r="F68" i="12" s="1"/>
  <c r="D65" i="12"/>
  <c r="C65" i="12"/>
  <c r="E64" i="12"/>
  <c r="F64" i="12" s="1"/>
  <c r="E63" i="12"/>
  <c r="F63" i="12" s="1"/>
  <c r="D60" i="12"/>
  <c r="C60" i="12"/>
  <c r="F60" i="12" s="1"/>
  <c r="F59" i="12"/>
  <c r="E59" i="12"/>
  <c r="F58" i="12"/>
  <c r="E58" i="12"/>
  <c r="E60" i="12" s="1"/>
  <c r="D55" i="12"/>
  <c r="E55" i="12" s="1"/>
  <c r="C55" i="12"/>
  <c r="F55" i="12" s="1"/>
  <c r="F54" i="12"/>
  <c r="E54" i="12"/>
  <c r="F53" i="12"/>
  <c r="E53" i="12"/>
  <c r="D50" i="12"/>
  <c r="E50" i="12" s="1"/>
  <c r="C50" i="12"/>
  <c r="F50" i="12" s="1"/>
  <c r="F49" i="12"/>
  <c r="E49" i="12"/>
  <c r="F48" i="12"/>
  <c r="E48" i="12"/>
  <c r="D45" i="12"/>
  <c r="C45" i="12"/>
  <c r="E44" i="12"/>
  <c r="F44" i="12" s="1"/>
  <c r="E43" i="12"/>
  <c r="F43" i="12" s="1"/>
  <c r="D37" i="12"/>
  <c r="E37" i="12" s="1"/>
  <c r="C37" i="12"/>
  <c r="F37" i="12" s="1"/>
  <c r="F36" i="12"/>
  <c r="E36" i="12"/>
  <c r="F35" i="12"/>
  <c r="E35" i="12"/>
  <c r="F34" i="12"/>
  <c r="E34" i="12"/>
  <c r="F33" i="12"/>
  <c r="E33" i="12"/>
  <c r="D30" i="12"/>
  <c r="E30" i="12" s="1"/>
  <c r="F30" i="12" s="1"/>
  <c r="C30" i="12"/>
  <c r="F29" i="12"/>
  <c r="E29" i="12"/>
  <c r="F28" i="12"/>
  <c r="E28" i="12"/>
  <c r="F27" i="12"/>
  <c r="E27" i="12"/>
  <c r="F26" i="12"/>
  <c r="E26" i="12"/>
  <c r="D23" i="12"/>
  <c r="E23" i="12" s="1"/>
  <c r="F23" i="12" s="1"/>
  <c r="C23" i="12"/>
  <c r="F22" i="12"/>
  <c r="E22" i="12"/>
  <c r="F21" i="12"/>
  <c r="E21" i="12"/>
  <c r="F20" i="12"/>
  <c r="E20" i="12"/>
  <c r="F19" i="12"/>
  <c r="E19" i="12"/>
  <c r="D16" i="12"/>
  <c r="E16" i="12" s="1"/>
  <c r="F16" i="12" s="1"/>
  <c r="C16" i="12"/>
  <c r="F15" i="12"/>
  <c r="E15" i="12"/>
  <c r="F14" i="12"/>
  <c r="E14" i="12"/>
  <c r="F13" i="12"/>
  <c r="E13" i="12"/>
  <c r="F12" i="12"/>
  <c r="E12" i="12"/>
  <c r="E40" i="11"/>
  <c r="D40" i="11"/>
  <c r="I37" i="11"/>
  <c r="H37" i="11"/>
  <c r="I29" i="11"/>
  <c r="H29" i="11"/>
  <c r="I27" i="11"/>
  <c r="H27" i="11"/>
  <c r="I25" i="11"/>
  <c r="H25" i="11"/>
  <c r="I23" i="11"/>
  <c r="H23" i="11"/>
  <c r="I21" i="11"/>
  <c r="H21" i="11"/>
  <c r="I19" i="11"/>
  <c r="H19" i="11"/>
  <c r="G17" i="11"/>
  <c r="G33" i="11" s="1"/>
  <c r="F17" i="11"/>
  <c r="F33" i="11"/>
  <c r="E17" i="11"/>
  <c r="E31" i="11" s="1"/>
  <c r="E33" i="11"/>
  <c r="E36" i="11" s="1"/>
  <c r="E38" i="11" s="1"/>
  <c r="D17" i="11"/>
  <c r="D33" i="11"/>
  <c r="D36" i="11" s="1"/>
  <c r="D38" i="11" s="1"/>
  <c r="C17" i="11"/>
  <c r="C33" i="11" s="1"/>
  <c r="C36" i="11" s="1"/>
  <c r="C38" i="11" s="1"/>
  <c r="C40" i="11" s="1"/>
  <c r="I16" i="11"/>
  <c r="H16" i="11"/>
  <c r="I15" i="11"/>
  <c r="H15" i="11"/>
  <c r="I13" i="11"/>
  <c r="H13" i="11"/>
  <c r="I11" i="11"/>
  <c r="H11" i="11"/>
  <c r="E79" i="10"/>
  <c r="E80" i="10" s="1"/>
  <c r="E77" i="10" s="1"/>
  <c r="D79" i="10"/>
  <c r="C79" i="10"/>
  <c r="E78" i="10"/>
  <c r="D78" i="10"/>
  <c r="D80" i="10" s="1"/>
  <c r="D77" i="10" s="1"/>
  <c r="C78" i="10"/>
  <c r="C80" i="10"/>
  <c r="C77" i="10" s="1"/>
  <c r="E73" i="10"/>
  <c r="E75" i="10" s="1"/>
  <c r="D73" i="10"/>
  <c r="D75" i="10" s="1"/>
  <c r="C73" i="10"/>
  <c r="C75" i="10" s="1"/>
  <c r="E71" i="10"/>
  <c r="D71" i="10"/>
  <c r="C71" i="10"/>
  <c r="E66" i="10"/>
  <c r="E65" i="10" s="1"/>
  <c r="D66" i="10"/>
  <c r="C66" i="10"/>
  <c r="C65" i="10" s="1"/>
  <c r="D65" i="10"/>
  <c r="E60" i="10"/>
  <c r="D60" i="10"/>
  <c r="C60" i="10"/>
  <c r="E58" i="10"/>
  <c r="D58" i="10"/>
  <c r="C58" i="10"/>
  <c r="E55" i="10"/>
  <c r="D55" i="10"/>
  <c r="C55" i="10"/>
  <c r="E54" i="10"/>
  <c r="E50" i="10" s="1"/>
  <c r="D54" i="10"/>
  <c r="C54" i="10"/>
  <c r="E46" i="10"/>
  <c r="E48" i="10" s="1"/>
  <c r="D46" i="10"/>
  <c r="D59" i="10"/>
  <c r="D61" i="10" s="1"/>
  <c r="D57" i="10" s="1"/>
  <c r="C46" i="10"/>
  <c r="C59" i="10" s="1"/>
  <c r="C61" i="10" s="1"/>
  <c r="C57" i="10" s="1"/>
  <c r="E45" i="10"/>
  <c r="D45" i="10"/>
  <c r="C45" i="10"/>
  <c r="E38" i="10"/>
  <c r="D38" i="10"/>
  <c r="C38" i="10"/>
  <c r="D34" i="10"/>
  <c r="E33" i="10"/>
  <c r="E34" i="10"/>
  <c r="D33" i="10"/>
  <c r="E26" i="10"/>
  <c r="D26" i="10"/>
  <c r="C26" i="10"/>
  <c r="E13" i="10"/>
  <c r="E25" i="10" s="1"/>
  <c r="E27" i="10" s="1"/>
  <c r="D13" i="10"/>
  <c r="D15" i="10" s="1"/>
  <c r="C13" i="10"/>
  <c r="C15" i="10" s="1"/>
  <c r="D46" i="9"/>
  <c r="C46" i="9"/>
  <c r="F46" i="9" s="1"/>
  <c r="F45" i="9"/>
  <c r="E45" i="9"/>
  <c r="F44" i="9"/>
  <c r="E44" i="9"/>
  <c r="D39" i="9"/>
  <c r="C39" i="9"/>
  <c r="E39" i="9" s="1"/>
  <c r="E38" i="9"/>
  <c r="F38" i="9" s="1"/>
  <c r="E37" i="9"/>
  <c r="F37" i="9" s="1"/>
  <c r="E36" i="9"/>
  <c r="F36" i="9" s="1"/>
  <c r="D31" i="9"/>
  <c r="E31" i="9" s="1"/>
  <c r="C31" i="9"/>
  <c r="E30" i="9"/>
  <c r="F30" i="9" s="1"/>
  <c r="E29" i="9"/>
  <c r="F29" i="9" s="1"/>
  <c r="E28" i="9"/>
  <c r="F28" i="9" s="1"/>
  <c r="E27" i="9"/>
  <c r="F27" i="9" s="1"/>
  <c r="E26" i="9"/>
  <c r="F26" i="9" s="1"/>
  <c r="E25" i="9"/>
  <c r="F25" i="9" s="1"/>
  <c r="E24" i="9"/>
  <c r="F24" i="9" s="1"/>
  <c r="E23" i="9"/>
  <c r="F23" i="9" s="1"/>
  <c r="E22" i="9"/>
  <c r="F22" i="9" s="1"/>
  <c r="F18" i="9"/>
  <c r="E18" i="9"/>
  <c r="E17" i="9"/>
  <c r="F17" i="9" s="1"/>
  <c r="D16" i="9"/>
  <c r="E16" i="9" s="1"/>
  <c r="C16" i="9"/>
  <c r="C19" i="9"/>
  <c r="C33" i="9" s="1"/>
  <c r="C41" i="9" s="1"/>
  <c r="C48" i="9" s="1"/>
  <c r="F15" i="9"/>
  <c r="E15" i="9"/>
  <c r="E14" i="9"/>
  <c r="F14" i="9" s="1"/>
  <c r="E13" i="9"/>
  <c r="F13" i="9" s="1"/>
  <c r="E12" i="9"/>
  <c r="F12" i="9" s="1"/>
  <c r="D73" i="8"/>
  <c r="C73" i="8"/>
  <c r="E72" i="8"/>
  <c r="F72" i="8" s="1"/>
  <c r="F71" i="8"/>
  <c r="E71" i="8"/>
  <c r="F70" i="8"/>
  <c r="E70" i="8"/>
  <c r="F67" i="8"/>
  <c r="E67" i="8"/>
  <c r="F64" i="8"/>
  <c r="E64" i="8"/>
  <c r="F63" i="8"/>
  <c r="E63" i="8"/>
  <c r="D61" i="8"/>
  <c r="E61" i="8" s="1"/>
  <c r="F61" i="8" s="1"/>
  <c r="C61" i="8"/>
  <c r="C65" i="8"/>
  <c r="E60" i="8"/>
  <c r="F60" i="8" s="1"/>
  <c r="E59" i="8"/>
  <c r="F59" i="8" s="1"/>
  <c r="D56" i="8"/>
  <c r="E56" i="8"/>
  <c r="F56" i="8" s="1"/>
  <c r="C56" i="8"/>
  <c r="C75" i="8"/>
  <c r="E55" i="8"/>
  <c r="F55" i="8" s="1"/>
  <c r="E54" i="8"/>
  <c r="F54" i="8" s="1"/>
  <c r="E53" i="8"/>
  <c r="F53" i="8" s="1"/>
  <c r="F52" i="8"/>
  <c r="E52" i="8"/>
  <c r="E51" i="8"/>
  <c r="F51" i="8" s="1"/>
  <c r="E50" i="8"/>
  <c r="F50" i="8" s="1"/>
  <c r="A50" i="8"/>
  <c r="A51" i="8" s="1"/>
  <c r="A52" i="8" s="1"/>
  <c r="A53" i="8" s="1"/>
  <c r="A54" i="8" s="1"/>
  <c r="A55" i="8" s="1"/>
  <c r="E49" i="8"/>
  <c r="F49" i="8" s="1"/>
  <c r="E40" i="8"/>
  <c r="F40" i="8" s="1"/>
  <c r="D38" i="8"/>
  <c r="C38" i="8"/>
  <c r="F37" i="8"/>
  <c r="E37" i="8"/>
  <c r="F36" i="8"/>
  <c r="E36" i="8"/>
  <c r="F33" i="8"/>
  <c r="E33" i="8"/>
  <c r="F32" i="8"/>
  <c r="E32" i="8"/>
  <c r="F31" i="8"/>
  <c r="E31" i="8"/>
  <c r="D29" i="8"/>
  <c r="E29" i="8" s="1"/>
  <c r="F29" i="8" s="1"/>
  <c r="C29" i="8"/>
  <c r="E28" i="8"/>
  <c r="F28" i="8" s="1"/>
  <c r="E27" i="8"/>
  <c r="F27" i="8" s="1"/>
  <c r="F26" i="8"/>
  <c r="E26" i="8"/>
  <c r="E25" i="8"/>
  <c r="F25" i="8" s="1"/>
  <c r="D22" i="8"/>
  <c r="E22" i="8" s="1"/>
  <c r="F22" i="8" s="1"/>
  <c r="C22" i="8"/>
  <c r="E21" i="8"/>
  <c r="F21" i="8" s="1"/>
  <c r="F20" i="8"/>
  <c r="E20" i="8"/>
  <c r="E19" i="8"/>
  <c r="F19" i="8" s="1"/>
  <c r="E18" i="8"/>
  <c r="F18" i="8" s="1"/>
  <c r="F17" i="8"/>
  <c r="E17" i="8"/>
  <c r="F16" i="8"/>
  <c r="E16" i="8"/>
  <c r="E15" i="8"/>
  <c r="F15" i="8" s="1"/>
  <c r="F14" i="8"/>
  <c r="E14" i="8"/>
  <c r="E13" i="8"/>
  <c r="F13" i="8" s="1"/>
  <c r="D120" i="7"/>
  <c r="E120" i="7" s="1"/>
  <c r="C120" i="7"/>
  <c r="D119" i="7"/>
  <c r="C119" i="7"/>
  <c r="D118" i="7"/>
  <c r="E118" i="7" s="1"/>
  <c r="C118" i="7"/>
  <c r="D117" i="7"/>
  <c r="C117" i="7"/>
  <c r="D116" i="7"/>
  <c r="E116" i="7" s="1"/>
  <c r="C116" i="7"/>
  <c r="D115" i="7"/>
  <c r="C115" i="7"/>
  <c r="D114" i="7"/>
  <c r="E114" i="7" s="1"/>
  <c r="C114" i="7"/>
  <c r="D113" i="7"/>
  <c r="C113" i="7"/>
  <c r="D112" i="7"/>
  <c r="E112" i="7" s="1"/>
  <c r="F112" i="7" s="1"/>
  <c r="C112" i="7"/>
  <c r="C121" i="7" s="1"/>
  <c r="D108" i="7"/>
  <c r="C108" i="7"/>
  <c r="D107" i="7"/>
  <c r="E107" i="7" s="1"/>
  <c r="C107" i="7"/>
  <c r="E106" i="7"/>
  <c r="F106" i="7" s="1"/>
  <c r="E105" i="7"/>
  <c r="F105" i="7" s="1"/>
  <c r="E104" i="7"/>
  <c r="F104" i="7" s="1"/>
  <c r="E103" i="7"/>
  <c r="F103" i="7" s="1"/>
  <c r="E102" i="7"/>
  <c r="F102" i="7" s="1"/>
  <c r="E101" i="7"/>
  <c r="F101" i="7" s="1"/>
  <c r="E100" i="7"/>
  <c r="F100" i="7" s="1"/>
  <c r="E99" i="7"/>
  <c r="F99" i="7" s="1"/>
  <c r="E98" i="7"/>
  <c r="F98" i="7" s="1"/>
  <c r="D96" i="7"/>
  <c r="C96" i="7"/>
  <c r="D95" i="7"/>
  <c r="C95" i="7"/>
  <c r="E94" i="7"/>
  <c r="F94" i="7" s="1"/>
  <c r="E93" i="7"/>
  <c r="F93" i="7" s="1"/>
  <c r="E92" i="7"/>
  <c r="F92" i="7" s="1"/>
  <c r="E91" i="7"/>
  <c r="F91" i="7" s="1"/>
  <c r="E90" i="7"/>
  <c r="F90" i="7" s="1"/>
  <c r="E89" i="7"/>
  <c r="F89" i="7" s="1"/>
  <c r="E88" i="7"/>
  <c r="F88" i="7" s="1"/>
  <c r="E87" i="7"/>
  <c r="F87" i="7" s="1"/>
  <c r="E86" i="7"/>
  <c r="F86" i="7" s="1"/>
  <c r="D84" i="7"/>
  <c r="E84" i="7" s="1"/>
  <c r="C84" i="7"/>
  <c r="F84" i="7" s="1"/>
  <c r="D83" i="7"/>
  <c r="E83" i="7" s="1"/>
  <c r="C83" i="7"/>
  <c r="F83" i="7" s="1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E72" i="7" s="1"/>
  <c r="C72" i="7"/>
  <c r="F72" i="7" s="1"/>
  <c r="D71" i="7"/>
  <c r="E71" i="7" s="1"/>
  <c r="C71" i="7"/>
  <c r="F71" i="7" s="1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C60" i="7"/>
  <c r="D59" i="7"/>
  <c r="E59" i="7" s="1"/>
  <c r="C59" i="7"/>
  <c r="E58" i="7"/>
  <c r="F58" i="7" s="1"/>
  <c r="E57" i="7"/>
  <c r="F57" i="7" s="1"/>
  <c r="E56" i="7"/>
  <c r="F56" i="7" s="1"/>
  <c r="E55" i="7"/>
  <c r="F55" i="7" s="1"/>
  <c r="E54" i="7"/>
  <c r="F54" i="7" s="1"/>
  <c r="E53" i="7"/>
  <c r="F53" i="7" s="1"/>
  <c r="E52" i="7"/>
  <c r="F52" i="7" s="1"/>
  <c r="E51" i="7"/>
  <c r="F51" i="7" s="1"/>
  <c r="E50" i="7"/>
  <c r="F50" i="7" s="1"/>
  <c r="D48" i="7"/>
  <c r="C48" i="7"/>
  <c r="F48" i="7" s="1"/>
  <c r="D47" i="7"/>
  <c r="C47" i="7"/>
  <c r="F47" i="7" s="1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C36" i="7"/>
  <c r="D35" i="7"/>
  <c r="C35" i="7"/>
  <c r="E34" i="7"/>
  <c r="F34" i="7" s="1"/>
  <c r="E33" i="7"/>
  <c r="F33" i="7" s="1"/>
  <c r="E32" i="7"/>
  <c r="F32" i="7" s="1"/>
  <c r="E31" i="7"/>
  <c r="F31" i="7" s="1"/>
  <c r="E30" i="7"/>
  <c r="F30" i="7" s="1"/>
  <c r="E29" i="7"/>
  <c r="F29" i="7" s="1"/>
  <c r="E28" i="7"/>
  <c r="F28" i="7" s="1"/>
  <c r="E27" i="7"/>
  <c r="F27" i="7" s="1"/>
  <c r="E26" i="7"/>
  <c r="F26" i="7" s="1"/>
  <c r="D24" i="7"/>
  <c r="E24" i="7" s="1"/>
  <c r="C24" i="7"/>
  <c r="F24" i="7" s="1"/>
  <c r="D23" i="7"/>
  <c r="E23" i="7" s="1"/>
  <c r="C23" i="7"/>
  <c r="F23" i="7" s="1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D206" i="6"/>
  <c r="E206" i="6" s="1"/>
  <c r="F206" i="6" s="1"/>
  <c r="C206" i="6"/>
  <c r="D205" i="6"/>
  <c r="E205" i="6" s="1"/>
  <c r="C205" i="6"/>
  <c r="D204" i="6"/>
  <c r="C204" i="6"/>
  <c r="D203" i="6"/>
  <c r="E203" i="6" s="1"/>
  <c r="C203" i="6"/>
  <c r="D202" i="6"/>
  <c r="C202" i="6"/>
  <c r="D201" i="6"/>
  <c r="E201" i="6" s="1"/>
  <c r="C201" i="6"/>
  <c r="D200" i="6"/>
  <c r="C200" i="6"/>
  <c r="E200" i="6" s="1"/>
  <c r="D199" i="6"/>
  <c r="D208" i="6" s="1"/>
  <c r="C199" i="6"/>
  <c r="D198" i="6"/>
  <c r="E198" i="6" s="1"/>
  <c r="F198" i="6" s="1"/>
  <c r="C198" i="6"/>
  <c r="C207" i="6"/>
  <c r="D193" i="6"/>
  <c r="C193" i="6"/>
  <c r="D192" i="6"/>
  <c r="C192" i="6"/>
  <c r="E192" i="6" s="1"/>
  <c r="E191" i="6"/>
  <c r="F191" i="6" s="1"/>
  <c r="E190" i="6"/>
  <c r="F190" i="6" s="1"/>
  <c r="E189" i="6"/>
  <c r="F189" i="6" s="1"/>
  <c r="E188" i="6"/>
  <c r="F188" i="6" s="1"/>
  <c r="E187" i="6"/>
  <c r="F187" i="6" s="1"/>
  <c r="E186" i="6"/>
  <c r="F186" i="6" s="1"/>
  <c r="E185" i="6"/>
  <c r="F185" i="6" s="1"/>
  <c r="E184" i="6"/>
  <c r="F184" i="6" s="1"/>
  <c r="E183" i="6"/>
  <c r="F183" i="6" s="1"/>
  <c r="D180" i="6"/>
  <c r="E180" i="6" s="1"/>
  <c r="C180" i="6"/>
  <c r="D179" i="6"/>
  <c r="C179" i="6"/>
  <c r="E178" i="6"/>
  <c r="F178" i="6" s="1"/>
  <c r="F177" i="6"/>
  <c r="E177" i="6"/>
  <c r="F176" i="6"/>
  <c r="E176" i="6"/>
  <c r="E175" i="6"/>
  <c r="F175" i="6" s="1"/>
  <c r="E174" i="6"/>
  <c r="F174" i="6" s="1"/>
  <c r="F173" i="6"/>
  <c r="E173" i="6"/>
  <c r="F172" i="6"/>
  <c r="E172" i="6"/>
  <c r="E171" i="6"/>
  <c r="F171" i="6" s="1"/>
  <c r="E170" i="6"/>
  <c r="F170" i="6" s="1"/>
  <c r="D167" i="6"/>
  <c r="C167" i="6"/>
  <c r="D166" i="6"/>
  <c r="C166" i="6"/>
  <c r="E166" i="6" s="1"/>
  <c r="F165" i="6"/>
  <c r="E165" i="6"/>
  <c r="F164" i="6"/>
  <c r="E164" i="6"/>
  <c r="E163" i="6"/>
  <c r="F163" i="6" s="1"/>
  <c r="F162" i="6"/>
  <c r="E162" i="6"/>
  <c r="F161" i="6"/>
  <c r="E161" i="6"/>
  <c r="E160" i="6"/>
  <c r="F160" i="6" s="1"/>
  <c r="E159" i="6"/>
  <c r="F159" i="6" s="1"/>
  <c r="F158" i="6"/>
  <c r="E158" i="6"/>
  <c r="F157" i="6"/>
  <c r="E157" i="6"/>
  <c r="D154" i="6"/>
  <c r="E154" i="6" s="1"/>
  <c r="C154" i="6"/>
  <c r="D153" i="6"/>
  <c r="C153" i="6"/>
  <c r="E152" i="6"/>
  <c r="F152" i="6" s="1"/>
  <c r="E151" i="6"/>
  <c r="F151" i="6" s="1"/>
  <c r="E150" i="6"/>
  <c r="F150" i="6" s="1"/>
  <c r="E149" i="6"/>
  <c r="F149" i="6" s="1"/>
  <c r="E148" i="6"/>
  <c r="F148" i="6" s="1"/>
  <c r="E147" i="6"/>
  <c r="F147" i="6" s="1"/>
  <c r="E146" i="6"/>
  <c r="F146" i="6" s="1"/>
  <c r="E145" i="6"/>
  <c r="F145" i="6" s="1"/>
  <c r="E144" i="6"/>
  <c r="F144" i="6" s="1"/>
  <c r="D141" i="6"/>
  <c r="C141" i="6"/>
  <c r="D140" i="6"/>
  <c r="C140" i="6"/>
  <c r="E140" i="6" s="1"/>
  <c r="E139" i="6"/>
  <c r="F139" i="6" s="1"/>
  <c r="E138" i="6"/>
  <c r="F138" i="6" s="1"/>
  <c r="E137" i="6"/>
  <c r="F137" i="6" s="1"/>
  <c r="E136" i="6"/>
  <c r="F136" i="6" s="1"/>
  <c r="E135" i="6"/>
  <c r="F135" i="6" s="1"/>
  <c r="E134" i="6"/>
  <c r="F134" i="6" s="1"/>
  <c r="E133" i="6"/>
  <c r="F133" i="6" s="1"/>
  <c r="E132" i="6"/>
  <c r="F132" i="6" s="1"/>
  <c r="E131" i="6"/>
  <c r="F131" i="6" s="1"/>
  <c r="D128" i="6"/>
  <c r="E128" i="6" s="1"/>
  <c r="C128" i="6"/>
  <c r="D127" i="6"/>
  <c r="C127" i="6"/>
  <c r="E126" i="6"/>
  <c r="F126" i="6" s="1"/>
  <c r="E125" i="6"/>
  <c r="F125" i="6" s="1"/>
  <c r="E124" i="6"/>
  <c r="F124" i="6" s="1"/>
  <c r="E123" i="6"/>
  <c r="F123" i="6" s="1"/>
  <c r="E122" i="6"/>
  <c r="F122" i="6" s="1"/>
  <c r="E121" i="6"/>
  <c r="F121" i="6" s="1"/>
  <c r="E120" i="6"/>
  <c r="F120" i="6" s="1"/>
  <c r="E119" i="6"/>
  <c r="F119" i="6" s="1"/>
  <c r="E118" i="6"/>
  <c r="F118" i="6" s="1"/>
  <c r="D115" i="6"/>
  <c r="C115" i="6"/>
  <c r="D114" i="6"/>
  <c r="C114" i="6"/>
  <c r="E114" i="6" s="1"/>
  <c r="E113" i="6"/>
  <c r="F113" i="6" s="1"/>
  <c r="F112" i="6"/>
  <c r="E112" i="6"/>
  <c r="E111" i="6"/>
  <c r="F111" i="6" s="1"/>
  <c r="E110" i="6"/>
  <c r="F110" i="6" s="1"/>
  <c r="E109" i="6"/>
  <c r="F109" i="6" s="1"/>
  <c r="F108" i="6"/>
  <c r="E108" i="6"/>
  <c r="F107" i="6"/>
  <c r="E107" i="6"/>
  <c r="F106" i="6"/>
  <c r="E106" i="6"/>
  <c r="F105" i="6"/>
  <c r="E105" i="6"/>
  <c r="D102" i="6"/>
  <c r="E102" i="6" s="1"/>
  <c r="F102" i="6" s="1"/>
  <c r="C102" i="6"/>
  <c r="D101" i="6"/>
  <c r="C101" i="6"/>
  <c r="E100" i="6"/>
  <c r="F100" i="6" s="1"/>
  <c r="E99" i="6"/>
  <c r="F99" i="6" s="1"/>
  <c r="E98" i="6"/>
  <c r="F98" i="6" s="1"/>
  <c r="E97" i="6"/>
  <c r="F97" i="6" s="1"/>
  <c r="E96" i="6"/>
  <c r="F96" i="6" s="1"/>
  <c r="E95" i="6"/>
  <c r="F95" i="6" s="1"/>
  <c r="E94" i="6"/>
  <c r="F94" i="6" s="1"/>
  <c r="E93" i="6"/>
  <c r="F93" i="6" s="1"/>
  <c r="E92" i="6"/>
  <c r="F92" i="6" s="1"/>
  <c r="D89" i="6"/>
  <c r="E89" i="6"/>
  <c r="F89" i="6" s="1"/>
  <c r="C89" i="6"/>
  <c r="D88" i="6"/>
  <c r="E88" i="6" s="1"/>
  <c r="F88" i="6" s="1"/>
  <c r="C88" i="6"/>
  <c r="F87" i="6"/>
  <c r="E87" i="6"/>
  <c r="F86" i="6"/>
  <c r="E86" i="6"/>
  <c r="F85" i="6"/>
  <c r="E85" i="6"/>
  <c r="F84" i="6"/>
  <c r="E84" i="6"/>
  <c r="F83" i="6"/>
  <c r="E83" i="6"/>
  <c r="F82" i="6"/>
  <c r="E82" i="6"/>
  <c r="F81" i="6"/>
  <c r="E81" i="6"/>
  <c r="F80" i="6"/>
  <c r="E80" i="6"/>
  <c r="F79" i="6"/>
  <c r="E79" i="6"/>
  <c r="D76" i="6"/>
  <c r="E76" i="6" s="1"/>
  <c r="F76" i="6" s="1"/>
  <c r="C76" i="6"/>
  <c r="D75" i="6"/>
  <c r="C75" i="6"/>
  <c r="E74" i="6"/>
  <c r="F74" i="6" s="1"/>
  <c r="E73" i="6"/>
  <c r="F73" i="6" s="1"/>
  <c r="E72" i="6"/>
  <c r="F72" i="6" s="1"/>
  <c r="E71" i="6"/>
  <c r="F71" i="6" s="1"/>
  <c r="E70" i="6"/>
  <c r="F70" i="6" s="1"/>
  <c r="E69" i="6"/>
  <c r="F69" i="6" s="1"/>
  <c r="E68" i="6"/>
  <c r="F68" i="6" s="1"/>
  <c r="E67" i="6"/>
  <c r="F67" i="6" s="1"/>
  <c r="E66" i="6"/>
  <c r="F66" i="6" s="1"/>
  <c r="D63" i="6"/>
  <c r="E63" i="6"/>
  <c r="F63" i="6" s="1"/>
  <c r="C63" i="6"/>
  <c r="D62" i="6"/>
  <c r="E62" i="6" s="1"/>
  <c r="F62" i="6" s="1"/>
  <c r="C62" i="6"/>
  <c r="F61" i="6"/>
  <c r="E61" i="6"/>
  <c r="F60" i="6"/>
  <c r="E60" i="6"/>
  <c r="F59" i="6"/>
  <c r="E59" i="6"/>
  <c r="F58" i="6"/>
  <c r="E58" i="6"/>
  <c r="F57" i="6"/>
  <c r="E57" i="6"/>
  <c r="F56" i="6"/>
  <c r="E56" i="6"/>
  <c r="F55" i="6"/>
  <c r="E55" i="6"/>
  <c r="F54" i="6"/>
  <c r="E54" i="6"/>
  <c r="F53" i="6"/>
  <c r="E53" i="6"/>
  <c r="D50" i="6"/>
  <c r="E50" i="6" s="1"/>
  <c r="F50" i="6" s="1"/>
  <c r="C50" i="6"/>
  <c r="D49" i="6"/>
  <c r="C49" i="6"/>
  <c r="E48" i="6"/>
  <c r="F48" i="6" s="1"/>
  <c r="E47" i="6"/>
  <c r="F47" i="6" s="1"/>
  <c r="E46" i="6"/>
  <c r="F46" i="6" s="1"/>
  <c r="E45" i="6"/>
  <c r="F45" i="6" s="1"/>
  <c r="E44" i="6"/>
  <c r="F44" i="6" s="1"/>
  <c r="E43" i="6"/>
  <c r="F43" i="6" s="1"/>
  <c r="E42" i="6"/>
  <c r="F42" i="6" s="1"/>
  <c r="E41" i="6"/>
  <c r="F41" i="6" s="1"/>
  <c r="E40" i="6"/>
  <c r="F40" i="6" s="1"/>
  <c r="D37" i="6"/>
  <c r="E37" i="6"/>
  <c r="F37" i="6" s="1"/>
  <c r="C37" i="6"/>
  <c r="D36" i="6"/>
  <c r="E36" i="6" s="1"/>
  <c r="F36" i="6" s="1"/>
  <c r="C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4" i="6"/>
  <c r="E24" i="6" s="1"/>
  <c r="F24" i="6" s="1"/>
  <c r="C24" i="6"/>
  <c r="D23" i="6"/>
  <c r="C23" i="6"/>
  <c r="E22" i="6"/>
  <c r="F22" i="6" s="1"/>
  <c r="E21" i="6"/>
  <c r="F21" i="6" s="1"/>
  <c r="E20" i="6"/>
  <c r="F20" i="6" s="1"/>
  <c r="E19" i="6"/>
  <c r="F19" i="6" s="1"/>
  <c r="E18" i="6"/>
  <c r="F18" i="6" s="1"/>
  <c r="E17" i="6"/>
  <c r="F17" i="6" s="1"/>
  <c r="E16" i="6"/>
  <c r="F16" i="6" s="1"/>
  <c r="E15" i="6"/>
  <c r="F15" i="6" s="1"/>
  <c r="E14" i="6"/>
  <c r="F14" i="6" s="1"/>
  <c r="E191" i="5"/>
  <c r="D191" i="5"/>
  <c r="C191" i="5"/>
  <c r="E176" i="5"/>
  <c r="D176" i="5"/>
  <c r="C176" i="5"/>
  <c r="E164" i="5"/>
  <c r="D164" i="5"/>
  <c r="D160" i="5" s="1"/>
  <c r="C164" i="5"/>
  <c r="E162" i="5"/>
  <c r="D162" i="5"/>
  <c r="C162" i="5"/>
  <c r="E161" i="5"/>
  <c r="D161" i="5"/>
  <c r="C161" i="5"/>
  <c r="E160" i="5"/>
  <c r="E166" i="5" s="1"/>
  <c r="C160" i="5"/>
  <c r="C166" i="5"/>
  <c r="E147" i="5"/>
  <c r="E143" i="5" s="1"/>
  <c r="D147" i="5"/>
  <c r="D143" i="5" s="1"/>
  <c r="D149" i="5" s="1"/>
  <c r="C147" i="5"/>
  <c r="C143" i="5" s="1"/>
  <c r="C149" i="5" s="1"/>
  <c r="E145" i="5"/>
  <c r="D145" i="5"/>
  <c r="C145" i="5"/>
  <c r="E144" i="5"/>
  <c r="D144" i="5"/>
  <c r="C144" i="5"/>
  <c r="E126" i="5"/>
  <c r="D126" i="5"/>
  <c r="C126" i="5"/>
  <c r="E119" i="5"/>
  <c r="D119" i="5"/>
  <c r="C119" i="5"/>
  <c r="E108" i="5"/>
  <c r="D108" i="5"/>
  <c r="C108" i="5"/>
  <c r="E107" i="5"/>
  <c r="D107" i="5"/>
  <c r="D109" i="5" s="1"/>
  <c r="D106" i="5" s="1"/>
  <c r="C107" i="5"/>
  <c r="E102" i="5"/>
  <c r="E104" i="5" s="1"/>
  <c r="D102" i="5"/>
  <c r="D104" i="5" s="1"/>
  <c r="C102" i="5"/>
  <c r="C104" i="5" s="1"/>
  <c r="E100" i="5"/>
  <c r="D100" i="5"/>
  <c r="C100" i="5"/>
  <c r="E95" i="5"/>
  <c r="E94" i="5" s="1"/>
  <c r="D95" i="5"/>
  <c r="D94" i="5" s="1"/>
  <c r="C95" i="5"/>
  <c r="C94" i="5" s="1"/>
  <c r="E89" i="5"/>
  <c r="D89" i="5"/>
  <c r="C89" i="5"/>
  <c r="E87" i="5"/>
  <c r="D87" i="5"/>
  <c r="C87" i="5"/>
  <c r="E84" i="5"/>
  <c r="D84" i="5"/>
  <c r="C84" i="5"/>
  <c r="E83" i="5"/>
  <c r="D83" i="5"/>
  <c r="D79" i="5" s="1"/>
  <c r="C83" i="5"/>
  <c r="E75" i="5"/>
  <c r="E88" i="5" s="1"/>
  <c r="E90" i="5" s="1"/>
  <c r="E86" i="5" s="1"/>
  <c r="D75" i="5"/>
  <c r="C75" i="5"/>
  <c r="C88" i="5" s="1"/>
  <c r="C90" i="5" s="1"/>
  <c r="C86" i="5" s="1"/>
  <c r="E74" i="5"/>
  <c r="D74" i="5"/>
  <c r="C74" i="5"/>
  <c r="E67" i="5"/>
  <c r="D67" i="5"/>
  <c r="C67" i="5"/>
  <c r="E38" i="5"/>
  <c r="D38" i="5"/>
  <c r="D53" i="5" s="1"/>
  <c r="D57" i="5"/>
  <c r="D62" i="5" s="1"/>
  <c r="C38" i="5"/>
  <c r="E34" i="5"/>
  <c r="E33" i="5"/>
  <c r="D33" i="5"/>
  <c r="D34" i="5" s="1"/>
  <c r="E26" i="5"/>
  <c r="D26" i="5"/>
  <c r="C26" i="5"/>
  <c r="E15" i="5"/>
  <c r="E13" i="5"/>
  <c r="E25" i="5" s="1"/>
  <c r="E27" i="5" s="1"/>
  <c r="E21" i="5" s="1"/>
  <c r="D13" i="5"/>
  <c r="C13" i="5"/>
  <c r="C25" i="5" s="1"/>
  <c r="C27" i="5" s="1"/>
  <c r="E174" i="4"/>
  <c r="F174" i="4" s="1"/>
  <c r="D171" i="4"/>
  <c r="E171" i="4" s="1"/>
  <c r="F171" i="4" s="1"/>
  <c r="C171" i="4"/>
  <c r="F170" i="4"/>
  <c r="E170" i="4"/>
  <c r="F169" i="4"/>
  <c r="E169" i="4"/>
  <c r="F168" i="4"/>
  <c r="E168" i="4"/>
  <c r="F167" i="4"/>
  <c r="E167" i="4"/>
  <c r="F166" i="4"/>
  <c r="E166" i="4"/>
  <c r="F165" i="4"/>
  <c r="E165" i="4"/>
  <c r="F164" i="4"/>
  <c r="E164" i="4"/>
  <c r="F163" i="4"/>
  <c r="E163" i="4"/>
  <c r="F162" i="4"/>
  <c r="E162" i="4"/>
  <c r="F161" i="4"/>
  <c r="E161" i="4"/>
  <c r="F160" i="4"/>
  <c r="E160" i="4"/>
  <c r="F159" i="4"/>
  <c r="E159" i="4"/>
  <c r="F158" i="4"/>
  <c r="E158" i="4"/>
  <c r="D155" i="4"/>
  <c r="C155" i="4"/>
  <c r="E154" i="4"/>
  <c r="F154" i="4" s="1"/>
  <c r="F153" i="4"/>
  <c r="E153" i="4"/>
  <c r="E152" i="4"/>
  <c r="F152" i="4" s="1"/>
  <c r="E151" i="4"/>
  <c r="F151" i="4" s="1"/>
  <c r="F150" i="4"/>
  <c r="E150" i="4"/>
  <c r="E149" i="4"/>
  <c r="F149" i="4" s="1"/>
  <c r="E148" i="4"/>
  <c r="F148" i="4" s="1"/>
  <c r="F147" i="4"/>
  <c r="E147" i="4"/>
  <c r="E146" i="4"/>
  <c r="F146" i="4" s="1"/>
  <c r="E145" i="4"/>
  <c r="F145" i="4" s="1"/>
  <c r="E144" i="4"/>
  <c r="F144" i="4" s="1"/>
  <c r="E143" i="4"/>
  <c r="F143" i="4"/>
  <c r="E142" i="4"/>
  <c r="F142" i="4" s="1"/>
  <c r="F141" i="4"/>
  <c r="E141" i="4"/>
  <c r="F140" i="4"/>
  <c r="E140" i="4"/>
  <c r="E139" i="4"/>
  <c r="F139" i="4" s="1"/>
  <c r="E138" i="4"/>
  <c r="F138" i="4" s="1"/>
  <c r="F137" i="4"/>
  <c r="E137" i="4"/>
  <c r="E136" i="4"/>
  <c r="F136" i="4" s="1"/>
  <c r="E135" i="4"/>
  <c r="F135" i="4" s="1"/>
  <c r="E134" i="4"/>
  <c r="F134" i="4" s="1"/>
  <c r="E133" i="4"/>
  <c r="F133" i="4"/>
  <c r="F132" i="4"/>
  <c r="E132" i="4"/>
  <c r="E131" i="4"/>
  <c r="F131" i="4"/>
  <c r="E130" i="4"/>
  <c r="F130" i="4" s="1"/>
  <c r="E129" i="4"/>
  <c r="F129" i="4" s="1"/>
  <c r="E128" i="4"/>
  <c r="F128" i="4" s="1"/>
  <c r="E127" i="4"/>
  <c r="F127" i="4"/>
  <c r="E126" i="4"/>
  <c r="F126" i="4" s="1"/>
  <c r="E125" i="4"/>
  <c r="F125" i="4" s="1"/>
  <c r="E124" i="4"/>
  <c r="F124" i="4" s="1"/>
  <c r="E123" i="4"/>
  <c r="F123" i="4"/>
  <c r="E122" i="4"/>
  <c r="F122" i="4" s="1"/>
  <c r="E121" i="4"/>
  <c r="F121" i="4" s="1"/>
  <c r="D118" i="4"/>
  <c r="E118" i="4" s="1"/>
  <c r="C118" i="4"/>
  <c r="F117" i="4"/>
  <c r="E117" i="4"/>
  <c r="E116" i="4"/>
  <c r="F116" i="4" s="1"/>
  <c r="E115" i="4"/>
  <c r="F115" i="4" s="1"/>
  <c r="E114" i="4"/>
  <c r="F114" i="4" s="1"/>
  <c r="F113" i="4"/>
  <c r="E113" i="4"/>
  <c r="E112" i="4"/>
  <c r="F112" i="4" s="1"/>
  <c r="D109" i="4"/>
  <c r="C109" i="4"/>
  <c r="F108" i="4"/>
  <c r="E108" i="4"/>
  <c r="E107" i="4"/>
  <c r="F107" i="4" s="1"/>
  <c r="E106" i="4"/>
  <c r="F106" i="4" s="1"/>
  <c r="E105" i="4"/>
  <c r="F105" i="4"/>
  <c r="E104" i="4"/>
  <c r="F104" i="4" s="1"/>
  <c r="E103" i="4"/>
  <c r="F103" i="4" s="1"/>
  <c r="E102" i="4"/>
  <c r="F102" i="4" s="1"/>
  <c r="E101" i="4"/>
  <c r="F101" i="4"/>
  <c r="E100" i="4"/>
  <c r="F100" i="4" s="1"/>
  <c r="E99" i="4"/>
  <c r="F99" i="4" s="1"/>
  <c r="E98" i="4"/>
  <c r="F98" i="4" s="1"/>
  <c r="E97" i="4"/>
  <c r="F97" i="4"/>
  <c r="E96" i="4"/>
  <c r="F96" i="4" s="1"/>
  <c r="E95" i="4"/>
  <c r="F95" i="4" s="1"/>
  <c r="E94" i="4"/>
  <c r="F94" i="4" s="1"/>
  <c r="E93" i="4"/>
  <c r="F93" i="4"/>
  <c r="E92" i="4"/>
  <c r="F92" i="4" s="1"/>
  <c r="E91" i="4"/>
  <c r="F91" i="4" s="1"/>
  <c r="E81" i="4"/>
  <c r="F81" i="4" s="1"/>
  <c r="D78" i="4"/>
  <c r="C78" i="4"/>
  <c r="E77" i="4"/>
  <c r="F77" i="4" s="1"/>
  <c r="E76" i="4"/>
  <c r="F76" i="4" s="1"/>
  <c r="E75" i="4"/>
  <c r="F75" i="4" s="1"/>
  <c r="E74" i="4"/>
  <c r="F74" i="4" s="1"/>
  <c r="E73" i="4"/>
  <c r="F73" i="4" s="1"/>
  <c r="E72" i="4"/>
  <c r="F72" i="4" s="1"/>
  <c r="E71" i="4"/>
  <c r="F71" i="4" s="1"/>
  <c r="E70" i="4"/>
  <c r="F70" i="4" s="1"/>
  <c r="E69" i="4"/>
  <c r="F69" i="4" s="1"/>
  <c r="E68" i="4"/>
  <c r="F68" i="4" s="1"/>
  <c r="E67" i="4"/>
  <c r="F67" i="4" s="1"/>
  <c r="E66" i="4"/>
  <c r="F66" i="4" s="1"/>
  <c r="F65" i="4"/>
  <c r="E65" i="4"/>
  <c r="E64" i="4"/>
  <c r="F64" i="4" s="1"/>
  <c r="E63" i="4"/>
  <c r="F63" i="4" s="1"/>
  <c r="E62" i="4"/>
  <c r="F62" i="4" s="1"/>
  <c r="D59" i="4"/>
  <c r="C59" i="4"/>
  <c r="E58" i="4"/>
  <c r="F58" i="4" s="1"/>
  <c r="E57" i="4"/>
  <c r="F57" i="4" s="1"/>
  <c r="E56" i="4"/>
  <c r="F56" i="4" s="1"/>
  <c r="E55" i="4"/>
  <c r="F55" i="4" s="1"/>
  <c r="E54" i="4"/>
  <c r="F54" i="4" s="1"/>
  <c r="E53" i="4"/>
  <c r="F53" i="4" s="1"/>
  <c r="E50" i="4"/>
  <c r="F50" i="4" s="1"/>
  <c r="E47" i="4"/>
  <c r="F47" i="4" s="1"/>
  <c r="E44" i="4"/>
  <c r="F44" i="4" s="1"/>
  <c r="D41" i="4"/>
  <c r="C41" i="4"/>
  <c r="E40" i="4"/>
  <c r="F40" i="4" s="1"/>
  <c r="E39" i="4"/>
  <c r="F39" i="4" s="1"/>
  <c r="F38" i="4"/>
  <c r="E38" i="4"/>
  <c r="D35" i="4"/>
  <c r="E35" i="4" s="1"/>
  <c r="C35" i="4"/>
  <c r="E34" i="4"/>
  <c r="F34" i="4" s="1"/>
  <c r="E33" i="4"/>
  <c r="F33" i="4" s="1"/>
  <c r="D30" i="4"/>
  <c r="C30" i="4"/>
  <c r="E29" i="4"/>
  <c r="F29" i="4" s="1"/>
  <c r="F28" i="4"/>
  <c r="E28" i="4"/>
  <c r="E27" i="4"/>
  <c r="F27" i="4" s="1"/>
  <c r="D24" i="4"/>
  <c r="C24" i="4"/>
  <c r="E23" i="4"/>
  <c r="F23" i="4" s="1"/>
  <c r="E22" i="4"/>
  <c r="F22" i="4" s="1"/>
  <c r="E21" i="4"/>
  <c r="F21" i="4" s="1"/>
  <c r="D18" i="4"/>
  <c r="E18" i="4" s="1"/>
  <c r="F18" i="4" s="1"/>
  <c r="C18" i="4"/>
  <c r="F17" i="4"/>
  <c r="E17" i="4"/>
  <c r="F16" i="4"/>
  <c r="E16" i="4"/>
  <c r="F15" i="4"/>
  <c r="E15" i="4"/>
  <c r="D179" i="3"/>
  <c r="C179" i="3"/>
  <c r="F178" i="3"/>
  <c r="E178" i="3"/>
  <c r="E177" i="3"/>
  <c r="F177" i="3" s="1"/>
  <c r="E176" i="3"/>
  <c r="F176" i="3" s="1"/>
  <c r="E175" i="3"/>
  <c r="F175" i="3" s="1"/>
  <c r="E174" i="3"/>
  <c r="F174" i="3" s="1"/>
  <c r="E173" i="3"/>
  <c r="F173" i="3" s="1"/>
  <c r="E172" i="3"/>
  <c r="F172" i="3" s="1"/>
  <c r="E171" i="3"/>
  <c r="F171" i="3" s="1"/>
  <c r="E170" i="3"/>
  <c r="F170" i="3" s="1"/>
  <c r="E169" i="3"/>
  <c r="F169" i="3" s="1"/>
  <c r="E168" i="3"/>
  <c r="F168" i="3" s="1"/>
  <c r="D166" i="3"/>
  <c r="E166" i="3" s="1"/>
  <c r="C166" i="3"/>
  <c r="E165" i="3"/>
  <c r="F165" i="3" s="1"/>
  <c r="E164" i="3"/>
  <c r="F164" i="3" s="1"/>
  <c r="E163" i="3"/>
  <c r="F163" i="3" s="1"/>
  <c r="F162" i="3"/>
  <c r="E162" i="3"/>
  <c r="E161" i="3"/>
  <c r="F161" i="3" s="1"/>
  <c r="E160" i="3"/>
  <c r="F160" i="3" s="1"/>
  <c r="E159" i="3"/>
  <c r="F159" i="3" s="1"/>
  <c r="F158" i="3"/>
  <c r="E158" i="3"/>
  <c r="E157" i="3"/>
  <c r="F157" i="3" s="1"/>
  <c r="E156" i="3"/>
  <c r="F156" i="3" s="1"/>
  <c r="E155" i="3"/>
  <c r="F155" i="3" s="1"/>
  <c r="D153" i="3"/>
  <c r="C153" i="3"/>
  <c r="E153" i="3"/>
  <c r="E152" i="3"/>
  <c r="F152" i="3"/>
  <c r="E151" i="3"/>
  <c r="F151" i="3"/>
  <c r="E150" i="3"/>
  <c r="F150" i="3"/>
  <c r="E149" i="3"/>
  <c r="F149" i="3"/>
  <c r="E148" i="3"/>
  <c r="F148" i="3"/>
  <c r="E147" i="3"/>
  <c r="F147" i="3"/>
  <c r="E146" i="3"/>
  <c r="F146" i="3"/>
  <c r="E145" i="3"/>
  <c r="F145" i="3"/>
  <c r="E144" i="3"/>
  <c r="F144" i="3"/>
  <c r="E143" i="3"/>
  <c r="F143" i="3"/>
  <c r="E142" i="3"/>
  <c r="F142" i="3"/>
  <c r="D137" i="3"/>
  <c r="C137" i="3"/>
  <c r="E136" i="3"/>
  <c r="F136" i="3"/>
  <c r="E135" i="3"/>
  <c r="F135" i="3"/>
  <c r="E134" i="3"/>
  <c r="F134" i="3"/>
  <c r="E133" i="3"/>
  <c r="F133" i="3"/>
  <c r="E132" i="3"/>
  <c r="F132" i="3"/>
  <c r="E131" i="3"/>
  <c r="F131" i="3"/>
  <c r="E130" i="3"/>
  <c r="F130" i="3"/>
  <c r="E129" i="3"/>
  <c r="F129" i="3"/>
  <c r="E128" i="3"/>
  <c r="F128" i="3"/>
  <c r="E127" i="3"/>
  <c r="F127" i="3"/>
  <c r="E126" i="3"/>
  <c r="F126" i="3"/>
  <c r="D124" i="3"/>
  <c r="C124" i="3"/>
  <c r="E124" i="3" s="1"/>
  <c r="E123" i="3"/>
  <c r="F123" i="3" s="1"/>
  <c r="E122" i="3"/>
  <c r="F122" i="3" s="1"/>
  <c r="E121" i="3"/>
  <c r="F121" i="3" s="1"/>
  <c r="E120" i="3"/>
  <c r="F120" i="3" s="1"/>
  <c r="E119" i="3"/>
  <c r="F119" i="3" s="1"/>
  <c r="E118" i="3"/>
  <c r="F118" i="3" s="1"/>
  <c r="E117" i="3"/>
  <c r="F117" i="3" s="1"/>
  <c r="E116" i="3"/>
  <c r="F116" i="3" s="1"/>
  <c r="E115" i="3"/>
  <c r="F115" i="3" s="1"/>
  <c r="E114" i="3"/>
  <c r="F114" i="3" s="1"/>
  <c r="E113" i="3"/>
  <c r="F113" i="3" s="1"/>
  <c r="D111" i="3"/>
  <c r="C111" i="3"/>
  <c r="E110" i="3"/>
  <c r="F110" i="3" s="1"/>
  <c r="E109" i="3"/>
  <c r="F109" i="3" s="1"/>
  <c r="E108" i="3"/>
  <c r="F108" i="3" s="1"/>
  <c r="E107" i="3"/>
  <c r="F107" i="3" s="1"/>
  <c r="E106" i="3"/>
  <c r="F106" i="3" s="1"/>
  <c r="E105" i="3"/>
  <c r="F105" i="3" s="1"/>
  <c r="E104" i="3"/>
  <c r="F104" i="3" s="1"/>
  <c r="E103" i="3"/>
  <c r="F103" i="3" s="1"/>
  <c r="E102" i="3"/>
  <c r="F102" i="3" s="1"/>
  <c r="E101" i="3"/>
  <c r="F101" i="3" s="1"/>
  <c r="E100" i="3"/>
  <c r="F100" i="3" s="1"/>
  <c r="D94" i="3"/>
  <c r="C94" i="3"/>
  <c r="E94" i="3" s="1"/>
  <c r="D93" i="3"/>
  <c r="C93" i="3"/>
  <c r="E93" i="3" s="1"/>
  <c r="D92" i="3"/>
  <c r="C92" i="3"/>
  <c r="E92" i="3" s="1"/>
  <c r="F92" i="3" s="1"/>
  <c r="D91" i="3"/>
  <c r="C91" i="3"/>
  <c r="D90" i="3"/>
  <c r="C90" i="3"/>
  <c r="E90" i="3"/>
  <c r="D89" i="3"/>
  <c r="C89" i="3"/>
  <c r="E89" i="3" s="1"/>
  <c r="D88" i="3"/>
  <c r="C88" i="3"/>
  <c r="E88" i="3" s="1"/>
  <c r="F88" i="3" s="1"/>
  <c r="D87" i="3"/>
  <c r="C87" i="3"/>
  <c r="D86" i="3"/>
  <c r="C86" i="3"/>
  <c r="E86" i="3"/>
  <c r="D85" i="3"/>
  <c r="C85" i="3"/>
  <c r="E85" i="3" s="1"/>
  <c r="D84" i="3"/>
  <c r="D95" i="3" s="1"/>
  <c r="C84" i="3"/>
  <c r="D81" i="3"/>
  <c r="C81" i="3"/>
  <c r="E81" i="3"/>
  <c r="E80" i="3"/>
  <c r="F80" i="3"/>
  <c r="E79" i="3"/>
  <c r="F79" i="3"/>
  <c r="E78" i="3"/>
  <c r="F78" i="3"/>
  <c r="E77" i="3"/>
  <c r="F77" i="3"/>
  <c r="E76" i="3"/>
  <c r="F76" i="3"/>
  <c r="E75" i="3"/>
  <c r="F75" i="3"/>
  <c r="E74" i="3"/>
  <c r="F74" i="3"/>
  <c r="E73" i="3"/>
  <c r="F73" i="3"/>
  <c r="E72" i="3"/>
  <c r="F72" i="3"/>
  <c r="E71" i="3"/>
  <c r="F71" i="3"/>
  <c r="E70" i="3"/>
  <c r="F70" i="3"/>
  <c r="D68" i="3"/>
  <c r="C68" i="3"/>
  <c r="E67" i="3"/>
  <c r="F67" i="3" s="1"/>
  <c r="E66" i="3"/>
  <c r="F66" i="3" s="1"/>
  <c r="E65" i="3"/>
  <c r="F65" i="3" s="1"/>
  <c r="E64" i="3"/>
  <c r="F64" i="3" s="1"/>
  <c r="E63" i="3"/>
  <c r="F63" i="3" s="1"/>
  <c r="E62" i="3"/>
  <c r="F62" i="3" s="1"/>
  <c r="E61" i="3"/>
  <c r="F61" i="3" s="1"/>
  <c r="E60" i="3"/>
  <c r="F60" i="3" s="1"/>
  <c r="E59" i="3"/>
  <c r="F59" i="3" s="1"/>
  <c r="E58" i="3"/>
  <c r="F58" i="3" s="1"/>
  <c r="E57" i="3"/>
  <c r="F57" i="3" s="1"/>
  <c r="D51" i="3"/>
  <c r="C51" i="3"/>
  <c r="D50" i="3"/>
  <c r="C50" i="3"/>
  <c r="E50" i="3"/>
  <c r="D49" i="3"/>
  <c r="C49" i="3"/>
  <c r="E49" i="3" s="1"/>
  <c r="D48" i="3"/>
  <c r="C48" i="3"/>
  <c r="E48" i="3" s="1"/>
  <c r="F48" i="3" s="1"/>
  <c r="D47" i="3"/>
  <c r="C47" i="3"/>
  <c r="D46" i="3"/>
  <c r="C46" i="3"/>
  <c r="E46" i="3"/>
  <c r="D45" i="3"/>
  <c r="C45" i="3"/>
  <c r="E45" i="3" s="1"/>
  <c r="D44" i="3"/>
  <c r="C44" i="3"/>
  <c r="E44" i="3" s="1"/>
  <c r="F44" i="3" s="1"/>
  <c r="D43" i="3"/>
  <c r="C43" i="3"/>
  <c r="D42" i="3"/>
  <c r="C42" i="3"/>
  <c r="E42" i="3"/>
  <c r="D41" i="3"/>
  <c r="D52" i="3"/>
  <c r="C41" i="3"/>
  <c r="E41" i="3"/>
  <c r="D38" i="3"/>
  <c r="C38" i="3"/>
  <c r="E38" i="3" s="1"/>
  <c r="E37" i="3"/>
  <c r="F37" i="3" s="1"/>
  <c r="E36" i="3"/>
  <c r="F36" i="3" s="1"/>
  <c r="E35" i="3"/>
  <c r="F35" i="3" s="1"/>
  <c r="E34" i="3"/>
  <c r="F34" i="3" s="1"/>
  <c r="E33" i="3"/>
  <c r="F33" i="3" s="1"/>
  <c r="E32" i="3"/>
  <c r="F32" i="3" s="1"/>
  <c r="E31" i="3"/>
  <c r="F31" i="3" s="1"/>
  <c r="E30" i="3"/>
  <c r="F30" i="3" s="1"/>
  <c r="E29" i="3"/>
  <c r="F29" i="3" s="1"/>
  <c r="E28" i="3"/>
  <c r="F28" i="3" s="1"/>
  <c r="E27" i="3"/>
  <c r="F27" i="3" s="1"/>
  <c r="D25" i="3"/>
  <c r="C25" i="3"/>
  <c r="E24" i="3"/>
  <c r="F24" i="3" s="1"/>
  <c r="E23" i="3"/>
  <c r="F23" i="3" s="1"/>
  <c r="E22" i="3"/>
  <c r="F22" i="3" s="1"/>
  <c r="E21" i="3"/>
  <c r="F21" i="3" s="1"/>
  <c r="E20" i="3"/>
  <c r="F20" i="3" s="1"/>
  <c r="E19" i="3"/>
  <c r="F19" i="3" s="1"/>
  <c r="E18" i="3"/>
  <c r="F18" i="3" s="1"/>
  <c r="E17" i="3"/>
  <c r="F17" i="3" s="1"/>
  <c r="E16" i="3"/>
  <c r="F16" i="3" s="1"/>
  <c r="E15" i="3"/>
  <c r="F15" i="3" s="1"/>
  <c r="E14" i="3"/>
  <c r="F14" i="3" s="1"/>
  <c r="E49" i="2"/>
  <c r="F49" i="2" s="1"/>
  <c r="D46" i="2"/>
  <c r="E46" i="2" s="1"/>
  <c r="C46" i="2"/>
  <c r="F46" i="2"/>
  <c r="F45" i="2"/>
  <c r="E45" i="2"/>
  <c r="F44" i="2"/>
  <c r="E44" i="2"/>
  <c r="D39" i="2"/>
  <c r="C39" i="2"/>
  <c r="E38" i="2"/>
  <c r="F38" i="2" s="1"/>
  <c r="E37" i="2"/>
  <c r="F37" i="2"/>
  <c r="E36" i="2"/>
  <c r="F36" i="2"/>
  <c r="D31" i="2"/>
  <c r="C31" i="2"/>
  <c r="E31" i="2" s="1"/>
  <c r="F31" i="2" s="1"/>
  <c r="E30" i="2"/>
  <c r="F30" i="2" s="1"/>
  <c r="E29" i="2"/>
  <c r="F29" i="2" s="1"/>
  <c r="E28" i="2"/>
  <c r="F28" i="2" s="1"/>
  <c r="E27" i="2"/>
  <c r="F27" i="2" s="1"/>
  <c r="E26" i="2"/>
  <c r="F26" i="2" s="1"/>
  <c r="E25" i="2"/>
  <c r="F25" i="2" s="1"/>
  <c r="E24" i="2"/>
  <c r="F24" i="2" s="1"/>
  <c r="E23" i="2"/>
  <c r="F23" i="2" s="1"/>
  <c r="E22" i="2"/>
  <c r="F22" i="2" s="1"/>
  <c r="F18" i="2"/>
  <c r="E18" i="2"/>
  <c r="E17" i="2"/>
  <c r="F17" i="2" s="1"/>
  <c r="D16" i="2"/>
  <c r="E16" i="2" s="1"/>
  <c r="C16" i="2"/>
  <c r="F16" i="2" s="1"/>
  <c r="F15" i="2"/>
  <c r="E15" i="2"/>
  <c r="E14" i="2"/>
  <c r="F14" i="2" s="1"/>
  <c r="E13" i="2"/>
  <c r="F13" i="2" s="1"/>
  <c r="E12" i="2"/>
  <c r="F12" i="2" s="1"/>
  <c r="D73" i="1"/>
  <c r="E73" i="1" s="1"/>
  <c r="F73" i="1" s="1"/>
  <c r="C73" i="1"/>
  <c r="E72" i="1"/>
  <c r="F72" i="1" s="1"/>
  <c r="E71" i="1"/>
  <c r="F71" i="1" s="1"/>
  <c r="E70" i="1"/>
  <c r="F70" i="1" s="1"/>
  <c r="F67" i="1"/>
  <c r="E67" i="1"/>
  <c r="E64" i="1"/>
  <c r="F64" i="1" s="1"/>
  <c r="E63" i="1"/>
  <c r="F63" i="1" s="1"/>
  <c r="D61" i="1"/>
  <c r="E61" i="1" s="1"/>
  <c r="C61" i="1"/>
  <c r="E60" i="1"/>
  <c r="F60" i="1" s="1"/>
  <c r="E59" i="1"/>
  <c r="F59" i="1" s="1"/>
  <c r="D56" i="1"/>
  <c r="E56" i="1" s="1"/>
  <c r="C56" i="1"/>
  <c r="F56" i="1" s="1"/>
  <c r="E55" i="1"/>
  <c r="F55" i="1" s="1"/>
  <c r="E54" i="1"/>
  <c r="F54" i="1" s="1"/>
  <c r="E53" i="1"/>
  <c r="F53" i="1"/>
  <c r="F52" i="1"/>
  <c r="E52" i="1"/>
  <c r="E51" i="1"/>
  <c r="F51" i="1"/>
  <c r="E50" i="1"/>
  <c r="F50" i="1" s="1"/>
  <c r="A50" i="1"/>
  <c r="A51" i="1" s="1"/>
  <c r="A52" i="1" s="1"/>
  <c r="A53" i="1" s="1"/>
  <c r="A54" i="1" s="1"/>
  <c r="A55" i="1" s="1"/>
  <c r="E49" i="1"/>
  <c r="F49" i="1" s="1"/>
  <c r="E40" i="1"/>
  <c r="F40" i="1" s="1"/>
  <c r="D38" i="1"/>
  <c r="D41" i="1" s="1"/>
  <c r="C38" i="1"/>
  <c r="C41" i="1"/>
  <c r="E37" i="1"/>
  <c r="F37" i="1"/>
  <c r="E36" i="1"/>
  <c r="F36" i="1"/>
  <c r="E33" i="1"/>
  <c r="F33" i="1"/>
  <c r="E32" i="1"/>
  <c r="F32" i="1"/>
  <c r="F31" i="1"/>
  <c r="E31" i="1"/>
  <c r="D29" i="1"/>
  <c r="C29" i="1"/>
  <c r="E28" i="1"/>
  <c r="F28" i="1"/>
  <c r="E27" i="1"/>
  <c r="F27" i="1"/>
  <c r="F26" i="1"/>
  <c r="E26" i="1"/>
  <c r="E25" i="1"/>
  <c r="F25" i="1"/>
  <c r="D22" i="1"/>
  <c r="C22" i="1"/>
  <c r="E21" i="1"/>
  <c r="F21" i="1" s="1"/>
  <c r="F20" i="1"/>
  <c r="E20" i="1"/>
  <c r="E19" i="1"/>
  <c r="F19" i="1" s="1"/>
  <c r="E18" i="1"/>
  <c r="F18" i="1" s="1"/>
  <c r="F17" i="1"/>
  <c r="E17" i="1"/>
  <c r="F16" i="1"/>
  <c r="E16" i="1"/>
  <c r="E15" i="1"/>
  <c r="F15" i="1" s="1"/>
  <c r="F14" i="1"/>
  <c r="E14" i="1"/>
  <c r="E13" i="1"/>
  <c r="F13" i="1" s="1"/>
  <c r="F17" i="14"/>
  <c r="F36" i="14"/>
  <c r="E203" i="14"/>
  <c r="F203" i="14" s="1"/>
  <c r="E296" i="14"/>
  <c r="F296" i="14" s="1"/>
  <c r="D68" i="14"/>
  <c r="D111" i="14"/>
  <c r="D137" i="14"/>
  <c r="D207" i="14" s="1"/>
  <c r="D264" i="14"/>
  <c r="E264" i="14" s="1"/>
  <c r="F264" i="14" s="1"/>
  <c r="F94" i="14"/>
  <c r="E229" i="14"/>
  <c r="F229" i="14" s="1"/>
  <c r="E188" i="14"/>
  <c r="F188" i="14" s="1"/>
  <c r="C21" i="5"/>
  <c r="C139" i="5"/>
  <c r="C135" i="5"/>
  <c r="C137" i="5"/>
  <c r="C138" i="5"/>
  <c r="C136" i="5"/>
  <c r="C140" i="5"/>
  <c r="C156" i="5"/>
  <c r="C152" i="5"/>
  <c r="C154" i="5"/>
  <c r="C153" i="5"/>
  <c r="C157" i="5"/>
  <c r="C155" i="5"/>
  <c r="C53" i="5"/>
  <c r="C43" i="5"/>
  <c r="D88" i="5"/>
  <c r="D90" i="5" s="1"/>
  <c r="D86" i="5" s="1"/>
  <c r="D77" i="5"/>
  <c r="D71" i="5"/>
  <c r="E111" i="14"/>
  <c r="F111" i="14" s="1"/>
  <c r="C95" i="3"/>
  <c r="E95" i="3" s="1"/>
  <c r="F95" i="3" s="1"/>
  <c r="C57" i="5"/>
  <c r="C62" i="5" s="1"/>
  <c r="F38" i="3"/>
  <c r="F41" i="3"/>
  <c r="F42" i="3"/>
  <c r="F45" i="3"/>
  <c r="F46" i="3"/>
  <c r="F49" i="3"/>
  <c r="F50" i="3"/>
  <c r="F81" i="3"/>
  <c r="F85" i="3"/>
  <c r="F86" i="3"/>
  <c r="F89" i="3"/>
  <c r="F90" i="3"/>
  <c r="F93" i="3"/>
  <c r="F94" i="3"/>
  <c r="F124" i="3"/>
  <c r="F153" i="3"/>
  <c r="E41" i="4"/>
  <c r="F41" i="4" s="1"/>
  <c r="E155" i="4"/>
  <c r="F155" i="4" s="1"/>
  <c r="C15" i="5"/>
  <c r="C79" i="5"/>
  <c r="D139" i="5"/>
  <c r="D121" i="7"/>
  <c r="E121" i="7" s="1"/>
  <c r="F121" i="7" s="1"/>
  <c r="C252" i="15"/>
  <c r="E243" i="15"/>
  <c r="C52" i="3"/>
  <c r="D41" i="8"/>
  <c r="D19" i="9"/>
  <c r="E43" i="5"/>
  <c r="E53" i="5"/>
  <c r="E154" i="5"/>
  <c r="E156" i="5"/>
  <c r="E152" i="5"/>
  <c r="D25" i="5"/>
  <c r="D27" i="5" s="1"/>
  <c r="D15" i="5"/>
  <c r="C24" i="10"/>
  <c r="C17" i="10"/>
  <c r="C28" i="10" s="1"/>
  <c r="C70" i="10" s="1"/>
  <c r="C72" i="10" s="1"/>
  <c r="C69" i="10" s="1"/>
  <c r="H33" i="11"/>
  <c r="H36" i="11" s="1"/>
  <c r="H38" i="11" s="1"/>
  <c r="H40" i="11" s="1"/>
  <c r="F36" i="11"/>
  <c r="F38" i="11" s="1"/>
  <c r="F40" i="11" s="1"/>
  <c r="E38" i="1"/>
  <c r="F38" i="1" s="1"/>
  <c r="C43" i="1"/>
  <c r="C65" i="1"/>
  <c r="C19" i="2"/>
  <c r="D83" i="4"/>
  <c r="D176" i="4"/>
  <c r="E49" i="5"/>
  <c r="E179" i="3"/>
  <c r="F179" i="3" s="1"/>
  <c r="E109" i="4"/>
  <c r="F109" i="4" s="1"/>
  <c r="E57" i="5"/>
  <c r="E62" i="5" s="1"/>
  <c r="E155" i="5"/>
  <c r="D122" i="7"/>
  <c r="E24" i="5"/>
  <c r="E20" i="5" s="1"/>
  <c r="E17" i="5"/>
  <c r="D140" i="5"/>
  <c r="D136" i="5"/>
  <c r="D138" i="5"/>
  <c r="E21" i="10"/>
  <c r="E68" i="14"/>
  <c r="F68" i="14"/>
  <c r="C49" i="5"/>
  <c r="D207" i="6"/>
  <c r="E207" i="6" s="1"/>
  <c r="F207" i="6" s="1"/>
  <c r="D43" i="8"/>
  <c r="E137" i="14"/>
  <c r="F137" i="14" s="1"/>
  <c r="C285" i="14"/>
  <c r="E204" i="14"/>
  <c r="F204" i="14" s="1"/>
  <c r="D33" i="15"/>
  <c r="E32" i="15"/>
  <c r="E251" i="15"/>
  <c r="E301" i="15"/>
  <c r="D320" i="15"/>
  <c r="E320" i="15" s="1"/>
  <c r="E316" i="15"/>
  <c r="D330" i="15"/>
  <c r="E330" i="15" s="1"/>
  <c r="E326" i="15"/>
  <c r="E278" i="14"/>
  <c r="F278" i="14"/>
  <c r="D25" i="10"/>
  <c r="D27" i="10"/>
  <c r="D48" i="10"/>
  <c r="D42" i="10"/>
  <c r="F31" i="11"/>
  <c r="E20" i="14"/>
  <c r="F20" i="14" s="1"/>
  <c r="E23" i="14"/>
  <c r="F23" i="14" s="1"/>
  <c r="E31" i="14"/>
  <c r="F31" i="14" s="1"/>
  <c r="C48" i="14"/>
  <c r="E52" i="14"/>
  <c r="F52" i="14" s="1"/>
  <c r="E60" i="14"/>
  <c r="F60" i="14" s="1"/>
  <c r="E66" i="14"/>
  <c r="F66" i="14" s="1"/>
  <c r="E76" i="14"/>
  <c r="F76" i="14" s="1"/>
  <c r="E88" i="14"/>
  <c r="F88" i="14" s="1"/>
  <c r="E95" i="14"/>
  <c r="F95" i="14" s="1"/>
  <c r="C102" i="14"/>
  <c r="E109" i="14"/>
  <c r="F129" i="14"/>
  <c r="F155" i="14"/>
  <c r="E159" i="14"/>
  <c r="F159" i="14" s="1"/>
  <c r="F171" i="14"/>
  <c r="C192" i="14"/>
  <c r="C215" i="14"/>
  <c r="F226" i="14"/>
  <c r="C286" i="14"/>
  <c r="F297" i="14"/>
  <c r="F307" i="14"/>
  <c r="F311" i="14"/>
  <c r="C43" i="15"/>
  <c r="D222" i="15"/>
  <c r="E20" i="17"/>
  <c r="F20" i="17" s="1"/>
  <c r="E40" i="17"/>
  <c r="C146" i="14"/>
  <c r="F144" i="14"/>
  <c r="D55" i="15"/>
  <c r="D284" i="15" s="1"/>
  <c r="E54" i="15"/>
  <c r="C163" i="15"/>
  <c r="E163" i="15"/>
  <c r="C156" i="15"/>
  <c r="D189" i="15"/>
  <c r="D261" i="15"/>
  <c r="E261" i="15" s="1"/>
  <c r="E188" i="15"/>
  <c r="E205" i="15"/>
  <c r="D210" i="15"/>
  <c r="E218" i="15"/>
  <c r="D217" i="15"/>
  <c r="C108" i="19"/>
  <c r="C109" i="19"/>
  <c r="D109" i="19"/>
  <c r="D108" i="19"/>
  <c r="D104" i="14"/>
  <c r="D174" i="14"/>
  <c r="D254" i="14"/>
  <c r="H17" i="11"/>
  <c r="F29" i="14"/>
  <c r="F35" i="14"/>
  <c r="C37" i="14"/>
  <c r="F47" i="14"/>
  <c r="F58" i="14"/>
  <c r="F101" i="14"/>
  <c r="F145" i="14"/>
  <c r="F164" i="14"/>
  <c r="F165" i="14"/>
  <c r="F230" i="14"/>
  <c r="F294" i="14"/>
  <c r="E69" i="15"/>
  <c r="E221" i="15"/>
  <c r="C303" i="15"/>
  <c r="C306" i="15" s="1"/>
  <c r="C310" i="15" s="1"/>
  <c r="F40" i="17"/>
  <c r="E156" i="15"/>
  <c r="D157" i="15"/>
  <c r="D175" i="14"/>
  <c r="D62" i="14"/>
  <c r="D105" i="14"/>
  <c r="D31" i="11"/>
  <c r="C21" i="14"/>
  <c r="C32" i="14"/>
  <c r="C61" i="14"/>
  <c r="C77" i="14"/>
  <c r="E77" i="14" s="1"/>
  <c r="C89" i="14"/>
  <c r="C193" i="14"/>
  <c r="C138" i="14"/>
  <c r="E158" i="14"/>
  <c r="F158" i="14" s="1"/>
  <c r="F179" i="14"/>
  <c r="C200" i="14"/>
  <c r="C205" i="14"/>
  <c r="C214" i="14"/>
  <c r="E214" i="14" s="1"/>
  <c r="F214" i="14" s="1"/>
  <c r="F237" i="14"/>
  <c r="C269" i="14"/>
  <c r="C280" i="14"/>
  <c r="C300" i="14"/>
  <c r="E21" i="15"/>
  <c r="D43" i="15"/>
  <c r="D44" i="15" s="1"/>
  <c r="E219" i="15"/>
  <c r="C239" i="15"/>
  <c r="E239" i="15" s="1"/>
  <c r="C283" i="15"/>
  <c r="D41" i="17"/>
  <c r="D71" i="15"/>
  <c r="D76" i="15" s="1"/>
  <c r="D65" i="15"/>
  <c r="D289" i="15"/>
  <c r="E289" i="15"/>
  <c r="E60" i="15"/>
  <c r="D144" i="15"/>
  <c r="D175" i="15"/>
  <c r="E139" i="15"/>
  <c r="E231" i="15"/>
  <c r="C45" i="19"/>
  <c r="C39" i="19"/>
  <c r="C35" i="19"/>
  <c r="C29" i="19"/>
  <c r="C110" i="19"/>
  <c r="C53" i="19"/>
  <c r="E109" i="19"/>
  <c r="E108" i="19"/>
  <c r="F109" i="14"/>
  <c r="F130" i="14"/>
  <c r="C172" i="14"/>
  <c r="C227" i="14"/>
  <c r="F283" i="14"/>
  <c r="E151" i="15"/>
  <c r="E195" i="15"/>
  <c r="E215" i="15"/>
  <c r="C253" i="15"/>
  <c r="D240" i="15"/>
  <c r="D242" i="15"/>
  <c r="E242" i="15" s="1"/>
  <c r="E244" i="15"/>
  <c r="E260" i="15"/>
  <c r="C41" i="17"/>
  <c r="C22" i="16"/>
  <c r="C33" i="19"/>
  <c r="D34" i="19"/>
  <c r="C101" i="19"/>
  <c r="D102" i="19"/>
  <c r="D125" i="14"/>
  <c r="D138" i="14"/>
  <c r="E138" i="14" s="1"/>
  <c r="F138" i="14" s="1"/>
  <c r="D161" i="14"/>
  <c r="D267" i="14"/>
  <c r="D277" i="14"/>
  <c r="D285" i="14"/>
  <c r="E285" i="14" s="1"/>
  <c r="F285" i="14" s="1"/>
  <c r="D306" i="14"/>
  <c r="E306" i="14" s="1"/>
  <c r="E314" i="15"/>
  <c r="D22" i="19"/>
  <c r="C54" i="19"/>
  <c r="D160" i="14"/>
  <c r="D192" i="14"/>
  <c r="D200" i="14"/>
  <c r="E200" i="14" s="1"/>
  <c r="F200" i="14" s="1"/>
  <c r="D206" i="14"/>
  <c r="E206" i="14" s="1"/>
  <c r="F206" i="14" s="1"/>
  <c r="D262" i="14"/>
  <c r="D274" i="14"/>
  <c r="E274" i="14" s="1"/>
  <c r="F274" i="14" s="1"/>
  <c r="C222" i="15"/>
  <c r="E324" i="15"/>
  <c r="E19" i="17"/>
  <c r="F19" i="17" s="1"/>
  <c r="E39" i="17"/>
  <c r="F39" i="17" s="1"/>
  <c r="E43" i="17"/>
  <c r="D23" i="19"/>
  <c r="C111" i="19"/>
  <c r="D49" i="14"/>
  <c r="D91" i="14"/>
  <c r="D199" i="14"/>
  <c r="D205" i="14"/>
  <c r="E205" i="14" s="1"/>
  <c r="F205" i="14" s="1"/>
  <c r="D215" i="14"/>
  <c r="D261" i="14"/>
  <c r="C30" i="19"/>
  <c r="C48" i="19" s="1"/>
  <c r="C36" i="19"/>
  <c r="C40" i="19"/>
  <c r="D190" i="14"/>
  <c r="C56" i="19"/>
  <c r="E41" i="17"/>
  <c r="F41" i="17" s="1"/>
  <c r="E240" i="15"/>
  <c r="D253" i="15"/>
  <c r="E253" i="15" s="1"/>
  <c r="E172" i="14"/>
  <c r="F172" i="14" s="1"/>
  <c r="C173" i="14"/>
  <c r="C175" i="14" s="1"/>
  <c r="D66" i="15"/>
  <c r="E280" i="14"/>
  <c r="F280" i="14" s="1"/>
  <c r="C194" i="14"/>
  <c r="C195" i="14" s="1"/>
  <c r="C140" i="14"/>
  <c r="C62" i="14"/>
  <c r="E32" i="14"/>
  <c r="F32" i="14"/>
  <c r="D106" i="14"/>
  <c r="D176" i="14"/>
  <c r="E37" i="14"/>
  <c r="F37" i="14" s="1"/>
  <c r="D241" i="15"/>
  <c r="E222" i="15"/>
  <c r="D246" i="15"/>
  <c r="C90" i="14"/>
  <c r="E48" i="14"/>
  <c r="C160" i="14"/>
  <c r="F48" i="14"/>
  <c r="C288" i="14"/>
  <c r="E28" i="5"/>
  <c r="E112" i="5"/>
  <c r="E111" i="5" s="1"/>
  <c r="C254" i="15"/>
  <c r="C158" i="5"/>
  <c r="C141" i="5"/>
  <c r="C174" i="14"/>
  <c r="E174" i="14" s="1"/>
  <c r="F174" i="14" s="1"/>
  <c r="E61" i="14"/>
  <c r="C139" i="14"/>
  <c r="F61" i="14"/>
  <c r="C157" i="15"/>
  <c r="D295" i="15"/>
  <c r="E33" i="15"/>
  <c r="E19" i="9"/>
  <c r="F19" i="9" s="1"/>
  <c r="D33" i="9"/>
  <c r="D140" i="14"/>
  <c r="D139" i="14"/>
  <c r="E139" i="14"/>
  <c r="D300" i="14"/>
  <c r="E300" i="14"/>
  <c r="F300" i="14" s="1"/>
  <c r="D288" i="14"/>
  <c r="E288" i="14"/>
  <c r="C223" i="15"/>
  <c r="F43" i="17"/>
  <c r="E227" i="14"/>
  <c r="F227" i="14" s="1"/>
  <c r="D92" i="14"/>
  <c r="D272" i="14"/>
  <c r="D63" i="14"/>
  <c r="E62" i="14"/>
  <c r="D234" i="15"/>
  <c r="E210" i="15"/>
  <c r="D211" i="15"/>
  <c r="E146" i="14"/>
  <c r="F146" i="14" s="1"/>
  <c r="D21" i="10"/>
  <c r="D17" i="5"/>
  <c r="D24" i="5"/>
  <c r="C24" i="5"/>
  <c r="C20" i="5"/>
  <c r="C17" i="5"/>
  <c r="E160" i="14"/>
  <c r="D252" i="15"/>
  <c r="D286" i="14"/>
  <c r="E286" i="14" s="1"/>
  <c r="F286" i="14" s="1"/>
  <c r="C266" i="14"/>
  <c r="D294" i="15"/>
  <c r="C207" i="14"/>
  <c r="C75" i="1"/>
  <c r="D50" i="14"/>
  <c r="D162" i="14"/>
  <c r="D255" i="14"/>
  <c r="E215" i="14"/>
  <c r="F215" i="14" s="1"/>
  <c r="D46" i="19"/>
  <c r="D40" i="19"/>
  <c r="D36" i="19"/>
  <c r="D30" i="19"/>
  <c r="D111" i="19"/>
  <c r="D54" i="19"/>
  <c r="D193" i="14"/>
  <c r="E192" i="14"/>
  <c r="F192" i="14" s="1"/>
  <c r="D270" i="14"/>
  <c r="D268" i="14"/>
  <c r="D271" i="14"/>
  <c r="D263" i="14"/>
  <c r="D53" i="19"/>
  <c r="D45" i="19"/>
  <c r="D39" i="19"/>
  <c r="D35" i="19"/>
  <c r="D29" i="19"/>
  <c r="D110" i="19"/>
  <c r="D287" i="14"/>
  <c r="D279" i="14"/>
  <c r="D284" i="14"/>
  <c r="C112" i="19"/>
  <c r="C55" i="19"/>
  <c r="C47" i="19"/>
  <c r="C37" i="19"/>
  <c r="D168" i="15"/>
  <c r="D180" i="15"/>
  <c r="D145" i="15"/>
  <c r="E43" i="15"/>
  <c r="E269" i="14"/>
  <c r="F269" i="14" s="1"/>
  <c r="C216" i="14"/>
  <c r="E89" i="14"/>
  <c r="F89" i="14" s="1"/>
  <c r="C196" i="14"/>
  <c r="C49" i="14"/>
  <c r="E49" i="14" s="1"/>
  <c r="F49" i="14" s="1"/>
  <c r="E21" i="14"/>
  <c r="F21" i="14" s="1"/>
  <c r="C161" i="14"/>
  <c r="E161" i="14" s="1"/>
  <c r="F161" i="14" s="1"/>
  <c r="C91" i="14"/>
  <c r="E91" i="14" s="1"/>
  <c r="F91" i="14" s="1"/>
  <c r="E102" i="14"/>
  <c r="F102" i="14" s="1"/>
  <c r="C103" i="14"/>
  <c r="C33" i="2"/>
  <c r="E157" i="15"/>
  <c r="C282" i="14"/>
  <c r="C281" i="14"/>
  <c r="D216" i="14"/>
  <c r="E216" i="14"/>
  <c r="F216" i="14" s="1"/>
  <c r="D223" i="15"/>
  <c r="E52" i="3"/>
  <c r="F52" i="3"/>
  <c r="C162" i="14"/>
  <c r="D47" i="19"/>
  <c r="D37" i="19"/>
  <c r="D112" i="19"/>
  <c r="D55" i="19"/>
  <c r="D194" i="14"/>
  <c r="E193" i="14"/>
  <c r="F193" i="14"/>
  <c r="D266" i="14"/>
  <c r="D282" i="14"/>
  <c r="D70" i="14"/>
  <c r="E33" i="9"/>
  <c r="F33" i="9" s="1"/>
  <c r="D41" i="9"/>
  <c r="F62" i="14"/>
  <c r="C63" i="14"/>
  <c r="F160" i="14"/>
  <c r="D247" i="15"/>
  <c r="E223" i="15"/>
  <c r="D181" i="15"/>
  <c r="D169" i="15"/>
  <c r="D304" i="14"/>
  <c r="D273" i="14"/>
  <c r="F288" i="14"/>
  <c r="C141" i="14"/>
  <c r="C41" i="2"/>
  <c r="C92" i="14"/>
  <c r="D113" i="19"/>
  <c r="D56" i="19"/>
  <c r="D48" i="19"/>
  <c r="D38" i="19"/>
  <c r="C28" i="5"/>
  <c r="C112" i="5"/>
  <c r="C111" i="5" s="1"/>
  <c r="C50" i="14"/>
  <c r="E50" i="14" s="1"/>
  <c r="F50" i="14" s="1"/>
  <c r="D291" i="14"/>
  <c r="D289" i="14"/>
  <c r="D183" i="14"/>
  <c r="D323" i="14"/>
  <c r="E162" i="14"/>
  <c r="C208" i="14"/>
  <c r="C265" i="14"/>
  <c r="D112" i="5"/>
  <c r="D111" i="5" s="1"/>
  <c r="D28" i="5"/>
  <c r="D235" i="15"/>
  <c r="D141" i="14"/>
  <c r="E140" i="14"/>
  <c r="F140" i="14" s="1"/>
  <c r="E99" i="5"/>
  <c r="E101" i="5" s="1"/>
  <c r="E98" i="5" s="1"/>
  <c r="E22" i="5"/>
  <c r="E90" i="14"/>
  <c r="F90" i="14"/>
  <c r="E173" i="14"/>
  <c r="F173" i="14" s="1"/>
  <c r="F139" i="14"/>
  <c r="E103" i="14"/>
  <c r="F103" i="14" s="1"/>
  <c r="E252" i="15"/>
  <c r="D254" i="15"/>
  <c r="E254" i="15" s="1"/>
  <c r="D324" i="14"/>
  <c r="D113" i="14"/>
  <c r="E92" i="14"/>
  <c r="F92" i="14" s="1"/>
  <c r="E63" i="14"/>
  <c r="C104" i="14"/>
  <c r="C105" i="14"/>
  <c r="D99" i="5"/>
  <c r="D101" i="5" s="1"/>
  <c r="D98" i="5" s="1"/>
  <c r="D305" i="14"/>
  <c r="C70" i="14"/>
  <c r="C322" i="14"/>
  <c r="E266" i="14"/>
  <c r="F266" i="14" s="1"/>
  <c r="D265" i="14"/>
  <c r="E265" i="14" s="1"/>
  <c r="F265" i="14" s="1"/>
  <c r="C106" i="14"/>
  <c r="E106" i="14" s="1"/>
  <c r="F106" i="14" s="1"/>
  <c r="E105" i="14"/>
  <c r="F105" i="14"/>
  <c r="E104" i="14"/>
  <c r="F104" i="14" s="1"/>
  <c r="C210" i="14"/>
  <c r="C209" i="14"/>
  <c r="C99" i="5"/>
  <c r="C101" i="5" s="1"/>
  <c r="C98" i="5" s="1"/>
  <c r="C22" i="5"/>
  <c r="C113" i="14"/>
  <c r="D48" i="9"/>
  <c r="E48" i="9" s="1"/>
  <c r="F48" i="9" s="1"/>
  <c r="E41" i="9"/>
  <c r="F41" i="9" s="1"/>
  <c r="E282" i="14"/>
  <c r="F282" i="14" s="1"/>
  <c r="D281" i="14"/>
  <c r="E281" i="14" s="1"/>
  <c r="F281" i="14" s="1"/>
  <c r="F162" i="14"/>
  <c r="E113" i="14"/>
  <c r="F63" i="14"/>
  <c r="D322" i="14"/>
  <c r="E322" i="14" s="1"/>
  <c r="F322" i="14" s="1"/>
  <c r="E141" i="14"/>
  <c r="F141" i="14" s="1"/>
  <c r="D148" i="14"/>
  <c r="C48" i="2"/>
  <c r="E194" i="14"/>
  <c r="F194" i="14"/>
  <c r="D196" i="14"/>
  <c r="D195" i="14"/>
  <c r="E70" i="14"/>
  <c r="F70" i="14" s="1"/>
  <c r="D197" i="14"/>
  <c r="E196" i="14"/>
  <c r="F196" i="14" s="1"/>
  <c r="D309" i="14"/>
  <c r="C324" i="14"/>
  <c r="D325" i="14"/>
  <c r="F113" i="14"/>
  <c r="E324" i="14"/>
  <c r="F324" i="14" s="1"/>
  <c r="D310" i="14"/>
  <c r="D312" i="14" s="1"/>
  <c r="E175" i="14" l="1"/>
  <c r="F175" i="14" s="1"/>
  <c r="C176" i="14"/>
  <c r="E195" i="14"/>
  <c r="F195" i="14" s="1"/>
  <c r="E41" i="1"/>
  <c r="F41" i="1" s="1"/>
  <c r="D19" i="2"/>
  <c r="E39" i="2"/>
  <c r="F39" i="2" s="1"/>
  <c r="E43" i="3"/>
  <c r="F43" i="3" s="1"/>
  <c r="E47" i="3"/>
  <c r="F47" i="3" s="1"/>
  <c r="E51" i="3"/>
  <c r="F51" i="3" s="1"/>
  <c r="E87" i="3"/>
  <c r="F87" i="3" s="1"/>
  <c r="E91" i="3"/>
  <c r="F91" i="3" s="1"/>
  <c r="C38" i="19"/>
  <c r="E22" i="1"/>
  <c r="E29" i="1"/>
  <c r="F29" i="1" s="1"/>
  <c r="E68" i="3"/>
  <c r="F68" i="3" s="1"/>
  <c r="C176" i="4"/>
  <c r="E176" i="4" s="1"/>
  <c r="F176" i="4" s="1"/>
  <c r="D49" i="5"/>
  <c r="C77" i="5"/>
  <c r="C71" i="5" s="1"/>
  <c r="D166" i="5"/>
  <c r="E137" i="3"/>
  <c r="F137" i="3" s="1"/>
  <c r="F166" i="3"/>
  <c r="E24" i="4"/>
  <c r="E30" i="4"/>
  <c r="F35" i="4"/>
  <c r="F118" i="4"/>
  <c r="E77" i="5"/>
  <c r="E71" i="5" s="1"/>
  <c r="E79" i="5"/>
  <c r="C109" i="5"/>
  <c r="C106" i="5" s="1"/>
  <c r="E109" i="5"/>
  <c r="E106" i="5" s="1"/>
  <c r="E149" i="5"/>
  <c r="E23" i="6"/>
  <c r="F23" i="6" s="1"/>
  <c r="E49" i="6"/>
  <c r="F49" i="6" s="1"/>
  <c r="E75" i="6"/>
  <c r="F75" i="6" s="1"/>
  <c r="E101" i="6"/>
  <c r="F101" i="6" s="1"/>
  <c r="E115" i="6"/>
  <c r="E127" i="6"/>
  <c r="E141" i="6"/>
  <c r="E153" i="6"/>
  <c r="E167" i="6"/>
  <c r="E179" i="6"/>
  <c r="E193" i="6"/>
  <c r="E202" i="6"/>
  <c r="E204" i="6"/>
  <c r="E35" i="7"/>
  <c r="E47" i="7"/>
  <c r="E48" i="7"/>
  <c r="E95" i="7"/>
  <c r="E46" i="9"/>
  <c r="E15" i="10"/>
  <c r="C48" i="10"/>
  <c r="C42" i="10" s="1"/>
  <c r="C50" i="10"/>
  <c r="E75" i="12"/>
  <c r="F75" i="12" s="1"/>
  <c r="C262" i="14"/>
  <c r="E75" i="15"/>
  <c r="E165" i="15"/>
  <c r="E167" i="15"/>
  <c r="E174" i="15"/>
  <c r="E176" i="15"/>
  <c r="E178" i="15"/>
  <c r="E179" i="15"/>
  <c r="E227" i="15"/>
  <c r="E287" i="15"/>
  <c r="E291" i="15"/>
  <c r="E45" i="17"/>
  <c r="E46" i="17" s="1"/>
  <c r="F46" i="17" s="1"/>
  <c r="C102" i="19"/>
  <c r="C103" i="19" s="1"/>
  <c r="E102" i="19"/>
  <c r="E103" i="19" s="1"/>
  <c r="E88" i="19"/>
  <c r="C93" i="19"/>
  <c r="F115" i="6"/>
  <c r="F141" i="6"/>
  <c r="F167" i="6"/>
  <c r="F193" i="6"/>
  <c r="F35" i="7"/>
  <c r="F95" i="7"/>
  <c r="E42" i="10"/>
  <c r="D50" i="10"/>
  <c r="E45" i="12"/>
  <c r="F45" i="12" s="1"/>
  <c r="E65" i="12"/>
  <c r="F65" i="12" s="1"/>
  <c r="E70" i="12"/>
  <c r="F70" i="12" s="1"/>
  <c r="E30" i="14"/>
  <c r="F30" i="14" s="1"/>
  <c r="E59" i="14"/>
  <c r="F59" i="14" s="1"/>
  <c r="F85" i="14"/>
  <c r="C181" i="14"/>
  <c r="E180" i="14"/>
  <c r="F180" i="14" s="1"/>
  <c r="E191" i="14"/>
  <c r="F191" i="14" s="1"/>
  <c r="E223" i="14"/>
  <c r="F223" i="14" s="1"/>
  <c r="C255" i="14"/>
  <c r="E255" i="14" s="1"/>
  <c r="F255" i="14" s="1"/>
  <c r="E25" i="17"/>
  <c r="F25" i="17" s="1"/>
  <c r="F45" i="17"/>
  <c r="D101" i="19"/>
  <c r="D103" i="19" s="1"/>
  <c r="D95" i="15"/>
  <c r="D84" i="15"/>
  <c r="D101" i="15"/>
  <c r="D86" i="15"/>
  <c r="D258" i="15"/>
  <c r="D89" i="15"/>
  <c r="D87" i="15"/>
  <c r="D85" i="15"/>
  <c r="D99" i="15"/>
  <c r="D88" i="15"/>
  <c r="D97" i="15"/>
  <c r="D83" i="15"/>
  <c r="D100" i="15"/>
  <c r="D98" i="15"/>
  <c r="D96" i="15"/>
  <c r="D21" i="5"/>
  <c r="D20" i="5"/>
  <c r="D22" i="5"/>
  <c r="F22" i="1"/>
  <c r="F61" i="1"/>
  <c r="D77" i="15"/>
  <c r="D259" i="15"/>
  <c r="D208" i="14"/>
  <c r="E207" i="14"/>
  <c r="F207" i="14" s="1"/>
  <c r="D313" i="14"/>
  <c r="C113" i="19"/>
  <c r="C304" i="14"/>
  <c r="C44" i="15"/>
  <c r="E55" i="15"/>
  <c r="D43" i="1"/>
  <c r="E43" i="1" s="1"/>
  <c r="F43" i="1" s="1"/>
  <c r="D65" i="1"/>
  <c r="F24" i="4"/>
  <c r="F30" i="4"/>
  <c r="E157" i="5"/>
  <c r="E153" i="5"/>
  <c r="E158" i="5" s="1"/>
  <c r="D154" i="5"/>
  <c r="D152" i="5"/>
  <c r="D156" i="5"/>
  <c r="F25" i="3"/>
  <c r="E25" i="3"/>
  <c r="D135" i="5"/>
  <c r="D141" i="5" s="1"/>
  <c r="D137" i="5"/>
  <c r="E111" i="3"/>
  <c r="F111" i="3" s="1"/>
  <c r="E59" i="4"/>
  <c r="F59" i="4" s="1"/>
  <c r="E78" i="4"/>
  <c r="F78" i="4" s="1"/>
  <c r="F114" i="6"/>
  <c r="F128" i="6"/>
  <c r="F154" i="6"/>
  <c r="F180" i="6"/>
  <c r="F201" i="6"/>
  <c r="F203" i="6"/>
  <c r="F205" i="6"/>
  <c r="F59" i="7"/>
  <c r="F107" i="7"/>
  <c r="F114" i="7"/>
  <c r="F116" i="7"/>
  <c r="F118" i="7"/>
  <c r="F120" i="7"/>
  <c r="F16" i="9"/>
  <c r="F31" i="9"/>
  <c r="D24" i="10"/>
  <c r="D20" i="10" s="1"/>
  <c r="D17" i="10"/>
  <c r="D28" i="10" s="1"/>
  <c r="E84" i="3"/>
  <c r="F84" i="3" s="1"/>
  <c r="C83" i="4"/>
  <c r="D43" i="5"/>
  <c r="G36" i="11"/>
  <c r="G38" i="11" s="1"/>
  <c r="G40" i="11" s="1"/>
  <c r="I33" i="11"/>
  <c r="I36" i="11" s="1"/>
  <c r="I38" i="11" s="1"/>
  <c r="I40" i="11" s="1"/>
  <c r="F127" i="6"/>
  <c r="F140" i="6"/>
  <c r="F153" i="6"/>
  <c r="F166" i="6"/>
  <c r="F179" i="6"/>
  <c r="F192" i="6"/>
  <c r="C208" i="6"/>
  <c r="E199" i="6"/>
  <c r="F199" i="6" s="1"/>
  <c r="F200" i="6"/>
  <c r="F202" i="6"/>
  <c r="F204" i="6"/>
  <c r="E36" i="7"/>
  <c r="F36" i="7" s="1"/>
  <c r="E60" i="7"/>
  <c r="F60" i="7" s="1"/>
  <c r="E96" i="7"/>
  <c r="F96" i="7" s="1"/>
  <c r="E108" i="7"/>
  <c r="F108" i="7" s="1"/>
  <c r="E113" i="7"/>
  <c r="F113" i="7" s="1"/>
  <c r="E115" i="7"/>
  <c r="F115" i="7" s="1"/>
  <c r="E117" i="7"/>
  <c r="F117" i="7" s="1"/>
  <c r="E119" i="7"/>
  <c r="F119" i="7" s="1"/>
  <c r="E38" i="8"/>
  <c r="F38" i="8" s="1"/>
  <c r="D65" i="8"/>
  <c r="E73" i="8"/>
  <c r="F73" i="8" s="1"/>
  <c r="F39" i="9"/>
  <c r="C25" i="10"/>
  <c r="C27" i="10" s="1"/>
  <c r="E59" i="10"/>
  <c r="E61" i="10" s="1"/>
  <c r="E57" i="10" s="1"/>
  <c r="I17" i="11"/>
  <c r="G31" i="11"/>
  <c r="F24" i="14"/>
  <c r="F44" i="14"/>
  <c r="F67" i="14"/>
  <c r="C284" i="15"/>
  <c r="E284" i="15" s="1"/>
  <c r="C122" i="7"/>
  <c r="C41" i="8"/>
  <c r="C31" i="11"/>
  <c r="H31" i="11" s="1"/>
  <c r="F53" i="14"/>
  <c r="F123" i="14"/>
  <c r="C124" i="14"/>
  <c r="F135" i="14"/>
  <c r="E170" i="14"/>
  <c r="F170" i="14" s="1"/>
  <c r="C277" i="14"/>
  <c r="E189" i="14"/>
  <c r="F189" i="14" s="1"/>
  <c r="E198" i="14"/>
  <c r="F198" i="14"/>
  <c r="C267" i="14"/>
  <c r="C239" i="14"/>
  <c r="F238" i="14"/>
  <c r="C254" i="14"/>
  <c r="C261" i="14"/>
  <c r="C290" i="14"/>
  <c r="F295" i="14"/>
  <c r="D283" i="15"/>
  <c r="E283" i="15" s="1"/>
  <c r="C65" i="15"/>
  <c r="C71" i="15"/>
  <c r="C76" i="15" s="1"/>
  <c r="C77" i="15" s="1"/>
  <c r="E136" i="14"/>
  <c r="F136" i="14" s="1"/>
  <c r="E110" i="14"/>
  <c r="F110" i="14" s="1"/>
  <c r="C190" i="14"/>
  <c r="C199" i="14"/>
  <c r="C175" i="15"/>
  <c r="E175" i="15" s="1"/>
  <c r="C144" i="15"/>
  <c r="C234" i="15"/>
  <c r="E234" i="15" s="1"/>
  <c r="C211" i="15"/>
  <c r="E250" i="14"/>
  <c r="F250" i="14" s="1"/>
  <c r="C189" i="15"/>
  <c r="E189" i="15" s="1"/>
  <c r="C64" i="16"/>
  <c r="C65" i="16" s="1"/>
  <c r="C114" i="16" s="1"/>
  <c r="C116" i="16" s="1"/>
  <c r="C119" i="16" s="1"/>
  <c r="C123" i="16" s="1"/>
  <c r="C34" i="19"/>
  <c r="C229" i="15"/>
  <c r="E229" i="15" s="1"/>
  <c r="C217" i="15"/>
  <c r="E220" i="15"/>
  <c r="D302" i="15"/>
  <c r="F36" i="17"/>
  <c r="E22" i="19"/>
  <c r="E23" i="19"/>
  <c r="E137" i="5" l="1"/>
  <c r="E135" i="5"/>
  <c r="E138" i="5"/>
  <c r="E139" i="5"/>
  <c r="E140" i="5"/>
  <c r="E136" i="5"/>
  <c r="D33" i="2"/>
  <c r="E19" i="2"/>
  <c r="F19" i="2" s="1"/>
  <c r="E181" i="14"/>
  <c r="F181" i="14" s="1"/>
  <c r="E262" i="14"/>
  <c r="F262" i="14" s="1"/>
  <c r="C272" i="14"/>
  <c r="E24" i="10"/>
  <c r="E20" i="10" s="1"/>
  <c r="E17" i="10"/>
  <c r="E28" i="10" s="1"/>
  <c r="D157" i="5"/>
  <c r="D155" i="5"/>
  <c r="D153" i="5"/>
  <c r="D158" i="5" s="1"/>
  <c r="E176" i="14"/>
  <c r="F176" i="14" s="1"/>
  <c r="C323" i="14"/>
  <c r="C211" i="14"/>
  <c r="C183" i="14"/>
  <c r="C241" i="15"/>
  <c r="E241" i="15" s="1"/>
  <c r="E217" i="15"/>
  <c r="C180" i="15"/>
  <c r="E180" i="15" s="1"/>
  <c r="C168" i="15"/>
  <c r="E168" i="15" s="1"/>
  <c r="E144" i="15"/>
  <c r="C145" i="15"/>
  <c r="E254" i="14"/>
  <c r="F254" i="14" s="1"/>
  <c r="E54" i="19"/>
  <c r="E111" i="19"/>
  <c r="E36" i="19"/>
  <c r="E46" i="19"/>
  <c r="E30" i="19"/>
  <c r="E40" i="19"/>
  <c r="E199" i="14"/>
  <c r="F199" i="14"/>
  <c r="C66" i="15"/>
  <c r="C294" i="15"/>
  <c r="E294" i="15" s="1"/>
  <c r="C246" i="15"/>
  <c r="E246" i="15" s="1"/>
  <c r="E65" i="15"/>
  <c r="C271" i="14"/>
  <c r="F261" i="14"/>
  <c r="C263" i="14"/>
  <c r="C268" i="14"/>
  <c r="E261" i="14"/>
  <c r="C270" i="14"/>
  <c r="E267" i="14"/>
  <c r="F267" i="14" s="1"/>
  <c r="C279" i="14"/>
  <c r="C287" i="14"/>
  <c r="E277" i="14"/>
  <c r="C284" i="14"/>
  <c r="F277" i="14"/>
  <c r="C43" i="8"/>
  <c r="E41" i="8"/>
  <c r="F41" i="8" s="1"/>
  <c r="I31" i="11"/>
  <c r="E65" i="8"/>
  <c r="F65" i="8" s="1"/>
  <c r="D75" i="8"/>
  <c r="E75" i="8" s="1"/>
  <c r="F75" i="8" s="1"/>
  <c r="E208" i="6"/>
  <c r="F208" i="6" s="1"/>
  <c r="E83" i="4"/>
  <c r="F83" i="4" s="1"/>
  <c r="D70" i="10"/>
  <c r="D72" i="10" s="1"/>
  <c r="D69" i="10" s="1"/>
  <c r="D22" i="10"/>
  <c r="D75" i="1"/>
  <c r="E75" i="1" s="1"/>
  <c r="F75" i="1" s="1"/>
  <c r="E65" i="1"/>
  <c r="F65" i="1" s="1"/>
  <c r="E71" i="15"/>
  <c r="D256" i="14"/>
  <c r="D314" i="14"/>
  <c r="D251" i="14"/>
  <c r="D315" i="14"/>
  <c r="D210" i="14"/>
  <c r="D209" i="14"/>
  <c r="E209" i="14" s="1"/>
  <c r="F209" i="14" s="1"/>
  <c r="E208" i="14"/>
  <c r="F208" i="14" s="1"/>
  <c r="D263" i="15"/>
  <c r="D115" i="15"/>
  <c r="D111" i="15"/>
  <c r="D124" i="15"/>
  <c r="D113" i="15"/>
  <c r="D109" i="15"/>
  <c r="D110" i="15"/>
  <c r="D126" i="15"/>
  <c r="D122" i="15"/>
  <c r="D125" i="15"/>
  <c r="D114" i="15"/>
  <c r="D123" i="15"/>
  <c r="D112" i="15"/>
  <c r="D121" i="15"/>
  <c r="D127" i="15"/>
  <c r="E77" i="15"/>
  <c r="C259" i="15"/>
  <c r="C263" i="15" s="1"/>
  <c r="D102" i="15"/>
  <c r="D90" i="15"/>
  <c r="E110" i="19"/>
  <c r="E29" i="19"/>
  <c r="E39" i="19"/>
  <c r="E35" i="19"/>
  <c r="E45" i="19"/>
  <c r="E53" i="19"/>
  <c r="D303" i="15"/>
  <c r="E302" i="15"/>
  <c r="E211" i="15"/>
  <c r="C235" i="15"/>
  <c r="E235" i="15" s="1"/>
  <c r="E190" i="14"/>
  <c r="F190" i="14"/>
  <c r="C121" i="15"/>
  <c r="C110" i="15"/>
  <c r="C127" i="15"/>
  <c r="C112" i="15"/>
  <c r="C115" i="15"/>
  <c r="C113" i="15"/>
  <c r="C125" i="15"/>
  <c r="C114" i="15"/>
  <c r="C123" i="15"/>
  <c r="C109" i="15"/>
  <c r="C126" i="15"/>
  <c r="C124" i="15"/>
  <c r="C122" i="15"/>
  <c r="C128" i="15" s="1"/>
  <c r="C111" i="15"/>
  <c r="E290" i="14"/>
  <c r="F290" i="14"/>
  <c r="E239" i="14"/>
  <c r="F239" i="14" s="1"/>
  <c r="E124" i="14"/>
  <c r="F124" i="14" s="1"/>
  <c r="C125" i="14"/>
  <c r="C126" i="14"/>
  <c r="C21" i="10"/>
  <c r="C20" i="10"/>
  <c r="C22" i="10"/>
  <c r="C258" i="15"/>
  <c r="C87" i="15"/>
  <c r="E87" i="15" s="1"/>
  <c r="C100" i="15"/>
  <c r="E100" i="15" s="1"/>
  <c r="C89" i="15"/>
  <c r="E89" i="15" s="1"/>
  <c r="C97" i="15"/>
  <c r="E97" i="15" s="1"/>
  <c r="C95" i="15"/>
  <c r="C101" i="15"/>
  <c r="C88" i="15"/>
  <c r="E88" i="15" s="1"/>
  <c r="C98" i="15"/>
  <c r="E98" i="15" s="1"/>
  <c r="C83" i="15"/>
  <c r="E83" i="15" s="1"/>
  <c r="C96" i="15"/>
  <c r="C102" i="15" s="1"/>
  <c r="C85" i="15"/>
  <c r="E85" i="15" s="1"/>
  <c r="C86" i="15"/>
  <c r="E86" i="15" s="1"/>
  <c r="C84" i="15"/>
  <c r="C90" i="15" s="1"/>
  <c r="C99" i="15"/>
  <c r="E304" i="14"/>
  <c r="F304" i="14" s="1"/>
  <c r="E76" i="15"/>
  <c r="E122" i="7"/>
  <c r="F122" i="7" s="1"/>
  <c r="D91" i="15"/>
  <c r="E44" i="15"/>
  <c r="E99" i="15"/>
  <c r="D264" i="15"/>
  <c r="E258" i="15"/>
  <c r="E101" i="15"/>
  <c r="D103" i="15"/>
  <c r="C103" i="15" l="1"/>
  <c r="E183" i="14"/>
  <c r="F183" i="14" s="1"/>
  <c r="E323" i="14"/>
  <c r="C325" i="14"/>
  <c r="E325" i="14" s="1"/>
  <c r="F325" i="14" s="1"/>
  <c r="F323" i="14"/>
  <c r="D41" i="2"/>
  <c r="E33" i="2"/>
  <c r="F33" i="2" s="1"/>
  <c r="E103" i="15"/>
  <c r="E127" i="15"/>
  <c r="E70" i="10"/>
  <c r="E72" i="10" s="1"/>
  <c r="E69" i="10" s="1"/>
  <c r="E22" i="10"/>
  <c r="E272" i="14"/>
  <c r="F272" i="14" s="1"/>
  <c r="E141" i="5"/>
  <c r="D266" i="15"/>
  <c r="D105" i="15"/>
  <c r="E95" i="15"/>
  <c r="C264" i="15"/>
  <c r="C266" i="15" s="1"/>
  <c r="C267" i="15" s="1"/>
  <c r="E125" i="14"/>
  <c r="F125" i="14" s="1"/>
  <c r="C129" i="15"/>
  <c r="D306" i="15"/>
  <c r="E303" i="15"/>
  <c r="E90" i="15"/>
  <c r="E102" i="15"/>
  <c r="E121" i="15"/>
  <c r="E123" i="15"/>
  <c r="E125" i="15"/>
  <c r="E126" i="15"/>
  <c r="E109" i="15"/>
  <c r="E124" i="15"/>
  <c r="E115" i="15"/>
  <c r="E263" i="15"/>
  <c r="D318" i="14"/>
  <c r="D257" i="14"/>
  <c r="E279" i="14"/>
  <c r="F279" i="14" s="1"/>
  <c r="E270" i="14"/>
  <c r="F270" i="14"/>
  <c r="E263" i="14"/>
  <c r="F263" i="14"/>
  <c r="C273" i="14"/>
  <c r="F271" i="14"/>
  <c r="E271" i="14"/>
  <c r="E66" i="15"/>
  <c r="C247" i="15"/>
  <c r="E247" i="15" s="1"/>
  <c r="C295" i="15"/>
  <c r="E295" i="15" s="1"/>
  <c r="E48" i="19"/>
  <c r="E113" i="19"/>
  <c r="E38" i="19"/>
  <c r="E56" i="19"/>
  <c r="C169" i="15"/>
  <c r="E169" i="15" s="1"/>
  <c r="E145" i="15"/>
  <c r="C181" i="15"/>
  <c r="E181" i="15" s="1"/>
  <c r="C91" i="15"/>
  <c r="C105" i="15" s="1"/>
  <c r="E126" i="14"/>
  <c r="C127" i="14"/>
  <c r="F126" i="14"/>
  <c r="C117" i="15"/>
  <c r="C131" i="15" s="1"/>
  <c r="C116" i="15"/>
  <c r="E47" i="19"/>
  <c r="E112" i="19"/>
  <c r="E37" i="19"/>
  <c r="E55" i="19"/>
  <c r="E84" i="15"/>
  <c r="E96" i="15"/>
  <c r="E112" i="15"/>
  <c r="E114" i="15"/>
  <c r="D128" i="15"/>
  <c r="E128" i="15" s="1"/>
  <c r="E122" i="15"/>
  <c r="D116" i="15"/>
  <c r="E116" i="15" s="1"/>
  <c r="E110" i="15"/>
  <c r="E113" i="15"/>
  <c r="E111" i="15"/>
  <c r="E259" i="15"/>
  <c r="D211" i="14"/>
  <c r="E211" i="14" s="1"/>
  <c r="F211" i="14" s="1"/>
  <c r="E210" i="14"/>
  <c r="F210" i="14" s="1"/>
  <c r="E43" i="8"/>
  <c r="F43" i="8" s="1"/>
  <c r="E284" i="14"/>
  <c r="F284" i="14" s="1"/>
  <c r="C289" i="14"/>
  <c r="E287" i="14"/>
  <c r="C291" i="14"/>
  <c r="F287" i="14"/>
  <c r="E268" i="14"/>
  <c r="F268" i="14" s="1"/>
  <c r="D48" i="2" l="1"/>
  <c r="E48" i="2" s="1"/>
  <c r="F48" i="2" s="1"/>
  <c r="E41" i="2"/>
  <c r="F41" i="2" s="1"/>
  <c r="E291" i="14"/>
  <c r="C305" i="14"/>
  <c r="F291" i="14"/>
  <c r="E273" i="14"/>
  <c r="F273" i="14" s="1"/>
  <c r="D129" i="15"/>
  <c r="E129" i="15" s="1"/>
  <c r="E91" i="15"/>
  <c r="E266" i="15"/>
  <c r="D267" i="15"/>
  <c r="F289" i="14"/>
  <c r="E289" i="14"/>
  <c r="C197" i="14"/>
  <c r="E127" i="14"/>
  <c r="C148" i="14"/>
  <c r="F127" i="14"/>
  <c r="D117" i="15"/>
  <c r="D310" i="15"/>
  <c r="E310" i="15" s="1"/>
  <c r="E306" i="15"/>
  <c r="C269" i="15"/>
  <c r="C268" i="15"/>
  <c r="E105" i="15"/>
  <c r="E264" i="15"/>
  <c r="C271" i="15" l="1"/>
  <c r="D131" i="15"/>
  <c r="E131" i="15" s="1"/>
  <c r="E117" i="15"/>
  <c r="E148" i="14"/>
  <c r="F148" i="14"/>
  <c r="E197" i="14"/>
  <c r="F197" i="14" s="1"/>
  <c r="C309" i="14"/>
  <c r="E305" i="14"/>
  <c r="F305" i="14" s="1"/>
  <c r="D268" i="15"/>
  <c r="D269" i="15"/>
  <c r="E269" i="15" s="1"/>
  <c r="E267" i="15"/>
  <c r="D271" i="15" l="1"/>
  <c r="E271" i="15" s="1"/>
  <c r="E268" i="15"/>
  <c r="E309" i="14"/>
  <c r="F309" i="14" s="1"/>
  <c r="C310" i="14"/>
  <c r="C312" i="14" l="1"/>
  <c r="E310" i="14"/>
  <c r="F310" i="14" s="1"/>
  <c r="F312" i="14" l="1"/>
  <c r="E312" i="14"/>
  <c r="C313" i="14"/>
  <c r="C251" i="14" l="1"/>
  <c r="C314" i="14"/>
  <c r="C315" i="14"/>
  <c r="C256" i="14"/>
  <c r="E313" i="14"/>
  <c r="F313" i="14" s="1"/>
  <c r="C257" i="14" l="1"/>
  <c r="E256" i="14"/>
  <c r="F256" i="14" s="1"/>
  <c r="C318" i="14"/>
  <c r="E314" i="14"/>
  <c r="F314" i="14" s="1"/>
  <c r="E315" i="14"/>
  <c r="F315" i="14" s="1"/>
  <c r="E251" i="14"/>
  <c r="F251" i="14" s="1"/>
  <c r="F318" i="14" l="1"/>
  <c r="E318" i="14"/>
  <c r="F257" i="14"/>
  <c r="E257" i="14"/>
</calcChain>
</file>

<file path=xl/sharedStrings.xml><?xml version="1.0" encoding="utf-8"?>
<sst xmlns="http://schemas.openxmlformats.org/spreadsheetml/2006/main" count="2308" uniqueCount="984">
  <si>
    <t>CHARLOTTE HUNGERFORD HOSPITAL</t>
  </si>
  <si>
    <t>TWELVE MONTHS ACTUAL FILING</t>
  </si>
  <si>
    <t xml:space="preserve">      FISCAL YEAR 2011</t>
  </si>
  <si>
    <t>REPORT 100 - HOSPITAL BALANCE SHEET INFORMATION</t>
  </si>
  <si>
    <t xml:space="preserve">      FY 2010</t>
  </si>
  <si>
    <t xml:space="preserve">      FY 2011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</si>
  <si>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</si>
  <si>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</si>
  <si>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</si>
  <si>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</si>
  <si>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</si>
  <si>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</si>
  <si>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</si>
  <si>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</si>
  <si>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</si>
  <si>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</si>
  <si>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</si>
  <si>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</si>
  <si>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</si>
  <si>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</si>
  <si>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</si>
  <si>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</si>
  <si>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</si>
  <si>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</si>
  <si>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</si>
  <si>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</si>
  <si>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</si>
  <si>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</si>
  <si>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</si>
  <si>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</si>
  <si>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</si>
  <si>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</si>
  <si>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</si>
  <si>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</si>
  <si>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</si>
  <si>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</si>
  <si>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</si>
  <si>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</si>
  <si>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</si>
  <si>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</si>
  <si>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</si>
  <si>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</si>
  <si>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</si>
  <si>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</si>
  <si>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</si>
  <si>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</si>
  <si>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</si>
  <si>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</si>
  <si>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</si>
  <si>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</si>
  <si>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</si>
  <si>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</si>
  <si>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</si>
  <si>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</si>
  <si>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</si>
  <si>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</si>
  <si>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</si>
  <si>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</si>
  <si>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</si>
  <si>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</si>
  <si>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</si>
  <si>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</si>
  <si>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</si>
  <si>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</si>
  <si>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</si>
  <si>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</si>
  <si>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</si>
  <si>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</si>
  <si>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</si>
  <si>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</si>
  <si>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</si>
  <si>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</si>
  <si>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</si>
  <si>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</si>
  <si>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</si>
  <si>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</si>
  <si>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</si>
  <si>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</si>
  <si>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</si>
  <si>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</si>
  <si>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</si>
  <si>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</si>
  <si>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</si>
  <si>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</si>
  <si>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</si>
  <si>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</si>
  <si>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</si>
  <si>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</si>
  <si>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</si>
  <si>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</si>
  <si>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</si>
  <si>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</si>
  <si>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</si>
  <si>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</si>
  <si>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</si>
  <si>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</si>
  <si>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</si>
  <si>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</si>
  <si>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</si>
  <si>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</si>
  <si>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</si>
  <si>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</si>
  <si>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</si>
  <si>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</si>
  <si>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</si>
  <si>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2010                ACTUAL     </t>
  </si>
  <si>
    <t xml:space="preserve">      FY 2011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</si>
  <si>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</si>
  <si>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</si>
  <si>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</si>
  <si>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</si>
  <si>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</si>
  <si>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</si>
  <si>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</si>
  <si>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</si>
  <si>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</si>
  <si>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</si>
  <si>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</si>
  <si>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</si>
  <si>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</si>
  <si>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</si>
  <si>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</si>
  <si>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</si>
  <si>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</si>
  <si>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</si>
  <si>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</si>
  <si>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</si>
  <si>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</si>
  <si>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</si>
  <si>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</si>
  <si>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</si>
  <si>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</si>
  <si>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</si>
  <si>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</si>
  <si>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</si>
  <si>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</si>
  <si>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</si>
  <si>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</si>
  <si>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</si>
  <si>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</si>
  <si>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</si>
  <si>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</si>
  <si>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</si>
  <si>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</si>
  <si>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</si>
  <si>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</si>
  <si>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</si>
  <si>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</si>
  <si>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</si>
  <si>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</si>
  <si>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</si>
  <si>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</si>
  <si>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</si>
  <si>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</si>
  <si>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</si>
  <si>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</si>
  <si>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</si>
  <si>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</si>
  <si>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</si>
  <si>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</si>
  <si>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</si>
  <si>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</si>
  <si>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</si>
  <si>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</si>
  <si>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</si>
  <si>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</si>
  <si>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</si>
  <si>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</si>
  <si>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</si>
  <si>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</si>
  <si>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</si>
  <si>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</si>
  <si>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</si>
  <si>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</si>
  <si>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</si>
  <si>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</si>
  <si>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</si>
  <si>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</si>
  <si>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</si>
  <si>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</si>
  <si>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</si>
  <si>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</si>
  <si>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</si>
  <si>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</si>
  <si>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</si>
  <si>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</si>
  <si>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</si>
  <si>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</si>
  <si>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</si>
  <si>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</si>
  <si>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</si>
  <si>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</si>
  <si>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</si>
  <si>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</si>
  <si>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</si>
  <si>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</si>
  <si>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</si>
  <si>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</si>
  <si>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</si>
  <si>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</si>
  <si>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</si>
  <si>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</si>
  <si>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</si>
  <si>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</si>
  <si>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</si>
  <si>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</si>
  <si>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</si>
  <si>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</si>
  <si>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</si>
  <si>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</si>
  <si>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</si>
  <si>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</si>
  <si>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</si>
  <si>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</si>
  <si>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</si>
  <si>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</si>
  <si>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</si>
  <si>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</si>
  <si>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</si>
  <si>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</si>
  <si>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</si>
  <si>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</si>
  <si>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</si>
  <si>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</si>
  <si>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</si>
  <si>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</si>
  <si>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</si>
  <si>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</si>
  <si>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</si>
  <si>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</si>
  <si>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</si>
  <si>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</si>
  <si>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</si>
  <si>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</si>
  <si>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</si>
  <si>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</si>
  <si>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</si>
  <si>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</si>
  <si>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</si>
  <si>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</si>
  <si>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</si>
  <si>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</si>
  <si>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</si>
  <si>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</si>
  <si>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</si>
  <si>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</si>
  <si>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</si>
  <si>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</si>
  <si>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</si>
  <si>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</si>
  <si>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</si>
  <si>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</si>
  <si>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</si>
  <si>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</si>
  <si>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</si>
  <si>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</si>
  <si>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</si>
  <si>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</si>
  <si>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</si>
  <si>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</si>
  <si>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</si>
  <si>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</si>
  <si>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</si>
  <si>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</si>
  <si>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</si>
  <si>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</si>
  <si>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</si>
  <si>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</si>
  <si>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</si>
  <si>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</si>
  <si>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</si>
  <si>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</si>
  <si>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</si>
  <si>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</si>
  <si>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</si>
  <si>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</si>
  <si>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</si>
  <si>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</si>
  <si>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</si>
  <si>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</si>
  <si>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</si>
  <si>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</si>
  <si>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</si>
  <si>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</si>
  <si>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</si>
  <si>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</si>
  <si>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</si>
  <si>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</si>
  <si>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</si>
  <si>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</si>
  <si>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</si>
  <si>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</si>
  <si>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</si>
  <si>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</si>
  <si>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</si>
  <si>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</si>
  <si>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</si>
  <si>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</si>
  <si>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</si>
  <si>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</si>
  <si>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</si>
  <si>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</si>
  <si>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</si>
  <si>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</si>
  <si>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</si>
  <si>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</si>
  <si>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</si>
  <si>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2009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</si>
  <si>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</si>
  <si>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</si>
  <si>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</si>
  <si>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</si>
  <si>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</si>
  <si>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</si>
  <si>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</si>
  <si>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</si>
  <si>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</si>
  <si>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</si>
  <si>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</si>
  <si>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</si>
  <si>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</si>
  <si>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</si>
  <si>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</si>
  <si>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</si>
  <si>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</si>
  <si>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</si>
  <si>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</si>
  <si>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</si>
  <si>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</si>
  <si>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</si>
  <si>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</si>
  <si>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</si>
  <si>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</si>
  <si>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</si>
  <si>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</si>
  <si>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</si>
  <si>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</si>
  <si>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</si>
  <si>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</si>
  <si>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</si>
  <si>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</si>
  <si>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</si>
  <si>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</si>
  <si>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</si>
  <si>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</si>
  <si>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</si>
  <si>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</si>
  <si>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</si>
  <si>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</si>
  <si>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</si>
  <si>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</si>
  <si>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</si>
  <si>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</si>
  <si>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</si>
  <si>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</si>
  <si>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</si>
  <si>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</si>
  <si>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</si>
  <si>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</si>
  <si>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</si>
  <si>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</si>
  <si>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</si>
  <si>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</si>
  <si>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</si>
  <si>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</si>
  <si>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</si>
  <si>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</si>
  <si>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</si>
  <si>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</si>
  <si>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</si>
  <si>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</si>
  <si>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</si>
  <si>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</si>
  <si>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</si>
  <si>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</si>
  <si>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</si>
  <si>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</si>
  <si>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</si>
  <si>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</si>
  <si>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</si>
  <si>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</si>
  <si>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</si>
  <si>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</si>
  <si>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</si>
  <si>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</si>
  <si>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</si>
  <si>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</si>
  <si>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</si>
  <si>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</si>
  <si>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</si>
  <si>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</si>
  <si>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</si>
  <si>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</si>
  <si>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</si>
  <si>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</si>
  <si>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</si>
  <si>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</si>
  <si>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</si>
  <si>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</si>
  <si>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</si>
  <si>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</si>
  <si>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</si>
  <si>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</si>
  <si>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</si>
  <si>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</si>
  <si>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</si>
  <si>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</si>
  <si>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</si>
  <si>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</si>
  <si>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</si>
  <si>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</si>
  <si>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</si>
  <si>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</si>
  <si>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</si>
  <si>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</si>
  <si>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</si>
  <si>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</si>
  <si>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</si>
  <si>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</si>
  <si>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</si>
  <si>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</si>
  <si>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</si>
  <si>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</si>
  <si>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</si>
  <si>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</si>
  <si>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</si>
  <si>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</si>
  <si>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</si>
  <si>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</si>
  <si>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</si>
  <si>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2010 ACTUAL     </t>
  </si>
  <si>
    <t xml:space="preserve">      FY 2011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</si>
  <si>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</si>
  <si>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</si>
  <si>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</si>
  <si>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</si>
  <si>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</si>
  <si>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</si>
  <si>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</si>
  <si>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</si>
  <si>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</si>
  <si>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</si>
  <si>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</si>
  <si>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</si>
  <si>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</si>
  <si>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</si>
  <si>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</si>
  <si>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</si>
  <si>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</si>
  <si>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</si>
  <si>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</si>
  <si>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</si>
  <si>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</si>
  <si>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</si>
  <si>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</si>
  <si>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</si>
  <si>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</si>
  <si>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</si>
  <si>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</si>
  <si>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</si>
  <si>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</si>
  <si>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</si>
  <si>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</si>
  <si>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</si>
  <si>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</si>
  <si>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</si>
  <si>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</si>
  <si>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</si>
  <si>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</si>
  <si>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</si>
  <si>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</si>
  <si>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</si>
  <si>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</si>
  <si>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</si>
  <si>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</si>
  <si>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</si>
  <si>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</si>
  <si>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</si>
  <si>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</si>
  <si>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THE CHARLOTTE HUNGERFORD HOSPITAL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</si>
  <si>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</si>
  <si>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</si>
  <si>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</si>
  <si>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</si>
  <si>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</si>
  <si>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</si>
  <si>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</si>
  <si>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</si>
  <si>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</si>
  <si>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</si>
  <si>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</si>
  <si>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</si>
  <si>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</si>
  <si>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</si>
  <si>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</si>
  <si>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3(a)</t>
  </si>
  <si>
    <t>3(b)</t>
  </si>
  <si>
    <t>OCCUPANCY</t>
  </si>
  <si>
    <t>PATIENT</t>
  </si>
  <si>
    <t>OR ICU/CCU</t>
  </si>
  <si>
    <t>ADMISSIONS</t>
  </si>
  <si>
    <t>STAFFED</t>
  </si>
  <si>
    <t>AVAILABLE</t>
  </si>
  <si>
    <t>OF STAFFED</t>
  </si>
  <si>
    <t>OF AVAILABLE</t>
  </si>
  <si>
    <t>DAYS</t>
  </si>
  <si>
    <t># PATIENT</t>
  </si>
  <si>
    <t/>
  </si>
  <si>
    <t>BEDS (A)</t>
  </si>
  <si>
    <t>BEDS</t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</si>
  <si>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</si>
  <si>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</si>
  <si>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</si>
  <si>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</si>
  <si>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</si>
  <si>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</si>
  <si>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</si>
  <si>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</si>
  <si>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</si>
  <si>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</si>
  <si>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</si>
  <si>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</si>
  <si>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</si>
  <si>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</si>
  <si>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</si>
  <si>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</si>
  <si>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</si>
  <si>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</si>
  <si>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</si>
  <si>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</si>
  <si>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</si>
  <si>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</si>
  <si>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</si>
  <si>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</si>
  <si>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</si>
  <si>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</si>
  <si>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</si>
  <si>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</si>
  <si>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</si>
  <si>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</si>
  <si>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</si>
  <si>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</si>
  <si>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</si>
  <si>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</si>
  <si>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</si>
  <si>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</si>
  <si>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</si>
  <si>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</si>
  <si>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</si>
  <si>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</si>
  <si>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</si>
  <si>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</si>
  <si>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</si>
  <si>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</si>
  <si>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</si>
  <si>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</si>
  <si>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</si>
  <si>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</si>
  <si>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</si>
  <si>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</si>
  <si>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</si>
  <si>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</si>
  <si>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</si>
  <si>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</si>
  <si>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</si>
  <si>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</si>
  <si>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</si>
  <si>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</si>
  <si>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</si>
  <si>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</si>
  <si>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</si>
  <si>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</si>
  <si>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</si>
  <si>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</si>
  <si>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</si>
  <si>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</si>
  <si>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</si>
  <si>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</si>
  <si>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</si>
  <si>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</si>
  <si>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</si>
  <si>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</si>
  <si>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</si>
  <si>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</si>
  <si>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</si>
  <si>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</si>
  <si>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</si>
  <si>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</si>
  <si>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Charlotte Hungerford Hospital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</si>
  <si>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</si>
  <si>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</si>
  <si>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</si>
  <si>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>HEMC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</si>
  <si>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</si>
  <si>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</si>
  <si>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</si>
  <si>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</si>
  <si>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</si>
  <si>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2011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</si>
  <si>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</si>
  <si>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</si>
  <si>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</si>
  <si>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</si>
  <si>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2010</t>
  </si>
  <si>
    <t xml:space="preserve">         FY 2011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</si>
  <si>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</si>
  <si>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</si>
  <si>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</si>
  <si>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</si>
  <si>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</si>
  <si>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</si>
  <si>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</si>
  <si>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</si>
  <si>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</si>
  <si>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</si>
  <si>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</si>
  <si>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</si>
  <si>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</si>
  <si>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</si>
  <si>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</si>
  <si>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</si>
  <si>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</si>
  <si>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</si>
  <si>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</si>
  <si>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</si>
  <si>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</si>
  <si>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</si>
  <si>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</si>
  <si>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</si>
  <si>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</si>
  <si>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</si>
  <si>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</si>
  <si>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</si>
  <si>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</si>
  <si>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</si>
  <si>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</si>
  <si>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</si>
  <si>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</si>
  <si>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</si>
  <si>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</si>
  <si>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</si>
  <si>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</si>
  <si>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</si>
  <si>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</si>
  <si>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</si>
  <si>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</si>
  <si>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</si>
  <si>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</si>
  <si>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</si>
  <si>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</si>
  <si>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</si>
  <si>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</si>
  <si>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</si>
  <si>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</si>
  <si>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</si>
  <si>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</si>
  <si>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</si>
  <si>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</si>
  <si>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</si>
  <si>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</si>
  <si>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</si>
  <si>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</si>
  <si>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</si>
  <si>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</si>
  <si>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</si>
  <si>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</si>
  <si>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</si>
  <si>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</si>
  <si>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</si>
  <si>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</si>
  <si>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</si>
  <si>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</si>
  <si>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</si>
  <si>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</si>
  <si>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</si>
  <si>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</si>
  <si>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</si>
  <si>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</si>
  <si>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</si>
  <si>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</si>
  <si>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</si>
  <si>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</si>
  <si>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</si>
  <si>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</si>
  <si>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</si>
  <si>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</si>
  <si>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</si>
  <si>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</si>
  <si>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</si>
  <si>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</si>
  <si>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</si>
  <si>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</si>
  <si>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</si>
  <si>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</si>
  <si>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</si>
  <si>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</si>
  <si>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</si>
  <si>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</si>
  <si>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</si>
  <si>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</si>
  <si>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</si>
  <si>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</si>
  <si>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</si>
  <si>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</si>
  <si>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</si>
  <si>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</si>
  <si>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</si>
  <si>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</si>
  <si>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</si>
  <si>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</si>
  <si>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</si>
  <si>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</si>
  <si>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</si>
  <si>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</si>
  <si>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</si>
  <si>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</si>
  <si>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</si>
  <si>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</si>
  <si>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</si>
  <si>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</si>
  <si>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</si>
  <si>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</si>
  <si>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</si>
  <si>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</si>
  <si>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</si>
  <si>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</si>
  <si>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</si>
  <si>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</si>
  <si>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</si>
  <si>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</si>
  <si>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</si>
  <si>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</si>
  <si>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</si>
  <si>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</si>
  <si>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</si>
  <si>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</si>
  <si>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</si>
  <si>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</si>
  <si>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</si>
  <si>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</si>
  <si>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</si>
  <si>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</si>
  <si>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</si>
  <si>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</si>
  <si>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</si>
  <si>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</si>
  <si>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</si>
  <si>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2010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</si>
  <si>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2011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</si>
  <si>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</si>
  <si>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</si>
  <si>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</si>
  <si>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</si>
  <si>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</si>
  <si>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</si>
  <si>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</si>
  <si>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</si>
  <si>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</si>
  <si>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</si>
  <si>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</si>
  <si>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</si>
  <si>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</si>
  <si>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</si>
  <si>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</si>
  <si>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</si>
  <si>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</si>
  <si>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</si>
  <si>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</si>
  <si>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</si>
  <si>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</si>
  <si>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</si>
  <si>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</si>
  <si>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</si>
  <si>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</si>
  <si>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</si>
  <si>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</si>
  <si>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</si>
  <si>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</si>
  <si>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</si>
  <si>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</si>
  <si>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</si>
  <si>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</si>
  <si>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</si>
  <si>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</si>
  <si>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</si>
  <si>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</si>
  <si>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</si>
  <si>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</si>
  <si>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</si>
  <si>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</si>
  <si>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</si>
  <si>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</si>
  <si>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</si>
  <si>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</si>
  <si>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</si>
  <si>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</si>
  <si>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</si>
  <si>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</si>
  <si>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</si>
  <si>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</si>
  <si>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</si>
  <si>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</si>
  <si>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</si>
  <si>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</si>
  <si>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</si>
  <si>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</si>
  <si>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</si>
  <si>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</si>
  <si>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</si>
  <si>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</si>
  <si>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</si>
  <si>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</si>
  <si>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</si>
  <si>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</si>
  <si>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</si>
  <si>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</si>
  <si>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</si>
  <si>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</si>
  <si>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</si>
  <si>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</si>
  <si>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</si>
  <si>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</si>
  <si>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</si>
  <si>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</si>
  <si>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</si>
  <si>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</si>
  <si>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</si>
  <si>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</si>
  <si>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</si>
  <si>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</si>
  <si>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</si>
  <si>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</si>
  <si>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</si>
  <si>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</si>
  <si>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</si>
  <si>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</si>
  <si>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</si>
  <si>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</si>
  <si>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</si>
  <si>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</si>
  <si>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</si>
  <si>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</si>
  <si>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</si>
  <si>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</si>
  <si>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</si>
  <si>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</si>
  <si>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</si>
  <si>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2011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</si>
  <si>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</si>
  <si>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</si>
  <si>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</si>
  <si>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</si>
  <si>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</si>
  <si>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</si>
  <si>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</si>
  <si>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</si>
  <si>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</si>
  <si>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</si>
  <si>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</si>
  <si>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</si>
  <si>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</si>
  <si>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</si>
  <si>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</si>
  <si>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</si>
  <si>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</si>
  <si>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</si>
  <si>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</si>
  <si>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</si>
  <si>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</si>
  <si>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</si>
  <si>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</si>
  <si>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</si>
  <si>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</si>
  <si>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</si>
  <si>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</si>
  <si>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</si>
  <si>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</si>
  <si>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</si>
  <si>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</si>
  <si>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</si>
  <si>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</si>
  <si>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</si>
  <si>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</si>
  <si>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</si>
  <si>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</si>
  <si>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</si>
  <si>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</si>
  <si>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</si>
  <si>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</si>
  <si>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</si>
  <si>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</si>
  <si>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</si>
  <si>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</si>
  <si>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</si>
  <si>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</si>
  <si>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</si>
  <si>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</si>
  <si>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</si>
  <si>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</si>
  <si>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</si>
  <si>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</si>
  <si>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</si>
  <si>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</si>
  <si>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2009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</si>
  <si>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2010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</si>
  <si>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2011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</si>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</sst>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"/>
    <numFmt numFmtId="167" formatCode="0.00000_)"/>
    <numFmt numFmtId="168" formatCode="0.00000_);\(0.00000\)"/>
    <numFmt numFmtId="169" formatCode="0.0000_)"/>
    <numFmt numFmtId="170" formatCode="#,##0.00000_);\(#,##0.00000\)"/>
    <numFmt numFmtId="171" formatCode="_(* #,##0.0_);_(* \(#,##0.0\);_(* &quot;-&quot;??_);_(@_)"/>
    <numFmt numFmtId="172" formatCode="0.0%"/>
    <numFmt numFmtId="173" formatCode="0.0000_);\(0.0000\)"/>
    <numFmt numFmtId="174" formatCode="_(* #,##0_);_(* \(#,##0\);_(* &quot;-&quot;??_);_(@_)"/>
    <numFmt numFmtId="175" formatCode="_(* #,##0.0000_);_(* \(#,##0.0000\);_(* &quot;-&quot;??_);_(@_)"/>
    <numFmt numFmtId="176" formatCode="0.0000000000_);\(0.0000000000\)"/>
    <numFmt numFmtId="177" formatCode="_(* #,##0.00000000_);_(* \(#,##0.00000000\);_(* &quot;-&quot;??_);_(@_)"/>
    <numFmt numFmtId="178" formatCode="#,##0.000000_);\(#,##0.000000\)"/>
    <numFmt numFmtId="179" formatCode="#,##0.0_);\(#,##0.0\)"/>
    <numFmt numFmtId="180" formatCode="_(* #,##0.0_);_(* \(#,##0.0\);_(* &quot;-&quot;?_);_(@_)"/>
    <numFmt numFmtId="181" formatCode="0.00000"/>
    <numFmt numFmtId="182" formatCode="#,##0.00000"/>
    <numFmt numFmtId="183" formatCode="#,##0.0000"/>
    <numFmt numFmtId="184" formatCode="_(* #,##0.0000000000_);_(* \(#,##0.0000000000\);_(* &quot;-&quot;??_);_(@_)"/>
    <numFmt numFmtId="185" formatCode="#,##0.0000000000_);\(#,##0.0000000000\)"/>
    <numFmt numFmtId="186" formatCode="0.0000"/>
    <numFmt numFmtId="187" formatCode="0.0"/>
    <numFmt numFmtId="188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</font>
    <font>
      <sz val="12"/>
      <name val="Arial"/>
    </font>
    <font>
      <b/>
      <u/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3"/>
      <name val="Arial"/>
      <family val="2"/>
    </font>
    <font>
      <sz val="13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</borders>
  <cellStyleXfs count="45">
    <xf numFmtId="0" fontId="0" fillId="0" borderId="0"/>
    <xf numFmtId="0" fontId="35" fillId="10" borderId="0" applyNumberFormat="0" applyBorder="0" applyAlignment="0" applyProtection="0"/>
    <xf numFmtId="0" fontId="35" fillId="14" borderId="0" applyNumberFormat="0" applyBorder="0" applyAlignment="0" applyProtection="0"/>
    <xf numFmtId="0" fontId="35" fillId="18" borderId="0" applyNumberFormat="0" applyBorder="0" applyAlignment="0" applyProtection="0"/>
    <xf numFmtId="0" fontId="35" fillId="22" borderId="0" applyNumberFormat="0" applyBorder="0" applyAlignment="0" applyProtection="0"/>
    <xf numFmtId="0" fontId="35" fillId="26" borderId="0" applyNumberFormat="0" applyBorder="0" applyAlignment="0" applyProtection="0"/>
    <xf numFmtId="0" fontId="35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15" borderId="0" applyNumberFormat="0" applyBorder="0" applyAlignment="0" applyProtection="0"/>
    <xf numFmtId="0" fontId="35" fillId="19" borderId="0" applyNumberFormat="0" applyBorder="0" applyAlignment="0" applyProtection="0"/>
    <xf numFmtId="0" fontId="35" fillId="23" borderId="0" applyNumberFormat="0" applyBorder="0" applyAlignment="0" applyProtection="0"/>
    <xf numFmtId="0" fontId="35" fillId="27" borderId="0" applyNumberFormat="0" applyBorder="0" applyAlignment="0" applyProtection="0"/>
    <xf numFmtId="0" fontId="35" fillId="31" borderId="0" applyNumberFormat="0" applyBorder="0" applyAlignment="0" applyProtection="0"/>
    <xf numFmtId="0" fontId="51" fillId="12" borderId="0" applyNumberFormat="0" applyBorder="0" applyAlignment="0" applyProtection="0"/>
    <xf numFmtId="0" fontId="51" fillId="16" borderId="0" applyNumberFormat="0" applyBorder="0" applyAlignment="0" applyProtection="0"/>
    <xf numFmtId="0" fontId="51" fillId="20" borderId="0" applyNumberFormat="0" applyBorder="0" applyAlignment="0" applyProtection="0"/>
    <xf numFmtId="0" fontId="51" fillId="24" borderId="0" applyNumberFormat="0" applyBorder="0" applyAlignment="0" applyProtection="0"/>
    <xf numFmtId="0" fontId="51" fillId="28" borderId="0" applyNumberFormat="0" applyBorder="0" applyAlignment="0" applyProtection="0"/>
    <xf numFmtId="0" fontId="51" fillId="32" borderId="0" applyNumberFormat="0" applyBorder="0" applyAlignment="0" applyProtection="0"/>
    <xf numFmtId="0" fontId="51" fillId="9" borderId="0" applyNumberFormat="0" applyBorder="0" applyAlignment="0" applyProtection="0"/>
    <xf numFmtId="0" fontId="51" fillId="13" borderId="0" applyNumberFormat="0" applyBorder="0" applyAlignment="0" applyProtection="0"/>
    <xf numFmtId="0" fontId="51" fillId="17" borderId="0" applyNumberFormat="0" applyBorder="0" applyAlignment="0" applyProtection="0"/>
    <xf numFmtId="0" fontId="51" fillId="21" borderId="0" applyNumberFormat="0" applyBorder="0" applyAlignment="0" applyProtection="0"/>
    <xf numFmtId="0" fontId="51" fillId="25" borderId="0" applyNumberFormat="0" applyBorder="0" applyAlignment="0" applyProtection="0"/>
    <xf numFmtId="0" fontId="51" fillId="29" borderId="0" applyNumberFormat="0" applyBorder="0" applyAlignment="0" applyProtection="0"/>
    <xf numFmtId="0" fontId="41" fillId="3" borderId="0" applyNumberFormat="0" applyBorder="0" applyAlignment="0" applyProtection="0"/>
    <xf numFmtId="0" fontId="45" fillId="6" borderId="35" applyNumberFormat="0" applyAlignment="0" applyProtection="0"/>
    <xf numFmtId="0" fontId="47" fillId="7" borderId="38" applyNumberFormat="0" applyAlignment="0" applyProtection="0"/>
    <xf numFmtId="43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0" fillId="2" borderId="0" applyNumberFormat="0" applyBorder="0" applyAlignment="0" applyProtection="0"/>
    <xf numFmtId="0" fontId="37" fillId="0" borderId="32" applyNumberFormat="0" applyFill="0" applyAlignment="0" applyProtection="0"/>
    <xf numFmtId="0" fontId="38" fillId="0" borderId="33" applyNumberFormat="0" applyFill="0" applyAlignment="0" applyProtection="0"/>
    <xf numFmtId="0" fontId="39" fillId="0" borderId="34" applyNumberFormat="0" applyFill="0" applyAlignment="0" applyProtection="0"/>
    <xf numFmtId="0" fontId="39" fillId="0" borderId="0" applyNumberFormat="0" applyFill="0" applyBorder="0" applyAlignment="0" applyProtection="0"/>
    <xf numFmtId="0" fontId="43" fillId="5" borderId="35" applyNumberFormat="0" applyAlignment="0" applyProtection="0"/>
    <xf numFmtId="0" fontId="46" fillId="0" borderId="37" applyNumberFormat="0" applyFill="0" applyAlignment="0" applyProtection="0"/>
    <xf numFmtId="0" fontId="42" fillId="4" borderId="0" applyNumberFormat="0" applyBorder="0" applyAlignment="0" applyProtection="0"/>
    <xf numFmtId="0" fontId="35" fillId="8" borderId="39" applyNumberFormat="0" applyFont="0" applyAlignment="0" applyProtection="0"/>
    <xf numFmtId="0" fontId="44" fillId="6" borderId="36" applyNumberFormat="0" applyAlignment="0" applyProtection="0"/>
    <xf numFmtId="9" fontId="5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50" fillId="0" borderId="40" applyNumberFormat="0" applyFill="0" applyAlignment="0" applyProtection="0"/>
    <xf numFmtId="0" fontId="48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4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4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4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>
      <alignment horizontal="right"/>
    </xf>
    <xf numFmtId="165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4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4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/>
    <xf numFmtId="164" fontId="1" fillId="0" borderId="5" xfId="0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 wrapText="1"/>
    </xf>
    <xf numFmtId="164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1" fillId="0" borderId="7" xfId="0" applyNumberFormat="1" applyFont="1" applyBorder="1" applyAlignment="1">
      <alignment horizontal="center" wrapText="1"/>
    </xf>
    <xf numFmtId="164" fontId="1" fillId="33" borderId="8" xfId="0" applyNumberFormat="1" applyFont="1" applyFill="1" applyBorder="1" applyAlignment="1"/>
    <xf numFmtId="164" fontId="1" fillId="33" borderId="8" xfId="0" applyNumberFormat="1" applyFont="1" applyFill="1" applyBorder="1" applyAlignment="1">
      <alignment horizontal="left"/>
    </xf>
    <xf numFmtId="164" fontId="1" fillId="0" borderId="1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left"/>
    </xf>
    <xf numFmtId="5" fontId="3" fillId="0" borderId="12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center" vertical="center"/>
    </xf>
    <xf numFmtId="43" fontId="3" fillId="0" borderId="12" xfId="28" applyFont="1" applyBorder="1" applyProtection="1">
      <protection locked="0"/>
    </xf>
    <xf numFmtId="164" fontId="1" fillId="0" borderId="12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left" wrapText="1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4" fontId="1" fillId="0" borderId="12" xfId="0" applyNumberFormat="1" applyFont="1" applyBorder="1" applyAlignment="1">
      <alignment horizontal="right"/>
    </xf>
    <xf numFmtId="43" fontId="1" fillId="0" borderId="12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4" fontId="1" fillId="0" borderId="17" xfId="0" applyNumberFormat="1" applyFont="1" applyFill="1" applyBorder="1" applyAlignment="1">
      <alignment horizontal="center"/>
    </xf>
    <xf numFmtId="164" fontId="1" fillId="0" borderId="18" xfId="0" applyNumberFormat="1" applyFont="1" applyBorder="1" applyAlignment="1">
      <alignment horizontal="left"/>
    </xf>
    <xf numFmtId="5" fontId="1" fillId="0" borderId="17" xfId="0" applyNumberFormat="1" applyFont="1" applyBorder="1" applyAlignment="1">
      <alignment horizontal="right"/>
    </xf>
    <xf numFmtId="5" fontId="1" fillId="0" borderId="19" xfId="0" applyNumberFormat="1" applyFont="1" applyBorder="1" applyAlignment="1">
      <alignment horizontal="right"/>
    </xf>
    <xf numFmtId="9" fontId="1" fillId="0" borderId="19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right"/>
    </xf>
    <xf numFmtId="164" fontId="1" fillId="0" borderId="19" xfId="0" applyNumberFormat="1" applyFont="1" applyFill="1" applyBorder="1" applyAlignment="1">
      <alignment horizontal="center"/>
    </xf>
    <xf numFmtId="164" fontId="1" fillId="0" borderId="17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12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4" fontId="11" fillId="0" borderId="0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center"/>
    </xf>
    <xf numFmtId="164" fontId="10" fillId="0" borderId="20" xfId="0" applyNumberFormat="1" applyFont="1" applyBorder="1" applyAlignment="1">
      <alignment horizontal="center"/>
    </xf>
    <xf numFmtId="164" fontId="10" fillId="0" borderId="20" xfId="0" applyNumberFormat="1" applyFont="1" applyBorder="1" applyAlignment="1"/>
    <xf numFmtId="0" fontId="10" fillId="0" borderId="20" xfId="0" applyFont="1" applyBorder="1" applyAlignment="1">
      <alignment horizontal="center" wrapText="1"/>
    </xf>
    <xf numFmtId="164" fontId="10" fillId="0" borderId="20" xfId="0" applyNumberFormat="1" applyFont="1" applyBorder="1" applyAlignment="1">
      <alignment horizontal="center" wrapText="1"/>
    </xf>
    <xf numFmtId="164" fontId="12" fillId="0" borderId="20" xfId="0" applyNumberFormat="1" applyFont="1" applyBorder="1" applyAlignment="1">
      <alignment horizontal="center"/>
    </xf>
    <xf numFmtId="164" fontId="12" fillId="0" borderId="20" xfId="0" applyNumberFormat="1" applyFont="1" applyBorder="1" applyAlignment="1">
      <alignment horizontal="left"/>
    </xf>
    <xf numFmtId="164" fontId="12" fillId="0" borderId="20" xfId="0" applyNumberFormat="1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164" fontId="10" fillId="0" borderId="12" xfId="0" applyNumberFormat="1" applyFont="1" applyBorder="1" applyAlignment="1"/>
    <xf numFmtId="164" fontId="10" fillId="0" borderId="12" xfId="0" applyNumberFormat="1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164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4" fontId="11" fillId="0" borderId="8" xfId="0" applyNumberFormat="1" applyFont="1" applyBorder="1" applyAlignment="1">
      <alignment horizontal="right"/>
    </xf>
    <xf numFmtId="164" fontId="11" fillId="0" borderId="12" xfId="0" applyNumberFormat="1" applyFont="1" applyBorder="1" applyAlignment="1">
      <alignment horizontal="center"/>
    </xf>
    <xf numFmtId="0" fontId="12" fillId="0" borderId="12" xfId="0" applyNumberFormat="1" applyFont="1" applyBorder="1" applyAlignment="1">
      <alignment horizontal="left" wrapText="1"/>
    </xf>
    <xf numFmtId="164" fontId="11" fillId="0" borderId="12" xfId="0" applyNumberFormat="1" applyFont="1" applyBorder="1" applyAlignment="1">
      <alignment horizontal="right"/>
    </xf>
    <xf numFmtId="0" fontId="10" fillId="0" borderId="12" xfId="0" applyFont="1" applyBorder="1" applyAlignment="1">
      <alignment horizontal="center"/>
    </xf>
    <xf numFmtId="0" fontId="12" fillId="0" borderId="12" xfId="0" applyNumberFormat="1" applyFont="1" applyBorder="1"/>
    <xf numFmtId="5" fontId="11" fillId="0" borderId="12" xfId="0" applyNumberFormat="1" applyFont="1" applyBorder="1" applyAlignment="1">
      <alignment horizontal="right"/>
    </xf>
    <xf numFmtId="5" fontId="10" fillId="0" borderId="12" xfId="0" applyNumberFormat="1" applyFont="1" applyBorder="1" applyAlignment="1">
      <alignment horizontal="right"/>
    </xf>
    <xf numFmtId="9" fontId="10" fillId="0" borderId="12" xfId="0" applyNumberFormat="1" applyFont="1" applyBorder="1" applyAlignment="1">
      <alignment horizontal="right"/>
    </xf>
    <xf numFmtId="0" fontId="11" fillId="0" borderId="12" xfId="28" applyNumberFormat="1" applyFont="1" applyBorder="1" applyProtection="1">
      <protection locked="0"/>
    </xf>
    <xf numFmtId="9" fontId="11" fillId="0" borderId="12" xfId="0" applyNumberFormat="1" applyFont="1" applyBorder="1" applyAlignment="1">
      <alignment horizontal="right"/>
    </xf>
    <xf numFmtId="0" fontId="10" fillId="0" borderId="12" xfId="0" applyNumberFormat="1" applyFont="1" applyBorder="1"/>
    <xf numFmtId="43" fontId="11" fillId="0" borderId="12" xfId="28" applyFont="1" applyBorder="1" applyProtection="1">
      <protection locked="0"/>
    </xf>
    <xf numFmtId="164" fontId="11" fillId="0" borderId="12" xfId="0" applyNumberFormat="1" applyFont="1" applyFill="1" applyBorder="1" applyAlignment="1">
      <alignment horizontal="center"/>
    </xf>
    <xf numFmtId="3" fontId="10" fillId="0" borderId="12" xfId="0" applyNumberFormat="1" applyFont="1" applyBorder="1" applyAlignment="1" applyProtection="1"/>
    <xf numFmtId="0" fontId="0" fillId="0" borderId="43" xfId="0" applyBorder="1"/>
    <xf numFmtId="9" fontId="11" fillId="0" borderId="12" xfId="41" applyFont="1" applyBorder="1" applyAlignment="1">
      <alignment horizontal="right"/>
    </xf>
    <xf numFmtId="0" fontId="10" fillId="0" borderId="12" xfId="0" applyNumberFormat="1" applyFont="1" applyBorder="1" applyAlignment="1">
      <alignment horizontal="left"/>
    </xf>
    <xf numFmtId="164" fontId="15" fillId="0" borderId="12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1" fillId="0" borderId="12" xfId="0" applyFont="1" applyBorder="1"/>
    <xf numFmtId="3" fontId="11" fillId="0" borderId="12" xfId="0" applyNumberFormat="1" applyFont="1" applyBorder="1" applyAlignment="1" applyProtection="1"/>
    <xf numFmtId="0" fontId="0" fillId="0" borderId="12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79" fontId="11" fillId="0" borderId="41" xfId="0" applyNumberFormat="1" applyFont="1" applyBorder="1" applyAlignment="1">
      <alignment horizontal="right"/>
    </xf>
    <xf numFmtId="179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2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5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2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4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5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5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0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0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0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2" fontId="11" fillId="0" borderId="0" xfId="0" applyNumberFormat="1" applyFont="1" applyBorder="1" applyAlignment="1"/>
    <xf numFmtId="165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5" fontId="8" fillId="0" borderId="0" xfId="0" applyNumberFormat="1" applyFont="1" applyFill="1" applyBorder="1" applyAlignment="1"/>
    <xf numFmtId="165" fontId="11" fillId="0" borderId="0" xfId="0" applyNumberFormat="1" applyFont="1" applyBorder="1" applyAlignment="1"/>
    <xf numFmtId="5" fontId="11" fillId="0" borderId="0" xfId="0" applyNumberFormat="1" applyFont="1" applyBorder="1" applyAlignment="1"/>
    <xf numFmtId="165" fontId="8" fillId="0" borderId="0" xfId="0" applyNumberFormat="1" applyFont="1" applyBorder="1" applyAlignment="1"/>
    <xf numFmtId="178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4" fontId="6" fillId="0" borderId="21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164" fontId="6" fillId="0" borderId="22" xfId="0" applyNumberFormat="1" applyFont="1" applyBorder="1" applyAlignment="1">
      <alignment horizontal="center" wrapText="1"/>
    </xf>
    <xf numFmtId="164" fontId="6" fillId="0" borderId="6" xfId="0" applyNumberFormat="1" applyFont="1" applyBorder="1" applyAlignment="1">
      <alignment horizontal="left" wrapText="1"/>
    </xf>
    <xf numFmtId="164" fontId="6" fillId="0" borderId="6" xfId="0" applyNumberFormat="1" applyFont="1" applyBorder="1" applyAlignment="1">
      <alignment horizontal="center" wrapText="1"/>
    </xf>
    <xf numFmtId="164" fontId="6" fillId="0" borderId="5" xfId="0" applyNumberFormat="1" applyFont="1" applyBorder="1" applyAlignment="1">
      <alignment horizontal="center" wrapText="1"/>
    </xf>
    <xf numFmtId="9" fontId="6" fillId="0" borderId="23" xfId="41" applyFont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left" wrapText="1"/>
    </xf>
    <xf numFmtId="164" fontId="6" fillId="0" borderId="8" xfId="0" applyNumberFormat="1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164" fontId="6" fillId="0" borderId="12" xfId="0" applyNumberFormat="1" applyFont="1" applyBorder="1" applyAlignment="1">
      <alignment horizontal="center" wrapText="1"/>
    </xf>
    <xf numFmtId="43" fontId="6" fillId="0" borderId="27" xfId="28" applyFont="1" applyBorder="1" applyProtection="1">
      <protection locked="0"/>
    </xf>
    <xf numFmtId="164" fontId="6" fillId="0" borderId="8" xfId="0" applyNumberFormat="1" applyFont="1" applyBorder="1" applyAlignment="1">
      <alignment horizontal="right" wrapText="1"/>
    </xf>
    <xf numFmtId="164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4" fontId="16" fillId="0" borderId="12" xfId="0" applyNumberFormat="1" applyFont="1" applyBorder="1" applyAlignment="1">
      <alignment horizontal="center"/>
    </xf>
    <xf numFmtId="0" fontId="16" fillId="0" borderId="12" xfId="0" applyFont="1" applyBorder="1"/>
    <xf numFmtId="5" fontId="16" fillId="0" borderId="12" xfId="0" applyNumberFormat="1" applyFont="1" applyBorder="1" applyAlignment="1">
      <alignment horizontal="right"/>
    </xf>
    <xf numFmtId="9" fontId="16" fillId="0" borderId="12" xfId="41" applyNumberFormat="1" applyFont="1" applyBorder="1" applyAlignment="1">
      <alignment horizontal="right"/>
    </xf>
    <xf numFmtId="37" fontId="16" fillId="0" borderId="12" xfId="0" applyNumberFormat="1" applyFont="1" applyBorder="1" applyAlignment="1">
      <alignment horizontal="right"/>
    </xf>
    <xf numFmtId="0" fontId="6" fillId="0" borderId="0" xfId="0" applyFont="1" applyBorder="1"/>
    <xf numFmtId="164" fontId="6" fillId="0" borderId="12" xfId="0" applyNumberFormat="1" applyFont="1" applyFill="1" applyBorder="1" applyAlignment="1">
      <alignment horizontal="right"/>
    </xf>
    <xf numFmtId="164" fontId="6" fillId="0" borderId="12" xfId="0" applyNumberFormat="1" applyFont="1" applyFill="1" applyBorder="1" applyAlignment="1">
      <alignment horizontal="left" wrapText="1"/>
    </xf>
    <xf numFmtId="5" fontId="6" fillId="0" borderId="12" xfId="0" applyNumberFormat="1" applyFont="1" applyBorder="1" applyAlignment="1">
      <alignment horizontal="right"/>
    </xf>
    <xf numFmtId="9" fontId="6" fillId="0" borderId="12" xfId="41" applyNumberFormat="1" applyFont="1" applyBorder="1" applyAlignment="1">
      <alignment horizontal="right"/>
    </xf>
    <xf numFmtId="164" fontId="6" fillId="0" borderId="12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2" xfId="0" applyFont="1" applyBorder="1" applyAlignment="1">
      <alignment horizontal="center"/>
    </xf>
    <xf numFmtId="0" fontId="6" fillId="0" borderId="12" xfId="0" applyFont="1" applyBorder="1" applyAlignment="1">
      <alignment wrapText="1"/>
    </xf>
    <xf numFmtId="9" fontId="6" fillId="0" borderId="12" xfId="41" applyFont="1" applyBorder="1" applyAlignment="1">
      <alignment horizontal="right"/>
    </xf>
    <xf numFmtId="37" fontId="6" fillId="0" borderId="12" xfId="0" applyNumberFormat="1" applyFont="1" applyFill="1" applyBorder="1" applyAlignment="1">
      <alignment horizontal="right"/>
    </xf>
    <xf numFmtId="164" fontId="6" fillId="0" borderId="22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left"/>
    </xf>
    <xf numFmtId="164" fontId="6" fillId="33" borderId="8" xfId="0" applyNumberFormat="1" applyFont="1" applyFill="1" applyBorder="1" applyAlignment="1">
      <alignment horizontal="center"/>
    </xf>
    <xf numFmtId="164" fontId="6" fillId="33" borderId="10" xfId="0" applyNumberFormat="1" applyFont="1" applyFill="1" applyBorder="1" applyAlignment="1">
      <alignment horizontal="left"/>
    </xf>
    <xf numFmtId="164" fontId="6" fillId="33" borderId="9" xfId="0" applyNumberFormat="1" applyFont="1" applyFill="1" applyBorder="1" applyAlignment="1">
      <alignment horizontal="center" wrapText="1"/>
    </xf>
    <xf numFmtId="164" fontId="6" fillId="33" borderId="11" xfId="0" applyNumberFormat="1" applyFont="1" applyFill="1" applyBorder="1" applyAlignment="1">
      <alignment horizontal="center" wrapText="1"/>
    </xf>
    <xf numFmtId="9" fontId="6" fillId="33" borderId="10" xfId="41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12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4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6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5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4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5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0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0" fontId="10" fillId="0" borderId="41" xfId="0" applyNumberFormat="1" applyFont="1" applyFill="1" applyBorder="1" applyAlignment="1"/>
    <xf numFmtId="0" fontId="8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164" fontId="12" fillId="0" borderId="12" xfId="0" applyNumberFormat="1" applyFont="1" applyBorder="1" applyAlignment="1"/>
    <xf numFmtId="164" fontId="9" fillId="0" borderId="12" xfId="0" applyNumberFormat="1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164" fontId="11" fillId="0" borderId="12" xfId="0" applyNumberFormat="1" applyFont="1" applyBorder="1" applyAlignment="1">
      <alignment wrapText="1"/>
    </xf>
    <xf numFmtId="3" fontId="8" fillId="0" borderId="12" xfId="28" applyNumberFormat="1" applyFont="1" applyBorder="1" applyAlignment="1">
      <alignment horizontal="right"/>
    </xf>
    <xf numFmtId="1" fontId="8" fillId="0" borderId="12" xfId="0" applyNumberFormat="1" applyFont="1" applyBorder="1" applyAlignment="1">
      <alignment horizontal="right"/>
    </xf>
    <xf numFmtId="172" fontId="8" fillId="0" borderId="12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12" xfId="28" applyNumberFormat="1" applyFont="1" applyBorder="1" applyAlignment="1">
      <alignment horizontal="right"/>
    </xf>
    <xf numFmtId="172" fontId="10" fillId="0" borderId="12" xfId="41" applyNumberFormat="1" applyFont="1" applyBorder="1" applyAlignment="1">
      <alignment horizontal="right"/>
    </xf>
    <xf numFmtId="1" fontId="7" fillId="0" borderId="12" xfId="0" applyNumberFormat="1" applyFont="1" applyBorder="1" applyAlignment="1">
      <alignment horizontal="right"/>
    </xf>
    <xf numFmtId="37" fontId="10" fillId="0" borderId="12" xfId="28" applyNumberFormat="1" applyFont="1" applyBorder="1" applyAlignment="1">
      <alignment horizontal="right"/>
    </xf>
    <xf numFmtId="164" fontId="10" fillId="0" borderId="0" xfId="0" applyNumberFormat="1" applyFont="1" applyBorder="1" applyAlignment="1"/>
    <xf numFmtId="0" fontId="8" fillId="0" borderId="0" xfId="0" applyFont="1" applyBorder="1"/>
    <xf numFmtId="164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12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4" fontId="7" fillId="0" borderId="12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64" fontId="7" fillId="0" borderId="12" xfId="0" applyNumberFormat="1" applyFont="1" applyBorder="1" applyAlignment="1"/>
    <xf numFmtId="164" fontId="12" fillId="0" borderId="12" xfId="0" applyNumberFormat="1" applyFont="1" applyBorder="1" applyAlignment="1">
      <alignment horizontal="center"/>
    </xf>
    <xf numFmtId="9" fontId="8" fillId="0" borderId="12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12" xfId="28" applyNumberFormat="1" applyFont="1" applyBorder="1" applyAlignment="1">
      <alignment horizontal="right"/>
    </xf>
    <xf numFmtId="3" fontId="8" fillId="0" borderId="12" xfId="0" applyNumberFormat="1" applyFont="1" applyBorder="1" applyAlignment="1">
      <alignment horizontal="right"/>
    </xf>
    <xf numFmtId="3" fontId="10" fillId="0" borderId="12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12" xfId="0" applyNumberFormat="1" applyFont="1" applyBorder="1" applyAlignment="1">
      <alignment horizontal="right"/>
    </xf>
    <xf numFmtId="3" fontId="11" fillId="0" borderId="12" xfId="28" applyNumberFormat="1" applyFont="1" applyBorder="1" applyAlignment="1">
      <alignment horizontal="right"/>
    </xf>
    <xf numFmtId="164" fontId="8" fillId="0" borderId="12" xfId="0" applyNumberFormat="1" applyFont="1" applyBorder="1" applyAlignment="1"/>
    <xf numFmtId="166" fontId="8" fillId="0" borderId="12" xfId="0" applyNumberFormat="1" applyFont="1" applyBorder="1" applyAlignment="1">
      <alignment horizontal="right"/>
    </xf>
    <xf numFmtId="166" fontId="8" fillId="0" borderId="12" xfId="28" applyNumberFormat="1" applyFont="1" applyBorder="1" applyAlignment="1">
      <alignment horizontal="right"/>
    </xf>
    <xf numFmtId="166" fontId="10" fillId="0" borderId="12" xfId="28" applyNumberFormat="1" applyFont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4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7" fillId="0" borderId="13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67" fontId="17" fillId="0" borderId="0" xfId="0" applyNumberFormat="1" applyFont="1" applyFill="1" applyBorder="1" applyProtection="1">
      <protection locked="0"/>
    </xf>
    <xf numFmtId="168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0" fontId="17" fillId="0" borderId="0" xfId="0" applyNumberFormat="1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1" fontId="17" fillId="0" borderId="0" xfId="28" applyNumberFormat="1" applyFont="1" applyFill="1" applyBorder="1" applyProtection="1">
      <protection locked="0"/>
    </xf>
    <xf numFmtId="165" fontId="17" fillId="0" borderId="0" xfId="0" applyNumberFormat="1" applyFont="1" applyFill="1" applyBorder="1" applyProtection="1">
      <protection locked="0"/>
    </xf>
    <xf numFmtId="165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27" xfId="0" applyFont="1" applyFill="1" applyBorder="1" applyAlignment="1" applyProtection="1">
      <alignment horizontal="center"/>
      <protection locked="0"/>
    </xf>
    <xf numFmtId="172" fontId="17" fillId="0" borderId="0" xfId="41" applyNumberFormat="1" applyFont="1" applyFill="1" applyBorder="1" applyProtection="1">
      <protection locked="0"/>
    </xf>
    <xf numFmtId="172" fontId="18" fillId="0" borderId="0" xfId="41" applyNumberFormat="1" applyFont="1" applyFill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5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4" fontId="17" fillId="0" borderId="0" xfId="28" applyNumberFormat="1" applyFont="1" applyFill="1" applyBorder="1" applyProtection="1">
      <protection locked="0"/>
    </xf>
    <xf numFmtId="174" fontId="18" fillId="0" borderId="0" xfId="28" applyNumberFormat="1" applyFont="1" applyFill="1" applyBorder="1" applyProtection="1">
      <protection locked="0"/>
    </xf>
    <xf numFmtId="174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68" fontId="17" fillId="0" borderId="0" xfId="28" applyNumberFormat="1" applyFont="1" applyFill="1" applyBorder="1" applyProtection="1">
      <protection locked="0"/>
    </xf>
    <xf numFmtId="175" fontId="18" fillId="0" borderId="0" xfId="28" applyNumberFormat="1" applyFont="1" applyFill="1" applyBorder="1" applyProtection="1">
      <protection locked="0"/>
    </xf>
    <xf numFmtId="175" fontId="17" fillId="0" borderId="0" xfId="28" applyNumberFormat="1" applyFont="1" applyFill="1" applyBorder="1" applyAlignment="1" applyProtection="1">
      <alignment horizontal="right"/>
      <protection locked="0"/>
    </xf>
    <xf numFmtId="174" fontId="17" fillId="0" borderId="0" xfId="41" applyNumberFormat="1" applyFont="1" applyFill="1" applyBorder="1" applyAlignment="1" applyProtection="1">
      <alignment horizontal="right"/>
      <protection locked="0"/>
    </xf>
    <xf numFmtId="174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76" fontId="17" fillId="0" borderId="0" xfId="28" applyNumberFormat="1" applyFont="1" applyFill="1" applyBorder="1" applyAlignment="1" applyProtection="1">
      <alignment horizontal="right"/>
      <protection locked="0"/>
    </xf>
    <xf numFmtId="177" fontId="18" fillId="0" borderId="0" xfId="28" applyNumberFormat="1" applyFont="1" applyFill="1" applyBorder="1" applyAlignment="1" applyProtection="1">
      <alignment horizontal="right"/>
      <protection locked="0"/>
    </xf>
    <xf numFmtId="177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4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9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5" fontId="17" fillId="0" borderId="0" xfId="0" applyNumberFormat="1" applyFont="1" applyFill="1" applyBorder="1" applyAlignment="1" applyProtection="1">
      <alignment horizontal="left"/>
      <protection locked="0"/>
    </xf>
    <xf numFmtId="164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3" fontId="17" fillId="0" borderId="0" xfId="28" applyNumberFormat="1" applyFont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left"/>
      <protection locked="0"/>
    </xf>
    <xf numFmtId="164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4" fontId="19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12" xfId="0" applyFont="1" applyBorder="1" applyAlignment="1"/>
    <xf numFmtId="0" fontId="15" fillId="0" borderId="12" xfId="0" applyFont="1" applyBorder="1" applyAlignment="1">
      <alignment horizontal="center" vertical="top"/>
    </xf>
    <xf numFmtId="0" fontId="12" fillId="0" borderId="12" xfId="0" applyFont="1" applyBorder="1" applyAlignment="1"/>
    <xf numFmtId="0" fontId="17" fillId="0" borderId="12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12" xfId="0" applyFont="1" applyBorder="1" applyAlignment="1">
      <alignment horizontal="center"/>
    </xf>
    <xf numFmtId="0" fontId="13" fillId="0" borderId="12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12" xfId="0" applyFont="1" applyBorder="1" applyAlignment="1">
      <alignment horizontal="center" vertical="top"/>
    </xf>
    <xf numFmtId="0" fontId="20" fillId="0" borderId="12" xfId="0" applyFont="1" applyBorder="1" applyAlignment="1">
      <alignment vertical="top"/>
    </xf>
    <xf numFmtId="0" fontId="13" fillId="0" borderId="12" xfId="0" applyFont="1" applyBorder="1" applyProtection="1">
      <protection locked="0"/>
    </xf>
    <xf numFmtId="0" fontId="13" fillId="0" borderId="12" xfId="0" applyFont="1" applyBorder="1" applyAlignment="1">
      <alignment vertical="top" wrapText="1"/>
    </xf>
    <xf numFmtId="0" fontId="13" fillId="0" borderId="12" xfId="0" applyFont="1" applyBorder="1" applyAlignment="1">
      <alignment horizontal="center" vertical="top"/>
    </xf>
    <xf numFmtId="6" fontId="13" fillId="0" borderId="12" xfId="0" applyNumberFormat="1" applyFont="1" applyBorder="1" applyAlignment="1">
      <alignment horizontal="right" vertical="top"/>
    </xf>
    <xf numFmtId="6" fontId="13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horizontal="right" vertical="top"/>
    </xf>
    <xf numFmtId="0" fontId="19" fillId="0" borderId="12" xfId="0" applyFont="1" applyBorder="1" applyAlignment="1">
      <alignment vertical="top" wrapText="1"/>
    </xf>
    <xf numFmtId="6" fontId="19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vertical="top"/>
    </xf>
    <xf numFmtId="0" fontId="17" fillId="0" borderId="12" xfId="0" applyFont="1" applyBorder="1" applyAlignment="1" applyProtection="1">
      <alignment horizontal="left"/>
      <protection locked="0"/>
    </xf>
    <xf numFmtId="0" fontId="17" fillId="0" borderId="12" xfId="0" applyFont="1" applyBorder="1" applyProtection="1">
      <protection locked="0"/>
    </xf>
    <xf numFmtId="0" fontId="20" fillId="0" borderId="12" xfId="0" applyFont="1" applyBorder="1" applyProtection="1">
      <protection locked="0"/>
    </xf>
    <xf numFmtId="0" fontId="20" fillId="0" borderId="12" xfId="0" applyFont="1" applyBorder="1" applyAlignment="1"/>
    <xf numFmtId="10" fontId="13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>
      <alignment vertical="top"/>
    </xf>
    <xf numFmtId="10" fontId="19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 applyProtection="1">
      <alignment horizontal="center"/>
      <protection locked="0"/>
    </xf>
    <xf numFmtId="0" fontId="19" fillId="0" borderId="12" xfId="0" applyFont="1" applyBorder="1" applyProtection="1">
      <protection locked="0"/>
    </xf>
    <xf numFmtId="172" fontId="13" fillId="0" borderId="12" xfId="41" applyNumberFormat="1" applyFont="1" applyBorder="1" applyAlignment="1">
      <alignment vertical="top"/>
    </xf>
    <xf numFmtId="0" fontId="15" fillId="0" borderId="12" xfId="0" applyFont="1" applyBorder="1" applyAlignment="1" applyProtection="1">
      <alignment horizontal="center"/>
      <protection locked="0"/>
    </xf>
    <xf numFmtId="3" fontId="13" fillId="0" borderId="12" xfId="0" applyNumberFormat="1" applyFont="1" applyBorder="1" applyAlignment="1">
      <alignment horizontal="right" vertical="top"/>
    </xf>
    <xf numFmtId="174" fontId="13" fillId="0" borderId="12" xfId="28" applyNumberFormat="1" applyFont="1" applyBorder="1" applyAlignment="1">
      <alignment vertical="top"/>
    </xf>
    <xf numFmtId="3" fontId="19" fillId="0" borderId="12" xfId="0" applyNumberFormat="1" applyFont="1" applyBorder="1" applyAlignment="1">
      <alignment vertical="top"/>
    </xf>
    <xf numFmtId="174" fontId="19" fillId="0" borderId="12" xfId="28" applyNumberFormat="1" applyFont="1" applyBorder="1" applyAlignment="1">
      <alignment vertical="top"/>
    </xf>
    <xf numFmtId="3" fontId="13" fillId="0" borderId="12" xfId="0" applyNumberFormat="1" applyFont="1" applyBorder="1" applyAlignment="1">
      <alignment vertical="top"/>
    </xf>
    <xf numFmtId="3" fontId="13" fillId="0" borderId="12" xfId="0" applyNumberFormat="1" applyFont="1" applyFill="1" applyBorder="1" applyAlignment="1">
      <alignment vertical="top"/>
    </xf>
    <xf numFmtId="166" fontId="13" fillId="0" borderId="12" xfId="0" applyNumberFormat="1" applyFont="1" applyBorder="1" applyAlignment="1">
      <alignment vertical="top"/>
    </xf>
    <xf numFmtId="171" fontId="13" fillId="0" borderId="12" xfId="28" applyNumberFormat="1" applyFont="1" applyBorder="1" applyAlignment="1">
      <alignment vertical="top"/>
    </xf>
    <xf numFmtId="166" fontId="19" fillId="0" borderId="12" xfId="0" applyNumberFormat="1" applyFont="1" applyBorder="1" applyAlignment="1">
      <alignment vertical="top"/>
    </xf>
    <xf numFmtId="171" fontId="19" fillId="0" borderId="12" xfId="28" applyNumberFormat="1" applyFont="1" applyBorder="1" applyAlignment="1">
      <alignment vertical="top"/>
    </xf>
    <xf numFmtId="171" fontId="13" fillId="0" borderId="12" xfId="0" applyNumberFormat="1" applyFont="1" applyBorder="1" applyAlignment="1">
      <alignment vertical="top"/>
    </xf>
    <xf numFmtId="181" fontId="13" fillId="0" borderId="12" xfId="0" applyNumberFormat="1" applyFont="1" applyBorder="1" applyAlignment="1">
      <alignment horizontal="right" vertical="top"/>
    </xf>
    <xf numFmtId="168" fontId="13" fillId="0" borderId="12" xfId="28" applyNumberFormat="1" applyFont="1" applyBorder="1" applyAlignment="1">
      <alignment vertical="top"/>
    </xf>
    <xf numFmtId="181" fontId="19" fillId="0" borderId="12" xfId="0" applyNumberFormat="1" applyFont="1" applyBorder="1" applyAlignment="1">
      <alignment horizontal="right" vertical="top"/>
    </xf>
    <xf numFmtId="168" fontId="19" fillId="0" borderId="12" xfId="28" applyNumberFormat="1" applyFont="1" applyBorder="1" applyAlignment="1">
      <alignment vertical="top"/>
    </xf>
    <xf numFmtId="0" fontId="13" fillId="0" borderId="12" xfId="0" applyFont="1" applyBorder="1" applyAlignment="1">
      <alignment horizontal="right" vertical="top"/>
    </xf>
    <xf numFmtId="6" fontId="13" fillId="0" borderId="12" xfId="0" applyNumberFormat="1" applyFont="1" applyBorder="1" applyProtection="1">
      <protection locked="0"/>
    </xf>
    <xf numFmtId="10" fontId="13" fillId="0" borderId="12" xfId="41" applyNumberFormat="1" applyFont="1" applyBorder="1" applyProtection="1">
      <protection locked="0"/>
    </xf>
    <xf numFmtId="0" fontId="29" fillId="0" borderId="12" xfId="0" applyFont="1" applyFill="1" applyBorder="1" applyAlignment="1">
      <alignment vertical="top" wrapText="1"/>
    </xf>
    <xf numFmtId="6" fontId="13" fillId="0" borderId="12" xfId="0" applyNumberFormat="1" applyFont="1" applyFill="1" applyBorder="1" applyProtection="1">
      <protection locked="0"/>
    </xf>
    <xf numFmtId="0" fontId="12" fillId="0" borderId="12" xfId="0" applyFont="1" applyBorder="1" applyAlignment="1">
      <alignment vertical="top"/>
    </xf>
    <xf numFmtId="0" fontId="13" fillId="0" borderId="12" xfId="0" applyFont="1" applyBorder="1" applyAlignment="1" applyProtection="1">
      <alignment horizontal="left"/>
      <protection locked="0"/>
    </xf>
    <xf numFmtId="0" fontId="19" fillId="0" borderId="12" xfId="0" applyFont="1" applyBorder="1" applyAlignment="1" applyProtection="1">
      <alignment horizontal="left"/>
      <protection locked="0"/>
    </xf>
    <xf numFmtId="170" fontId="13" fillId="0" borderId="12" xfId="28" applyNumberFormat="1" applyFont="1" applyBorder="1" applyProtection="1">
      <protection locked="0"/>
    </xf>
    <xf numFmtId="170" fontId="13" fillId="0" borderId="12" xfId="0" applyNumberFormat="1" applyFont="1" applyBorder="1" applyProtection="1">
      <protection locked="0"/>
    </xf>
    <xf numFmtId="170" fontId="19" fillId="0" borderId="12" xfId="28" applyNumberFormat="1" applyFont="1" applyBorder="1" applyProtection="1">
      <protection locked="0"/>
    </xf>
    <xf numFmtId="170" fontId="19" fillId="0" borderId="12" xfId="0" applyNumberFormat="1" applyFont="1" applyBorder="1" applyProtection="1">
      <protection locked="0"/>
    </xf>
    <xf numFmtId="182" fontId="13" fillId="0" borderId="12" xfId="0" applyNumberFormat="1" applyFont="1" applyBorder="1" applyProtection="1">
      <protection locked="0"/>
    </xf>
    <xf numFmtId="182" fontId="19" fillId="0" borderId="12" xfId="0" applyNumberFormat="1" applyFont="1" applyBorder="1" applyProtection="1">
      <protection locked="0"/>
    </xf>
    <xf numFmtId="183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Protection="1">
      <protection locked="0"/>
    </xf>
    <xf numFmtId="8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Alignment="1" applyProtection="1">
      <alignment horizontal="right"/>
      <protection locked="0"/>
    </xf>
    <xf numFmtId="8" fontId="19" fillId="0" borderId="12" xfId="0" applyNumberFormat="1" applyFont="1" applyBorder="1" applyAlignment="1" applyProtection="1">
      <alignment horizontal="right"/>
      <protection locked="0"/>
    </xf>
    <xf numFmtId="6" fontId="19" fillId="0" borderId="12" xfId="0" applyNumberFormat="1" applyFont="1" applyBorder="1" applyProtection="1">
      <protection locked="0"/>
    </xf>
    <xf numFmtId="6" fontId="31" fillId="0" borderId="12" xfId="0" applyNumberFormat="1" applyFont="1" applyBorder="1" applyProtection="1">
      <protection locked="0"/>
    </xf>
    <xf numFmtId="184" fontId="13" fillId="0" borderId="12" xfId="28" applyNumberFormat="1" applyFont="1" applyBorder="1" applyProtection="1">
      <protection locked="0"/>
    </xf>
    <xf numFmtId="185" fontId="13" fillId="0" borderId="12" xfId="0" applyNumberFormat="1" applyFont="1" applyBorder="1" applyProtection="1">
      <protection locked="0"/>
    </xf>
    <xf numFmtId="6" fontId="13" fillId="0" borderId="20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12" xfId="0" applyFont="1" applyFill="1" applyBorder="1" applyAlignment="1">
      <alignment horizontal="center" vertical="top"/>
    </xf>
    <xf numFmtId="0" fontId="13" fillId="0" borderId="12" xfId="0" applyFont="1" applyFill="1" applyBorder="1" applyAlignment="1">
      <alignment vertical="top"/>
    </xf>
    <xf numFmtId="6" fontId="31" fillId="0" borderId="12" xfId="0" applyNumberFormat="1" applyFont="1" applyFill="1" applyBorder="1" applyProtection="1">
      <protection locked="0"/>
    </xf>
    <xf numFmtId="0" fontId="10" fillId="0" borderId="12" xfId="0" applyFont="1" applyBorder="1" applyAlignment="1">
      <alignment vertical="top"/>
    </xf>
    <xf numFmtId="10" fontId="13" fillId="0" borderId="12" xfId="0" applyNumberFormat="1" applyFont="1" applyBorder="1" applyProtection="1">
      <protection locked="0"/>
    </xf>
    <xf numFmtId="10" fontId="19" fillId="0" borderId="12" xfId="41" applyNumberFormat="1" applyFont="1" applyBorder="1" applyProtection="1">
      <protection locked="0"/>
    </xf>
    <xf numFmtId="10" fontId="19" fillId="0" borderId="12" xfId="0" applyNumberFormat="1" applyFont="1" applyBorder="1" applyProtection="1">
      <protection locked="0"/>
    </xf>
    <xf numFmtId="0" fontId="10" fillId="0" borderId="12" xfId="0" applyFont="1" applyBorder="1" applyAlignment="1"/>
    <xf numFmtId="6" fontId="13" fillId="0" borderId="12" xfId="0" applyNumberFormat="1" applyFont="1" applyFill="1" applyBorder="1" applyAlignment="1">
      <alignment horizontal="right" vertical="top"/>
    </xf>
    <xf numFmtId="6" fontId="13" fillId="0" borderId="12" xfId="0" applyNumberFormat="1" applyFont="1" applyFill="1" applyBorder="1" applyAlignment="1">
      <alignment vertical="top"/>
    </xf>
    <xf numFmtId="6" fontId="19" fillId="0" borderId="12" xfId="0" applyNumberFormat="1" applyFont="1" applyFill="1" applyBorder="1" applyAlignment="1">
      <alignment vertical="top"/>
    </xf>
    <xf numFmtId="6" fontId="19" fillId="0" borderId="12" xfId="0" applyNumberFormat="1" applyFont="1" applyBorder="1" applyAlignment="1">
      <alignment horizontal="right" vertical="top"/>
    </xf>
    <xf numFmtId="6" fontId="19" fillId="0" borderId="12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4" fontId="10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12" xfId="0" applyNumberFormat="1" applyFont="1" applyBorder="1" applyAlignment="1">
      <alignment horizontal="right" vertical="top"/>
    </xf>
    <xf numFmtId="10" fontId="13" fillId="0" borderId="12" xfId="0" applyNumberFormat="1" applyFont="1" applyBorder="1" applyAlignment="1">
      <alignment horizontal="right" vertical="top"/>
    </xf>
    <xf numFmtId="186" fontId="13" fillId="0" borderId="12" xfId="0" applyNumberFormat="1" applyFont="1" applyBorder="1" applyProtection="1">
      <protection locked="0"/>
    </xf>
    <xf numFmtId="6" fontId="13" fillId="0" borderId="27" xfId="0" applyNumberFormat="1" applyFont="1" applyBorder="1" applyAlignment="1">
      <alignment horizontal="right" vertical="top"/>
    </xf>
    <xf numFmtId="6" fontId="13" fillId="0" borderId="27" xfId="0" applyNumberFormat="1" applyFont="1" applyBorder="1" applyAlignment="1">
      <alignment vertical="top"/>
    </xf>
    <xf numFmtId="6" fontId="19" fillId="0" borderId="2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4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2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87" fontId="34" fillId="0" borderId="0" xfId="0" applyNumberFormat="1" applyFont="1" applyBorder="1" applyAlignment="1">
      <alignment horizontal="right" wrapText="1"/>
    </xf>
    <xf numFmtId="168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5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5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88" fontId="33" fillId="0" borderId="0" xfId="0" applyNumberFormat="1" applyFont="1" applyBorder="1" applyAlignment="1">
      <alignment horizontal="right" wrapText="1"/>
    </xf>
    <xf numFmtId="188" fontId="34" fillId="0" borderId="0" xfId="0" applyNumberFormat="1" applyFont="1" applyBorder="1" applyAlignment="1">
      <alignment horizontal="right" wrapText="1"/>
    </xf>
    <xf numFmtId="165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center"/>
    </xf>
    <xf numFmtId="164" fontId="1" fillId="33" borderId="9" xfId="0" applyNumberFormat="1" applyFont="1" applyFill="1" applyBorder="1" applyAlignment="1"/>
    <xf numFmtId="164" fontId="1" fillId="33" borderId="11" xfId="0" applyNumberFormat="1" applyFont="1" applyFill="1" applyBorder="1" applyAlignment="1"/>
    <xf numFmtId="164" fontId="1" fillId="33" borderId="10" xfId="0" applyNumberFormat="1" applyFont="1" applyFill="1" applyBorder="1" applyAlignment="1"/>
    <xf numFmtId="164" fontId="1" fillId="0" borderId="13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left"/>
    </xf>
    <xf numFmtId="164" fontId="2" fillId="0" borderId="8" xfId="0" applyNumberFormat="1" applyFont="1" applyBorder="1" applyAlignment="1">
      <alignment horizontal="left"/>
    </xf>
    <xf numFmtId="5" fontId="3" fillId="0" borderId="14" xfId="0" applyNumberFormat="1" applyFont="1" applyBorder="1" applyAlignment="1">
      <alignment horizontal="center"/>
    </xf>
    <xf numFmtId="5" fontId="3" fillId="0" borderId="15" xfId="0" applyNumberFormat="1" applyFont="1" applyBorder="1" applyAlignment="1">
      <alignment horizontal="center"/>
    </xf>
    <xf numFmtId="5" fontId="3" fillId="0" borderId="16" xfId="0" applyNumberFormat="1" applyFont="1" applyBorder="1" applyAlignment="1">
      <alignment horizontal="center"/>
    </xf>
    <xf numFmtId="5" fontId="3" fillId="0" borderId="9" xfId="0" applyNumberFormat="1" applyFont="1" applyBorder="1" applyAlignment="1">
      <alignment horizontal="center"/>
    </xf>
    <xf numFmtId="5" fontId="3" fillId="0" borderId="11" xfId="0" applyNumberFormat="1" applyFont="1" applyBorder="1" applyAlignment="1">
      <alignment horizontal="center"/>
    </xf>
    <xf numFmtId="5" fontId="3" fillId="0" borderId="10" xfId="0" applyNumberFormat="1" applyFont="1" applyBorder="1" applyAlignment="1">
      <alignment horizontal="center"/>
    </xf>
    <xf numFmtId="0" fontId="5" fillId="0" borderId="20" xfId="0" applyFont="1" applyBorder="1" applyAlignment="1"/>
    <xf numFmtId="0" fontId="5" fillId="0" borderId="8" xfId="0" applyFont="1" applyBorder="1" applyAlignment="1"/>
    <xf numFmtId="164" fontId="6" fillId="0" borderId="27" xfId="0" applyNumberFormat="1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wrapText="1"/>
    </xf>
    <xf numFmtId="164" fontId="6" fillId="0" borderId="28" xfId="0" applyNumberFormat="1" applyFont="1" applyBorder="1" applyAlignment="1">
      <alignment horizontal="center" wrapText="1"/>
    </xf>
    <xf numFmtId="164" fontId="6" fillId="0" borderId="9" xfId="0" applyNumberFormat="1" applyFont="1" applyBorder="1" applyAlignment="1">
      <alignment horizontal="center" wrapText="1"/>
    </xf>
    <xf numFmtId="164" fontId="6" fillId="0" borderId="11" xfId="0" applyNumberFormat="1" applyFont="1" applyBorder="1" applyAlignment="1">
      <alignment horizontal="center" wrapText="1"/>
    </xf>
    <xf numFmtId="164" fontId="6" fillId="0" borderId="10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4" fontId="6" fillId="0" borderId="14" xfId="0" applyNumberFormat="1" applyFont="1" applyBorder="1" applyAlignment="1">
      <alignment horizontal="center" wrapText="1"/>
    </xf>
    <xf numFmtId="164" fontId="6" fillId="0" borderId="15" xfId="0" applyNumberFormat="1" applyFont="1" applyBorder="1" applyAlignment="1">
      <alignment horizontal="center" wrapText="1"/>
    </xf>
    <xf numFmtId="164" fontId="6" fillId="0" borderId="16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6" fillId="33" borderId="24" xfId="0" applyNumberFormat="1" applyFont="1" applyFill="1" applyBorder="1" applyAlignment="1">
      <alignment horizontal="center" wrapText="1"/>
    </xf>
    <xf numFmtId="164" fontId="6" fillId="33" borderId="26" xfId="0" applyNumberFormat="1" applyFont="1" applyFill="1" applyBorder="1" applyAlignment="1">
      <alignment horizontal="center" wrapText="1"/>
    </xf>
    <xf numFmtId="164" fontId="6" fillId="33" borderId="25" xfId="0" applyNumberFormat="1" applyFont="1" applyFill="1" applyBorder="1" applyAlignment="1">
      <alignment horizontal="center" wrapText="1"/>
    </xf>
    <xf numFmtId="0" fontId="4" fillId="0" borderId="20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10" fillId="0" borderId="29" xfId="0" applyNumberFormat="1" applyFont="1" applyBorder="1" applyAlignment="1"/>
    <xf numFmtId="164" fontId="10" fillId="0" borderId="31" xfId="0" applyNumberFormat="1" applyFont="1" applyBorder="1" applyAlignment="1"/>
    <xf numFmtId="164" fontId="10" fillId="0" borderId="30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5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9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5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SheetLayoutView="75" workbookViewId="0"/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5456105</v>
      </c>
      <c r="D13" s="23">
        <v>8455576</v>
      </c>
      <c r="E13" s="23">
        <f t="shared" ref="E13:E22" si="0">D13-C13</f>
        <v>2999471</v>
      </c>
      <c r="F13" s="24">
        <f t="shared" ref="F13:F22" si="1">IF(C13=0,0,E13/C13)</f>
        <v>0.54974583516996101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29.25" customHeight="1" x14ac:dyDescent="0.2">
      <c r="A15" s="21">
        <v>3</v>
      </c>
      <c r="B15" s="22" t="s">
        <v>18</v>
      </c>
      <c r="C15" s="23">
        <v>9573323</v>
      </c>
      <c r="D15" s="23">
        <v>11144540</v>
      </c>
      <c r="E15" s="23">
        <f t="shared" si="0"/>
        <v>1571217</v>
      </c>
      <c r="F15" s="24">
        <f t="shared" si="1"/>
        <v>0.16412451559401056</v>
      </c>
    </row>
    <row r="16" spans="1:8" ht="24" customHeight="1" x14ac:dyDescent="0.2">
      <c r="A16" s="21">
        <v>4</v>
      </c>
      <c r="B16" s="22" t="s">
        <v>19</v>
      </c>
      <c r="C16" s="23">
        <v>0</v>
      </c>
      <c r="D16" s="23">
        <v>0</v>
      </c>
      <c r="E16" s="23">
        <f t="shared" si="0"/>
        <v>0</v>
      </c>
      <c r="F16" s="24">
        <f t="shared" si="1"/>
        <v>0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1079437</v>
      </c>
      <c r="D18" s="23">
        <v>1516187</v>
      </c>
      <c r="E18" s="23">
        <f t="shared" si="0"/>
        <v>436750</v>
      </c>
      <c r="F18" s="24">
        <f t="shared" si="1"/>
        <v>0.40460906935745206</v>
      </c>
    </row>
    <row r="19" spans="1:11" ht="24" customHeight="1" x14ac:dyDescent="0.2">
      <c r="A19" s="21">
        <v>7</v>
      </c>
      <c r="B19" s="22" t="s">
        <v>22</v>
      </c>
      <c r="C19" s="23">
        <v>1886150</v>
      </c>
      <c r="D19" s="23">
        <v>1994112</v>
      </c>
      <c r="E19" s="23">
        <f t="shared" si="0"/>
        <v>107962</v>
      </c>
      <c r="F19" s="24">
        <f t="shared" si="1"/>
        <v>5.7239349998674548E-2</v>
      </c>
    </row>
    <row r="20" spans="1:11" ht="24" customHeight="1" x14ac:dyDescent="0.2">
      <c r="A20" s="21">
        <v>8</v>
      </c>
      <c r="B20" s="22" t="s">
        <v>23</v>
      </c>
      <c r="C20" s="23">
        <v>0</v>
      </c>
      <c r="D20" s="23">
        <v>0</v>
      </c>
      <c r="E20" s="23">
        <f t="shared" si="0"/>
        <v>0</v>
      </c>
      <c r="F20" s="24">
        <f t="shared" si="1"/>
        <v>0</v>
      </c>
    </row>
    <row r="21" spans="1:11" ht="24" customHeight="1" x14ac:dyDescent="0.2">
      <c r="A21" s="21">
        <v>9</v>
      </c>
      <c r="B21" s="22" t="s">
        <v>24</v>
      </c>
      <c r="C21" s="23">
        <v>2419887</v>
      </c>
      <c r="D21" s="23">
        <v>2360864</v>
      </c>
      <c r="E21" s="23">
        <f t="shared" si="0"/>
        <v>-59023</v>
      </c>
      <c r="F21" s="24">
        <f t="shared" si="1"/>
        <v>-2.4390808331132819E-2</v>
      </c>
    </row>
    <row r="22" spans="1:11" ht="24" customHeight="1" x14ac:dyDescent="0.25">
      <c r="A22" s="25"/>
      <c r="B22" s="26" t="s">
        <v>25</v>
      </c>
      <c r="C22" s="27">
        <f>SUM(C13:C21)</f>
        <v>20414902</v>
      </c>
      <c r="D22" s="27">
        <f>SUM(D13:D21)</f>
        <v>25471279</v>
      </c>
      <c r="E22" s="27">
        <f t="shared" si="0"/>
        <v>5056377</v>
      </c>
      <c r="F22" s="28">
        <f t="shared" si="1"/>
        <v>0.24768068933174403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16662242</v>
      </c>
      <c r="D25" s="23">
        <v>16087230</v>
      </c>
      <c r="E25" s="23">
        <f>D25-C25</f>
        <v>-575012</v>
      </c>
      <c r="F25" s="24">
        <f>IF(C25=0,0,E25/C25)</f>
        <v>-3.450988168338931E-2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277118</v>
      </c>
      <c r="D27" s="23">
        <v>288839</v>
      </c>
      <c r="E27" s="23">
        <f>D27-C27</f>
        <v>11721</v>
      </c>
      <c r="F27" s="24">
        <f>IF(C27=0,0,E27/C27)</f>
        <v>4.2296061605525445E-2</v>
      </c>
    </row>
    <row r="28" spans="1:11" ht="24" customHeight="1" x14ac:dyDescent="0.2">
      <c r="A28" s="21">
        <v>4</v>
      </c>
      <c r="B28" s="22" t="s">
        <v>31</v>
      </c>
      <c r="C28" s="23">
        <v>6732834</v>
      </c>
      <c r="D28" s="23">
        <v>6563036</v>
      </c>
      <c r="E28" s="23">
        <f>D28-C28</f>
        <v>-169798</v>
      </c>
      <c r="F28" s="24">
        <f>IF(C28=0,0,E28/C28)</f>
        <v>-2.5219394982855661E-2</v>
      </c>
    </row>
    <row r="29" spans="1:11" ht="24" customHeight="1" x14ac:dyDescent="0.25">
      <c r="A29" s="25"/>
      <c r="B29" s="26" t="s">
        <v>32</v>
      </c>
      <c r="C29" s="27">
        <f>SUM(C25:C28)</f>
        <v>23672194</v>
      </c>
      <c r="D29" s="27">
        <f>SUM(D25:D28)</f>
        <v>22939105</v>
      </c>
      <c r="E29" s="27">
        <f>D29-C29</f>
        <v>-733089</v>
      </c>
      <c r="F29" s="28">
        <f>IF(C29=0,0,E29/C29)</f>
        <v>-3.0968358910880841E-2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30690384</v>
      </c>
      <c r="D32" s="23">
        <v>28762329</v>
      </c>
      <c r="E32" s="23">
        <f>D32-C32</f>
        <v>-1928055</v>
      </c>
      <c r="F32" s="24">
        <f>IF(C32=0,0,E32/C32)</f>
        <v>-6.2822772109987282E-2</v>
      </c>
    </row>
    <row r="33" spans="1:8" ht="24" customHeight="1" x14ac:dyDescent="0.2">
      <c r="A33" s="21">
        <v>7</v>
      </c>
      <c r="B33" s="22" t="s">
        <v>35</v>
      </c>
      <c r="C33" s="23">
        <v>1339349</v>
      </c>
      <c r="D33" s="23">
        <v>1677378</v>
      </c>
      <c r="E33" s="23">
        <f>D33-C33</f>
        <v>338029</v>
      </c>
      <c r="F33" s="24">
        <f>IF(C33=0,0,E33/C33)</f>
        <v>0.25238306072577049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137226848</v>
      </c>
      <c r="D36" s="23">
        <v>141431820</v>
      </c>
      <c r="E36" s="23">
        <f>D36-C36</f>
        <v>4204972</v>
      </c>
      <c r="F36" s="24">
        <f>IF(C36=0,0,E36/C36)</f>
        <v>3.0642487685791631E-2</v>
      </c>
    </row>
    <row r="37" spans="1:8" ht="24" customHeight="1" x14ac:dyDescent="0.2">
      <c r="A37" s="21">
        <v>2</v>
      </c>
      <c r="B37" s="22" t="s">
        <v>39</v>
      </c>
      <c r="C37" s="23">
        <v>96582714</v>
      </c>
      <c r="D37" s="23">
        <v>102493235</v>
      </c>
      <c r="E37" s="23">
        <f>D37-C37</f>
        <v>5910521</v>
      </c>
      <c r="F37" s="24">
        <f>IF(C37=0,0,E37/C37)</f>
        <v>6.1196468345256896E-2</v>
      </c>
    </row>
    <row r="38" spans="1:8" ht="24" customHeight="1" x14ac:dyDescent="0.25">
      <c r="A38" s="25"/>
      <c r="B38" s="26" t="s">
        <v>40</v>
      </c>
      <c r="C38" s="27">
        <f>C36-C37</f>
        <v>40644134</v>
      </c>
      <c r="D38" s="27">
        <f>D36-D37</f>
        <v>38938585</v>
      </c>
      <c r="E38" s="27">
        <f>D38-C38</f>
        <v>-1705549</v>
      </c>
      <c r="F38" s="28">
        <f>IF(C38=0,0,E38/C38)</f>
        <v>-4.1962980438948458E-2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918096</v>
      </c>
      <c r="D40" s="23">
        <v>1037834</v>
      </c>
      <c r="E40" s="23">
        <f>D40-C40</f>
        <v>119738</v>
      </c>
      <c r="F40" s="24">
        <f>IF(C40=0,0,E40/C40)</f>
        <v>0.13041991251459542</v>
      </c>
    </row>
    <row r="41" spans="1:8" ht="24" customHeight="1" x14ac:dyDescent="0.25">
      <c r="A41" s="25"/>
      <c r="B41" s="26" t="s">
        <v>42</v>
      </c>
      <c r="C41" s="27">
        <f>+C38+C40</f>
        <v>41562230</v>
      </c>
      <c r="D41" s="27">
        <f>+D38+D40</f>
        <v>39976419</v>
      </c>
      <c r="E41" s="27">
        <f>D41-C41</f>
        <v>-1585811</v>
      </c>
      <c r="F41" s="28">
        <f>IF(C41=0,0,E41/C41)</f>
        <v>-3.8155098992522778E-2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117679059</v>
      </c>
      <c r="D43" s="27">
        <f>D22+D29+D31+D32+D33+D41</f>
        <v>118826510</v>
      </c>
      <c r="E43" s="27">
        <f>D43-C43</f>
        <v>1147451</v>
      </c>
      <c r="F43" s="28">
        <f>IF(C43=0,0,E43/C43)</f>
        <v>9.7506813000603609E-3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4439653</v>
      </c>
      <c r="D49" s="23">
        <v>5509809</v>
      </c>
      <c r="E49" s="23">
        <f t="shared" ref="E49:E56" si="2">D49-C49</f>
        <v>1070156</v>
      </c>
      <c r="F49" s="24">
        <f t="shared" ref="F49:F56" si="3">IF(C49=0,0,E49/C49)</f>
        <v>0.24104496455015742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3018603</v>
      </c>
      <c r="D50" s="23">
        <v>3433272</v>
      </c>
      <c r="E50" s="23">
        <f t="shared" si="2"/>
        <v>414669</v>
      </c>
      <c r="F50" s="24">
        <f t="shared" si="3"/>
        <v>0.13737116142798506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2034000</v>
      </c>
      <c r="D51" s="23">
        <v>1693818</v>
      </c>
      <c r="E51" s="23">
        <f t="shared" si="2"/>
        <v>-340182</v>
      </c>
      <c r="F51" s="24">
        <f t="shared" si="3"/>
        <v>-0.16724778761061948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1120000</v>
      </c>
      <c r="D53" s="23">
        <v>1155000</v>
      </c>
      <c r="E53" s="23">
        <f t="shared" si="2"/>
        <v>35000</v>
      </c>
      <c r="F53" s="24">
        <f t="shared" si="3"/>
        <v>3.125E-2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233895</v>
      </c>
      <c r="D54" s="23">
        <v>186190</v>
      </c>
      <c r="E54" s="23">
        <f t="shared" si="2"/>
        <v>-47705</v>
      </c>
      <c r="F54" s="24">
        <f t="shared" si="3"/>
        <v>-0.20395904145022339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5718436</v>
      </c>
      <c r="D55" s="23">
        <v>7183569</v>
      </c>
      <c r="E55" s="23">
        <f t="shared" si="2"/>
        <v>1465133</v>
      </c>
      <c r="F55" s="24">
        <f t="shared" si="3"/>
        <v>0.25621218808779184</v>
      </c>
    </row>
    <row r="56" spans="1:6" ht="24" customHeight="1" x14ac:dyDescent="0.25">
      <c r="A56" s="25"/>
      <c r="B56" s="26" t="s">
        <v>54</v>
      </c>
      <c r="C56" s="27">
        <f>SUM(C49:C55)</f>
        <v>16564587</v>
      </c>
      <c r="D56" s="27">
        <f>SUM(D49:D55)</f>
        <v>19161658</v>
      </c>
      <c r="E56" s="27">
        <f t="shared" si="2"/>
        <v>2597071</v>
      </c>
      <c r="F56" s="28">
        <f t="shared" si="3"/>
        <v>0.15678453075829782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2355000</v>
      </c>
      <c r="D59" s="23">
        <v>1200000</v>
      </c>
      <c r="E59" s="23">
        <f>D59-C59</f>
        <v>-1155000</v>
      </c>
      <c r="F59" s="24">
        <f>IF(C59=0,0,E59/C59)</f>
        <v>-0.49044585987261147</v>
      </c>
    </row>
    <row r="60" spans="1:6" ht="24" customHeight="1" x14ac:dyDescent="0.2">
      <c r="A60" s="21">
        <v>2</v>
      </c>
      <c r="B60" s="22" t="s">
        <v>57</v>
      </c>
      <c r="C60" s="23">
        <v>3667950</v>
      </c>
      <c r="D60" s="23">
        <v>3424338</v>
      </c>
      <c r="E60" s="23">
        <f>D60-C60</f>
        <v>-243612</v>
      </c>
      <c r="F60" s="24">
        <f>IF(C60=0,0,E60/C60)</f>
        <v>-6.6416390626916941E-2</v>
      </c>
    </row>
    <row r="61" spans="1:6" ht="24" customHeight="1" x14ac:dyDescent="0.25">
      <c r="A61" s="25"/>
      <c r="B61" s="26" t="s">
        <v>58</v>
      </c>
      <c r="C61" s="27">
        <f>SUM(C59:C60)</f>
        <v>6022950</v>
      </c>
      <c r="D61" s="27">
        <f>SUM(D59:D60)</f>
        <v>4624338</v>
      </c>
      <c r="E61" s="27">
        <f>D61-C61</f>
        <v>-1398612</v>
      </c>
      <c r="F61" s="28">
        <f>IF(C61=0,0,E61/C61)</f>
        <v>-0.2322137822827684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33995533</v>
      </c>
      <c r="D63" s="23">
        <v>26422971</v>
      </c>
      <c r="E63" s="23">
        <f>D63-C63</f>
        <v>-7572562</v>
      </c>
      <c r="F63" s="24">
        <f>IF(C63=0,0,E63/C63)</f>
        <v>-0.22275167740420485</v>
      </c>
    </row>
    <row r="64" spans="1:6" ht="24" customHeight="1" x14ac:dyDescent="0.2">
      <c r="A64" s="21">
        <v>4</v>
      </c>
      <c r="B64" s="22" t="s">
        <v>60</v>
      </c>
      <c r="C64" s="23">
        <v>2554405</v>
      </c>
      <c r="D64" s="23">
        <v>2631693</v>
      </c>
      <c r="E64" s="23">
        <f>D64-C64</f>
        <v>77288</v>
      </c>
      <c r="F64" s="24">
        <f>IF(C64=0,0,E64/C64)</f>
        <v>3.0256752550985453E-2</v>
      </c>
    </row>
    <row r="65" spans="1:6" ht="24" customHeight="1" x14ac:dyDescent="0.25">
      <c r="A65" s="25"/>
      <c r="B65" s="26" t="s">
        <v>61</v>
      </c>
      <c r="C65" s="27">
        <f>SUM(C61:C64)</f>
        <v>42572888</v>
      </c>
      <c r="D65" s="27">
        <f>SUM(D61:D64)</f>
        <v>33679002</v>
      </c>
      <c r="E65" s="27">
        <f>D65-C65</f>
        <v>-8893886</v>
      </c>
      <c r="F65" s="28">
        <f>IF(C65=0,0,E65/C65)</f>
        <v>-0.20890962342042663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39188881</v>
      </c>
      <c r="D70" s="23">
        <v>47062165</v>
      </c>
      <c r="E70" s="23">
        <f>D70-C70</f>
        <v>7873284</v>
      </c>
      <c r="F70" s="24">
        <f>IF(C70=0,0,E70/C70)</f>
        <v>0.20090606822889381</v>
      </c>
    </row>
    <row r="71" spans="1:6" ht="24" customHeight="1" x14ac:dyDescent="0.2">
      <c r="A71" s="21">
        <v>2</v>
      </c>
      <c r="B71" s="22" t="s">
        <v>65</v>
      </c>
      <c r="C71" s="23">
        <v>2980453</v>
      </c>
      <c r="D71" s="23">
        <v>2810655</v>
      </c>
      <c r="E71" s="23">
        <f>D71-C71</f>
        <v>-169798</v>
      </c>
      <c r="F71" s="24">
        <f>IF(C71=0,0,E71/C71)</f>
        <v>-5.6970534344946894E-2</v>
      </c>
    </row>
    <row r="72" spans="1:6" ht="24" customHeight="1" x14ac:dyDescent="0.2">
      <c r="A72" s="21">
        <v>3</v>
      </c>
      <c r="B72" s="22" t="s">
        <v>66</v>
      </c>
      <c r="C72" s="23">
        <v>16372250</v>
      </c>
      <c r="D72" s="23">
        <v>16113030</v>
      </c>
      <c r="E72" s="23">
        <f>D72-C72</f>
        <v>-259220</v>
      </c>
      <c r="F72" s="24">
        <f>IF(C72=0,0,E72/C72)</f>
        <v>-1.583288796591794E-2</v>
      </c>
    </row>
    <row r="73" spans="1:6" ht="24" customHeight="1" x14ac:dyDescent="0.25">
      <c r="A73" s="21"/>
      <c r="B73" s="26" t="s">
        <v>67</v>
      </c>
      <c r="C73" s="27">
        <f>SUM(C70:C72)</f>
        <v>58541584</v>
      </c>
      <c r="D73" s="27">
        <f>SUM(D70:D72)</f>
        <v>65985850</v>
      </c>
      <c r="E73" s="27">
        <f>D73-C73</f>
        <v>7444266</v>
      </c>
      <c r="F73" s="28">
        <f>IF(C73=0,0,E73/C73)</f>
        <v>0.12716201871134883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117679059</v>
      </c>
      <c r="D75" s="27">
        <f>D56+D65+D67+D73</f>
        <v>118826510</v>
      </c>
      <c r="E75" s="27">
        <f>D75-C75</f>
        <v>1147451</v>
      </c>
      <c r="F75" s="28">
        <f>IF(C75=0,0,E75/C75)</f>
        <v>9.7506813000603609E-3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/>
  <headerFooter>
    <oddHeader>&amp;LOFFICE OF HEALTH CARE ACCESS&amp;CTWELVE MONTHS ACTUAL FILING&amp;RCHARLOTTE HUNGERFORD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SheetLayoutView="75" workbookViewId="0">
      <selection sqref="A1:E1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479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482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307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483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484</v>
      </c>
      <c r="C11" s="51">
        <v>97865856</v>
      </c>
      <c r="D11" s="51">
        <v>103758285</v>
      </c>
      <c r="E11" s="51">
        <v>109569717</v>
      </c>
      <c r="F11" s="28"/>
    </row>
    <row r="12" spans="1:6" ht="24" customHeight="1" x14ac:dyDescent="0.25">
      <c r="A12" s="44">
        <v>2</v>
      </c>
      <c r="B12" s="48" t="s">
        <v>76</v>
      </c>
      <c r="C12" s="49">
        <v>5612083</v>
      </c>
      <c r="D12" s="49">
        <v>5283033</v>
      </c>
      <c r="E12" s="49">
        <v>4949386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103477939</v>
      </c>
      <c r="D13" s="51">
        <f>+D11+D12</f>
        <v>109041318</v>
      </c>
      <c r="E13" s="51">
        <f>+E11+E12</f>
        <v>114519103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103510788</v>
      </c>
      <c r="D14" s="49">
        <v>109825185</v>
      </c>
      <c r="E14" s="49">
        <v>113880767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-32849</v>
      </c>
      <c r="D15" s="51">
        <f>+D13-D14</f>
        <v>-783867</v>
      </c>
      <c r="E15" s="51">
        <f>+E13-E14</f>
        <v>638336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145007</v>
      </c>
      <c r="D16" s="49">
        <v>2243445</v>
      </c>
      <c r="E16" s="49">
        <v>2011113</v>
      </c>
      <c r="F16" s="70"/>
    </row>
    <row r="17" spans="1:14" s="56" customFormat="1" ht="24" customHeight="1" x14ac:dyDescent="0.2">
      <c r="A17" s="44">
        <v>7</v>
      </c>
      <c r="B17" s="45" t="s">
        <v>310</v>
      </c>
      <c r="C17" s="51">
        <f>C15+C16</f>
        <v>112158</v>
      </c>
      <c r="D17" s="51">
        <f>D15+D16</f>
        <v>1459578</v>
      </c>
      <c r="E17" s="51">
        <f>E15+E16</f>
        <v>2649449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485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486</v>
      </c>
      <c r="C20" s="169">
        <f>IF(+C27=0,0,+C24/+C27)</f>
        <v>-3.170050772345345E-4</v>
      </c>
      <c r="D20" s="169">
        <f>IF(+D27=0,0,+D24/+D27)</f>
        <v>-7.0437944860429818E-3</v>
      </c>
      <c r="E20" s="169">
        <f>IF(+E27=0,0,+E24/+E27)</f>
        <v>5.4778582063213545E-3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487</v>
      </c>
      <c r="C21" s="169">
        <f>IF(+C27=0,0,+C26/+C27)</f>
        <v>1.3993715252990395E-3</v>
      </c>
      <c r="D21" s="169">
        <f>IF(+D27=0,0,+D26/+D27)</f>
        <v>2.015949838523716E-2</v>
      </c>
      <c r="E21" s="169">
        <f>IF(+E27=0,0,+E26/+E27)</f>
        <v>1.7258296337492415E-2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488</v>
      </c>
      <c r="C22" s="169">
        <f>IF(+C27=0,0,+C28/+C27)</f>
        <v>1.082366448064505E-3</v>
      </c>
      <c r="D22" s="169">
        <f>IF(+D27=0,0,+D28/+D27)</f>
        <v>1.3115703899194179E-2</v>
      </c>
      <c r="E22" s="169">
        <f>IF(+E27=0,0,+E28/+E27)</f>
        <v>2.273615454381377E-2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-32849</v>
      </c>
      <c r="D24" s="51">
        <f>+D15</f>
        <v>-783867</v>
      </c>
      <c r="E24" s="51">
        <f>+E15</f>
        <v>638336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103477939</v>
      </c>
      <c r="D25" s="51">
        <f>+D13</f>
        <v>109041318</v>
      </c>
      <c r="E25" s="51">
        <f>+E13</f>
        <v>114519103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145007</v>
      </c>
      <c r="D26" s="51">
        <f>+D16</f>
        <v>2243445</v>
      </c>
      <c r="E26" s="51">
        <f>+E16</f>
        <v>2011113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315</v>
      </c>
      <c r="C27" s="51">
        <f>SUM(C25:C26)</f>
        <v>103622946</v>
      </c>
      <c r="D27" s="51">
        <f>SUM(D25:D26)</f>
        <v>111284763</v>
      </c>
      <c r="E27" s="51">
        <f>SUM(E25:E26)</f>
        <v>116530216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310</v>
      </c>
      <c r="C28" s="51">
        <f>+C17</f>
        <v>112158</v>
      </c>
      <c r="D28" s="51">
        <f>+D17</f>
        <v>1459578</v>
      </c>
      <c r="E28" s="51">
        <f>+E17</f>
        <v>2649449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489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490</v>
      </c>
      <c r="C31" s="51">
        <v>41711965</v>
      </c>
      <c r="D31" s="51">
        <v>39188881</v>
      </c>
      <c r="E31" s="52">
        <v>47062165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491</v>
      </c>
      <c r="C32" s="51">
        <v>60195002</v>
      </c>
      <c r="D32" s="51">
        <v>58541584</v>
      </c>
      <c r="E32" s="51">
        <v>65985850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492</v>
      </c>
      <c r="C33" s="51">
        <v>-20837048</v>
      </c>
      <c r="D33" s="51">
        <f>+D32-C32</f>
        <v>-1653418</v>
      </c>
      <c r="E33" s="51">
        <f>+E32-D32</f>
        <v>7444266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493</v>
      </c>
      <c r="C34" s="171">
        <v>0.74280000000000002</v>
      </c>
      <c r="D34" s="171">
        <f>IF(C32=0,0,+D33/C32)</f>
        <v>-2.7467695739922061E-2</v>
      </c>
      <c r="E34" s="171">
        <f>IF(D32=0,0,+E33/D32)</f>
        <v>0.12716201871134883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321</v>
      </c>
      <c r="B36" s="16" t="s">
        <v>343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344</v>
      </c>
      <c r="C38" s="269">
        <f>IF(+C40=0,0,+C39/+C40)</f>
        <v>1.0930820544810786</v>
      </c>
      <c r="D38" s="269">
        <f>IF(+D40=0,0,+D39/+D40)</f>
        <v>1.2324425595398183</v>
      </c>
      <c r="E38" s="269">
        <f>IF(+E40=0,0,+E39/+E40)</f>
        <v>1.3292836663716678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17732939</v>
      </c>
      <c r="D39" s="270">
        <v>20414902</v>
      </c>
      <c r="E39" s="270">
        <v>25471279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16222880</v>
      </c>
      <c r="D40" s="270">
        <v>16564587</v>
      </c>
      <c r="E40" s="270">
        <v>19161658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345</v>
      </c>
      <c r="C42" s="271">
        <f>IF((C48/365)=0,0,+C45/(C48/365))</f>
        <v>15.084094814549179</v>
      </c>
      <c r="D42" s="271">
        <f>IF((D48/365)=0,0,+D45/(D48/365))</f>
        <v>19.213834885456318</v>
      </c>
      <c r="E42" s="271">
        <f>IF((E48/365)=0,0,+E45/(E48/365))</f>
        <v>28.655601668612068</v>
      </c>
    </row>
    <row r="43" spans="1:14" ht="24" customHeight="1" x14ac:dyDescent="0.2">
      <c r="A43" s="17">
        <v>5</v>
      </c>
      <c r="B43" s="188" t="s">
        <v>16</v>
      </c>
      <c r="C43" s="272">
        <v>4021421</v>
      </c>
      <c r="D43" s="272">
        <v>5456105</v>
      </c>
      <c r="E43" s="272">
        <v>8455576</v>
      </c>
    </row>
    <row r="44" spans="1:14" ht="24" customHeight="1" x14ac:dyDescent="0.2">
      <c r="A44" s="17">
        <v>6</v>
      </c>
      <c r="B44" s="273" t="s">
        <v>17</v>
      </c>
      <c r="C44" s="274">
        <v>0</v>
      </c>
      <c r="D44" s="274">
        <v>0</v>
      </c>
      <c r="E44" s="274">
        <v>0</v>
      </c>
    </row>
    <row r="45" spans="1:14" ht="24" customHeight="1" x14ac:dyDescent="0.2">
      <c r="A45" s="17">
        <v>7</v>
      </c>
      <c r="B45" s="45" t="s">
        <v>346</v>
      </c>
      <c r="C45" s="270">
        <f>+C43+C44</f>
        <v>4021421</v>
      </c>
      <c r="D45" s="270">
        <f>+D43+D44</f>
        <v>5456105</v>
      </c>
      <c r="E45" s="270">
        <f>+E43+E44</f>
        <v>8455576</v>
      </c>
    </row>
    <row r="46" spans="1:14" ht="24" customHeight="1" x14ac:dyDescent="0.2">
      <c r="A46" s="17">
        <v>8</v>
      </c>
      <c r="B46" s="45" t="s">
        <v>324</v>
      </c>
      <c r="C46" s="270">
        <f>+C14</f>
        <v>103510788</v>
      </c>
      <c r="D46" s="270">
        <f>+D14</f>
        <v>109825185</v>
      </c>
      <c r="E46" s="270">
        <f>+E14</f>
        <v>113880767</v>
      </c>
    </row>
    <row r="47" spans="1:14" ht="24" customHeight="1" x14ac:dyDescent="0.2">
      <c r="A47" s="17">
        <v>9</v>
      </c>
      <c r="B47" s="45" t="s">
        <v>347</v>
      </c>
      <c r="C47" s="270">
        <v>6201756</v>
      </c>
      <c r="D47" s="270">
        <v>6177041</v>
      </c>
      <c r="E47" s="270">
        <v>6178082</v>
      </c>
    </row>
    <row r="48" spans="1:14" ht="24" customHeight="1" x14ac:dyDescent="0.2">
      <c r="A48" s="17">
        <v>10</v>
      </c>
      <c r="B48" s="45" t="s">
        <v>348</v>
      </c>
      <c r="C48" s="270">
        <f>+C46-C47</f>
        <v>97309032</v>
      </c>
      <c r="D48" s="270">
        <f>+D46-D47</f>
        <v>103648144</v>
      </c>
      <c r="E48" s="270">
        <f>+E46-E47</f>
        <v>107702685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349</v>
      </c>
      <c r="C50" s="278">
        <f>IF((C55/365)=0,0,+C54/(C55/365))</f>
        <v>28.448309541174403</v>
      </c>
      <c r="D50" s="278">
        <f>IF((D55/365)=0,0,+D54/(D55/365))</f>
        <v>30.318999586394476</v>
      </c>
      <c r="E50" s="278">
        <f>IF((E55/365)=0,0,+E54/(E55/365))</f>
        <v>36.533103256988419</v>
      </c>
    </row>
    <row r="51" spans="1:5" ht="24" customHeight="1" x14ac:dyDescent="0.2">
      <c r="A51" s="17">
        <v>12</v>
      </c>
      <c r="B51" s="188" t="s">
        <v>350</v>
      </c>
      <c r="C51" s="279">
        <v>9891564</v>
      </c>
      <c r="D51" s="279">
        <v>9573323</v>
      </c>
      <c r="E51" s="279">
        <v>11144540</v>
      </c>
    </row>
    <row r="52" spans="1:5" ht="24" customHeight="1" x14ac:dyDescent="0.2">
      <c r="A52" s="17">
        <v>13</v>
      </c>
      <c r="B52" s="188" t="s">
        <v>21</v>
      </c>
      <c r="C52" s="270">
        <v>102157</v>
      </c>
      <c r="D52" s="270">
        <v>1079437</v>
      </c>
      <c r="E52" s="270">
        <v>1516187</v>
      </c>
    </row>
    <row r="53" spans="1:5" ht="24" customHeight="1" x14ac:dyDescent="0.2">
      <c r="A53" s="17">
        <v>14</v>
      </c>
      <c r="B53" s="188" t="s">
        <v>49</v>
      </c>
      <c r="C53" s="270">
        <v>2366000</v>
      </c>
      <c r="D53" s="270">
        <v>2034000</v>
      </c>
      <c r="E53" s="270">
        <v>1693818</v>
      </c>
    </row>
    <row r="54" spans="1:5" ht="32.25" customHeight="1" x14ac:dyDescent="0.2">
      <c r="A54" s="17">
        <v>15</v>
      </c>
      <c r="B54" s="45" t="s">
        <v>351</v>
      </c>
      <c r="C54" s="280">
        <f>+C51+C52-C53</f>
        <v>7627721</v>
      </c>
      <c r="D54" s="280">
        <f>+D51+D52-D53</f>
        <v>8618760</v>
      </c>
      <c r="E54" s="280">
        <f>+E51+E52-E53</f>
        <v>10966909</v>
      </c>
    </row>
    <row r="55" spans="1:5" ht="24" customHeight="1" x14ac:dyDescent="0.2">
      <c r="A55" s="17">
        <v>16</v>
      </c>
      <c r="B55" s="45" t="s">
        <v>75</v>
      </c>
      <c r="C55" s="270">
        <f>+C11</f>
        <v>97865856</v>
      </c>
      <c r="D55" s="270">
        <f>+D11</f>
        <v>103758285</v>
      </c>
      <c r="E55" s="270">
        <f>+E11</f>
        <v>109569717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352</v>
      </c>
      <c r="C57" s="283">
        <f>IF((C61/365)=0,0,+C58/(C61/365))</f>
        <v>60.850992742379759</v>
      </c>
      <c r="D57" s="283">
        <f>IF((D61/365)=0,0,+D58/(D61/365))</f>
        <v>58.332682300611189</v>
      </c>
      <c r="E57" s="283">
        <f>IF((E61/365)=0,0,+E58/(E61/365))</f>
        <v>64.938076242017544</v>
      </c>
    </row>
    <row r="58" spans="1:5" ht="24" customHeight="1" x14ac:dyDescent="0.2">
      <c r="A58" s="17">
        <v>18</v>
      </c>
      <c r="B58" s="45" t="s">
        <v>54</v>
      </c>
      <c r="C58" s="281">
        <f>+C40</f>
        <v>16222880</v>
      </c>
      <c r="D58" s="281">
        <f>+D40</f>
        <v>16564587</v>
      </c>
      <c r="E58" s="281">
        <f>+E40</f>
        <v>19161658</v>
      </c>
    </row>
    <row r="59" spans="1:5" ht="24" customHeight="1" x14ac:dyDescent="0.2">
      <c r="A59" s="17">
        <v>19</v>
      </c>
      <c r="B59" s="45" t="s">
        <v>324</v>
      </c>
      <c r="C59" s="281">
        <f t="shared" ref="C59:E60" si="0">+C46</f>
        <v>103510788</v>
      </c>
      <c r="D59" s="281">
        <f t="shared" si="0"/>
        <v>109825185</v>
      </c>
      <c r="E59" s="281">
        <f t="shared" si="0"/>
        <v>113880767</v>
      </c>
    </row>
    <row r="60" spans="1:5" ht="24" customHeight="1" x14ac:dyDescent="0.2">
      <c r="A60" s="17">
        <v>20</v>
      </c>
      <c r="B60" s="45" t="s">
        <v>347</v>
      </c>
      <c r="C60" s="176">
        <f t="shared" si="0"/>
        <v>6201756</v>
      </c>
      <c r="D60" s="176">
        <f t="shared" si="0"/>
        <v>6177041</v>
      </c>
      <c r="E60" s="176">
        <f t="shared" si="0"/>
        <v>6178082</v>
      </c>
    </row>
    <row r="61" spans="1:5" ht="24" customHeight="1" x14ac:dyDescent="0.2">
      <c r="A61" s="17">
        <v>21</v>
      </c>
      <c r="B61" s="45" t="s">
        <v>353</v>
      </c>
      <c r="C61" s="281">
        <f>+C59-C60</f>
        <v>97309032</v>
      </c>
      <c r="D61" s="281">
        <f>+D59-D60</f>
        <v>103648144</v>
      </c>
      <c r="E61" s="281">
        <f>+E59-E60</f>
        <v>107702685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342</v>
      </c>
      <c r="B63" s="16" t="s">
        <v>355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356</v>
      </c>
      <c r="C65" s="284">
        <f>IF(C67=0,0,(C66/C67)*100)</f>
        <v>52.620000849857348</v>
      </c>
      <c r="D65" s="284">
        <f>IF(D67=0,0,(D66/D67)*100)</f>
        <v>49.746815191647649</v>
      </c>
      <c r="E65" s="284">
        <f>IF(E67=0,0,(E66/E67)*100)</f>
        <v>55.531253084854548</v>
      </c>
    </row>
    <row r="66" spans="1:5" ht="24" customHeight="1" x14ac:dyDescent="0.2">
      <c r="A66" s="17">
        <v>2</v>
      </c>
      <c r="B66" s="45" t="s">
        <v>67</v>
      </c>
      <c r="C66" s="281">
        <f>+C32</f>
        <v>60195002</v>
      </c>
      <c r="D66" s="281">
        <f>+D32</f>
        <v>58541584</v>
      </c>
      <c r="E66" s="281">
        <f>+E32</f>
        <v>65985850</v>
      </c>
    </row>
    <row r="67" spans="1:5" ht="24" customHeight="1" x14ac:dyDescent="0.2">
      <c r="A67" s="17">
        <v>3</v>
      </c>
      <c r="B67" s="45" t="s">
        <v>43</v>
      </c>
      <c r="C67" s="281">
        <v>114395669</v>
      </c>
      <c r="D67" s="281">
        <v>117679059</v>
      </c>
      <c r="E67" s="281">
        <v>118826510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357</v>
      </c>
      <c r="C69" s="284">
        <f>IF(C75=0,0,(C72/C75)*100)</f>
        <v>26.68730276159862</v>
      </c>
      <c r="D69" s="284">
        <f>IF(D75=0,0,(D72/D75)*100)</f>
        <v>33.80899387126626</v>
      </c>
      <c r="E69" s="284">
        <f>IF(E75=0,0,(E72/E75)*100)</f>
        <v>37.112303390616894</v>
      </c>
    </row>
    <row r="70" spans="1:5" ht="24" customHeight="1" x14ac:dyDescent="0.2">
      <c r="A70" s="17">
        <v>5</v>
      </c>
      <c r="B70" s="45" t="s">
        <v>358</v>
      </c>
      <c r="C70" s="281">
        <f>+C28</f>
        <v>112158</v>
      </c>
      <c r="D70" s="281">
        <f>+D28</f>
        <v>1459578</v>
      </c>
      <c r="E70" s="281">
        <f>+E28</f>
        <v>2649449</v>
      </c>
    </row>
    <row r="71" spans="1:5" ht="24" customHeight="1" x14ac:dyDescent="0.2">
      <c r="A71" s="17">
        <v>6</v>
      </c>
      <c r="B71" s="45" t="s">
        <v>347</v>
      </c>
      <c r="C71" s="176">
        <f>+C47</f>
        <v>6201756</v>
      </c>
      <c r="D71" s="176">
        <f>+D47</f>
        <v>6177041</v>
      </c>
      <c r="E71" s="176">
        <f>+E47</f>
        <v>6178082</v>
      </c>
    </row>
    <row r="72" spans="1:5" ht="24" customHeight="1" x14ac:dyDescent="0.2">
      <c r="A72" s="17">
        <v>7</v>
      </c>
      <c r="B72" s="45" t="s">
        <v>359</v>
      </c>
      <c r="C72" s="281">
        <f>+C70+C71</f>
        <v>6313914</v>
      </c>
      <c r="D72" s="281">
        <f>+D70+D71</f>
        <v>7636619</v>
      </c>
      <c r="E72" s="281">
        <f>+E70+E71</f>
        <v>8827531</v>
      </c>
    </row>
    <row r="73" spans="1:5" ht="24" customHeight="1" x14ac:dyDescent="0.2">
      <c r="A73" s="17">
        <v>8</v>
      </c>
      <c r="B73" s="45" t="s">
        <v>54</v>
      </c>
      <c r="C73" s="270">
        <f>+C40</f>
        <v>16222880</v>
      </c>
      <c r="D73" s="270">
        <f>+D40</f>
        <v>16564587</v>
      </c>
      <c r="E73" s="270">
        <f>+E40</f>
        <v>19161658</v>
      </c>
    </row>
    <row r="74" spans="1:5" ht="24" customHeight="1" x14ac:dyDescent="0.2">
      <c r="A74" s="17">
        <v>9</v>
      </c>
      <c r="B74" s="45" t="s">
        <v>58</v>
      </c>
      <c r="C74" s="281">
        <v>7435989</v>
      </c>
      <c r="D74" s="281">
        <v>6022950</v>
      </c>
      <c r="E74" s="281">
        <v>4624338</v>
      </c>
    </row>
    <row r="75" spans="1:5" ht="24" customHeight="1" x14ac:dyDescent="0.2">
      <c r="A75" s="17">
        <v>10</v>
      </c>
      <c r="B75" s="285" t="s">
        <v>360</v>
      </c>
      <c r="C75" s="270">
        <f>+C73+C74</f>
        <v>23658869</v>
      </c>
      <c r="D75" s="270">
        <f>+D73+D74</f>
        <v>22587537</v>
      </c>
      <c r="E75" s="270">
        <f>+E73+E74</f>
        <v>23785996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361</v>
      </c>
      <c r="C77" s="286">
        <f>IF(C80=0,0,(C78/C80)*100)</f>
        <v>10.994943131914184</v>
      </c>
      <c r="D77" s="286">
        <f>IF(D80=0,0,(D78/D80)*100)</f>
        <v>9.3285734858707414</v>
      </c>
      <c r="E77" s="286">
        <f>IF(E80=0,0,(E78/E80)*100)</f>
        <v>6.5491087490094202</v>
      </c>
    </row>
    <row r="78" spans="1:5" ht="24" customHeight="1" x14ac:dyDescent="0.2">
      <c r="A78" s="17">
        <v>12</v>
      </c>
      <c r="B78" s="45" t="s">
        <v>58</v>
      </c>
      <c r="C78" s="270">
        <f>+C74</f>
        <v>7435989</v>
      </c>
      <c r="D78" s="270">
        <f>+D74</f>
        <v>6022950</v>
      </c>
      <c r="E78" s="270">
        <f>+E74</f>
        <v>4624338</v>
      </c>
    </row>
    <row r="79" spans="1:5" ht="24" customHeight="1" x14ac:dyDescent="0.2">
      <c r="A79" s="17">
        <v>13</v>
      </c>
      <c r="B79" s="45" t="s">
        <v>67</v>
      </c>
      <c r="C79" s="270">
        <f>+C32</f>
        <v>60195002</v>
      </c>
      <c r="D79" s="270">
        <f>+D32</f>
        <v>58541584</v>
      </c>
      <c r="E79" s="270">
        <f>+E32</f>
        <v>65985850</v>
      </c>
    </row>
    <row r="80" spans="1:5" ht="24" customHeight="1" x14ac:dyDescent="0.2">
      <c r="A80" s="17">
        <v>14</v>
      </c>
      <c r="B80" s="45" t="s">
        <v>362</v>
      </c>
      <c r="C80" s="270">
        <f>+C78+C79</f>
        <v>67630991</v>
      </c>
      <c r="D80" s="270">
        <f>+D78+D79</f>
        <v>64564534</v>
      </c>
      <c r="E80" s="270">
        <f>+E78+E79</f>
        <v>70610188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/>
  <headerFooter>
    <oddHeader>&amp;L&amp;8OFFICE OF HEALTH CARE ACCESS&amp;C&amp;8TWELVE MONTHS ACTUAL FILING&amp;R&amp;8THE CHARLOTTE HUNGERFORD HOSPITAL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zoomScale="75" zoomScaleSheetLayoutView="75" workbookViewId="0"/>
  </sheetViews>
  <sheetFormatPr defaultRowHeight="12.75" x14ac:dyDescent="0.2"/>
  <cols>
    <col min="1" max="1" width="5.85546875" style="55" customWidth="1"/>
    <col min="2" max="2" width="47.7109375" style="55" customWidth="1"/>
    <col min="3" max="3" width="17.28515625" style="55" customWidth="1"/>
    <col min="4" max="4" width="19.140625" style="55" customWidth="1"/>
    <col min="5" max="7" width="17.28515625" style="55" customWidth="1"/>
    <col min="8" max="9" width="19.140625" style="55" customWidth="1"/>
    <col min="10" max="10" width="14" style="55" bestFit="1" customWidth="1"/>
    <col min="11" max="11" width="15.140625" style="55" customWidth="1"/>
    <col min="12" max="16384" width="9.140625" style="55"/>
  </cols>
  <sheetData>
    <row r="1" spans="1:11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6"/>
      <c r="I1" s="125"/>
      <c r="J1" s="125"/>
    </row>
    <row r="2" spans="1:11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6"/>
      <c r="I2" s="126"/>
      <c r="J2" s="125"/>
      <c r="K2" s="125"/>
    </row>
    <row r="3" spans="1:11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6"/>
      <c r="I3" s="126"/>
      <c r="J3" s="125"/>
      <c r="K3" s="125"/>
    </row>
    <row r="4" spans="1:11" ht="15.75" customHeight="1" x14ac:dyDescent="0.25">
      <c r="A4" s="287"/>
      <c r="B4" s="126"/>
      <c r="C4" s="126"/>
      <c r="D4" s="288" t="s">
        <v>494</v>
      </c>
      <c r="E4" s="126"/>
      <c r="F4" s="126"/>
      <c r="G4" s="126"/>
      <c r="H4" s="126"/>
      <c r="I4" s="126"/>
      <c r="J4" s="125"/>
      <c r="K4" s="125"/>
    </row>
    <row r="5" spans="1:11" ht="15.75" customHeight="1" x14ac:dyDescent="0.25">
      <c r="A5" s="287"/>
      <c r="B5" s="126"/>
      <c r="C5" s="126"/>
      <c r="D5" s="126"/>
      <c r="E5" s="126"/>
      <c r="F5" s="126"/>
      <c r="G5" s="126"/>
      <c r="H5" s="126"/>
      <c r="I5" s="126"/>
      <c r="J5" s="125"/>
      <c r="K5" s="125"/>
    </row>
    <row r="6" spans="1:11" ht="15.75" customHeight="1" x14ac:dyDescent="0.25">
      <c r="A6" s="126">
        <v>-1</v>
      </c>
      <c r="B6" s="126">
        <v>-2</v>
      </c>
      <c r="C6" s="126">
        <v>-3</v>
      </c>
      <c r="D6" s="126" t="s">
        <v>495</v>
      </c>
      <c r="E6" s="126" t="s">
        <v>496</v>
      </c>
      <c r="F6" s="126">
        <v>-4</v>
      </c>
      <c r="G6" s="126">
        <v>-5</v>
      </c>
      <c r="H6" s="126">
        <v>-6</v>
      </c>
      <c r="I6" s="126">
        <v>-7</v>
      </c>
      <c r="J6" s="125"/>
      <c r="K6" s="125"/>
    </row>
    <row r="7" spans="1:11" ht="15.75" customHeight="1" x14ac:dyDescent="0.25">
      <c r="A7" s="287"/>
      <c r="B7" s="126"/>
      <c r="C7" s="126"/>
      <c r="D7" s="126" t="s">
        <v>137</v>
      </c>
      <c r="E7" s="126"/>
      <c r="F7" s="126"/>
      <c r="G7" s="126"/>
      <c r="H7" s="126" t="s">
        <v>497</v>
      </c>
      <c r="I7" s="126" t="s">
        <v>497</v>
      </c>
      <c r="J7" s="125"/>
      <c r="K7" s="289"/>
    </row>
    <row r="8" spans="1:11" ht="15.75" customHeight="1" x14ac:dyDescent="0.25">
      <c r="A8" s="287"/>
      <c r="B8" s="126"/>
      <c r="C8" s="126" t="s">
        <v>498</v>
      </c>
      <c r="D8" s="126" t="s">
        <v>499</v>
      </c>
      <c r="E8" s="126" t="s">
        <v>500</v>
      </c>
      <c r="F8" s="126" t="s">
        <v>501</v>
      </c>
      <c r="G8" s="126" t="s">
        <v>502</v>
      </c>
      <c r="H8" s="126" t="s">
        <v>503</v>
      </c>
      <c r="I8" s="126" t="s">
        <v>504</v>
      </c>
      <c r="J8" s="125"/>
      <c r="K8" s="289"/>
    </row>
    <row r="9" spans="1:11" ht="15.75" customHeight="1" x14ac:dyDescent="0.25">
      <c r="A9" s="290" t="s">
        <v>8</v>
      </c>
      <c r="B9" s="291" t="s">
        <v>9</v>
      </c>
      <c r="C9" s="292" t="s">
        <v>505</v>
      </c>
      <c r="D9" s="292" t="s">
        <v>506</v>
      </c>
      <c r="E9" s="292" t="s">
        <v>507</v>
      </c>
      <c r="F9" s="292" t="s">
        <v>508</v>
      </c>
      <c r="G9" s="292" t="s">
        <v>509</v>
      </c>
      <c r="H9" s="292" t="s">
        <v>508</v>
      </c>
      <c r="I9" s="292" t="s">
        <v>509</v>
      </c>
      <c r="J9" s="125"/>
      <c r="K9" s="56"/>
    </row>
    <row r="10" spans="1:11" ht="15.75" customHeight="1" x14ac:dyDescent="0.25">
      <c r="A10" s="293" t="s">
        <v>507</v>
      </c>
      <c r="B10" s="126"/>
      <c r="C10" s="126"/>
      <c r="D10" s="126"/>
      <c r="E10" s="126"/>
      <c r="F10" s="126"/>
      <c r="G10" s="126"/>
      <c r="H10" s="126"/>
      <c r="I10" s="126"/>
      <c r="J10" s="125"/>
      <c r="K10" s="56"/>
    </row>
    <row r="11" spans="1:11" ht="15" customHeight="1" x14ac:dyDescent="0.2">
      <c r="A11" s="294">
        <v>1</v>
      </c>
      <c r="B11" s="295" t="s">
        <v>510</v>
      </c>
      <c r="C11" s="296">
        <v>19152</v>
      </c>
      <c r="D11" s="296">
        <v>4949</v>
      </c>
      <c r="E11" s="296">
        <v>4989</v>
      </c>
      <c r="F11" s="297">
        <v>53</v>
      </c>
      <c r="G11" s="297">
        <v>73</v>
      </c>
      <c r="H11" s="298">
        <f>IF(F11=0,0,$C11/(F11*365))</f>
        <v>0.99002326182476097</v>
      </c>
      <c r="I11" s="298">
        <f>IF(G11=0,0,$C11/(G11*365))</f>
        <v>0.71878401200975794</v>
      </c>
      <c r="J11" s="125"/>
      <c r="K11" s="299"/>
    </row>
    <row r="12" spans="1:11" ht="15" customHeight="1" thickBot="1" x14ac:dyDescent="0.3">
      <c r="A12" s="294"/>
      <c r="B12" s="141"/>
      <c r="C12" s="296"/>
      <c r="D12" s="89"/>
      <c r="F12" s="298"/>
      <c r="G12" s="298"/>
      <c r="H12" s="298"/>
      <c r="I12" s="298"/>
      <c r="J12" s="125"/>
      <c r="K12" s="299"/>
    </row>
    <row r="13" spans="1:11" ht="15" customHeight="1" x14ac:dyDescent="0.2">
      <c r="A13" s="294">
        <v>2</v>
      </c>
      <c r="B13" s="295" t="s">
        <v>511</v>
      </c>
      <c r="C13" s="296">
        <v>2249</v>
      </c>
      <c r="D13" s="296">
        <v>169</v>
      </c>
      <c r="E13" s="296">
        <v>0</v>
      </c>
      <c r="F13" s="297">
        <v>7</v>
      </c>
      <c r="G13" s="297">
        <v>10</v>
      </c>
      <c r="H13" s="298">
        <f>IF(F13=0,0,$C13/(F13*365))</f>
        <v>0.88023483365949118</v>
      </c>
      <c r="I13" s="298">
        <f>IF(G13=0,0,$C13/(G13*365))</f>
        <v>0.61616438356164382</v>
      </c>
      <c r="J13" s="125"/>
      <c r="K13" s="299"/>
    </row>
    <row r="14" spans="1:11" ht="15" customHeight="1" x14ac:dyDescent="0.2">
      <c r="A14" s="294"/>
      <c r="B14" s="141"/>
      <c r="C14" s="296"/>
      <c r="F14" s="298"/>
      <c r="G14" s="298"/>
      <c r="H14" s="298"/>
      <c r="I14" s="298"/>
      <c r="J14" s="125"/>
      <c r="K14" s="299"/>
    </row>
    <row r="15" spans="1:11" ht="15" customHeight="1" x14ac:dyDescent="0.2">
      <c r="A15" s="294">
        <v>3</v>
      </c>
      <c r="B15" s="295" t="s">
        <v>512</v>
      </c>
      <c r="C15" s="296">
        <v>16</v>
      </c>
      <c r="D15" s="296">
        <v>3</v>
      </c>
      <c r="E15" s="296">
        <v>3</v>
      </c>
      <c r="F15" s="297">
        <v>0</v>
      </c>
      <c r="G15" s="297">
        <v>0</v>
      </c>
      <c r="H15" s="298">
        <f t="shared" ref="H15:I17" si="0">IF(F15=0,0,$C15/(F15*365))</f>
        <v>0</v>
      </c>
      <c r="I15" s="298">
        <f t="shared" si="0"/>
        <v>0</v>
      </c>
      <c r="J15" s="125"/>
      <c r="K15" s="299"/>
    </row>
    <row r="16" spans="1:11" ht="15" customHeight="1" x14ac:dyDescent="0.2">
      <c r="A16" s="294">
        <v>4</v>
      </c>
      <c r="B16" s="295" t="s">
        <v>513</v>
      </c>
      <c r="C16" s="296">
        <v>4205</v>
      </c>
      <c r="D16" s="296">
        <v>696</v>
      </c>
      <c r="E16" s="296">
        <v>697</v>
      </c>
      <c r="F16" s="297">
        <v>14</v>
      </c>
      <c r="G16" s="297">
        <v>17</v>
      </c>
      <c r="H16" s="298">
        <f t="shared" si="0"/>
        <v>0.82289628180039143</v>
      </c>
      <c r="I16" s="298">
        <f t="shared" si="0"/>
        <v>0.67767929089444001</v>
      </c>
      <c r="J16" s="125"/>
      <c r="K16" s="299"/>
    </row>
    <row r="17" spans="1:11" ht="15.75" customHeight="1" x14ac:dyDescent="0.25">
      <c r="A17" s="293"/>
      <c r="B17" s="135" t="s">
        <v>514</v>
      </c>
      <c r="C17" s="300">
        <f>SUM(C15:C16)</f>
        <v>4221</v>
      </c>
      <c r="D17" s="300">
        <f>SUM(D15:D16)</f>
        <v>699</v>
      </c>
      <c r="E17" s="300">
        <f>SUM(E15:E16)</f>
        <v>700</v>
      </c>
      <c r="F17" s="300">
        <f>SUM(F15:F16)</f>
        <v>14</v>
      </c>
      <c r="G17" s="300">
        <f>SUM(G15:G16)</f>
        <v>17</v>
      </c>
      <c r="H17" s="301">
        <f t="shared" si="0"/>
        <v>0.82602739726027397</v>
      </c>
      <c r="I17" s="301">
        <f t="shared" si="0"/>
        <v>0.68025785656728444</v>
      </c>
      <c r="J17" s="125"/>
      <c r="K17" s="299"/>
    </row>
    <row r="18" spans="1:11" ht="15.75" customHeight="1" x14ac:dyDescent="0.25">
      <c r="A18" s="293"/>
      <c r="B18" s="153"/>
      <c r="C18" s="296"/>
      <c r="D18" s="297"/>
      <c r="E18" s="297"/>
      <c r="F18" s="298"/>
      <c r="G18" s="298"/>
      <c r="H18" s="298"/>
      <c r="I18" s="298"/>
      <c r="J18" s="125"/>
      <c r="K18" s="299"/>
    </row>
    <row r="19" spans="1:11" ht="15" customHeight="1" x14ac:dyDescent="0.2">
      <c r="A19" s="294">
        <v>5</v>
      </c>
      <c r="B19" s="295" t="s">
        <v>515</v>
      </c>
      <c r="C19" s="296">
        <v>0</v>
      </c>
      <c r="D19" s="296">
        <v>0</v>
      </c>
      <c r="E19" s="296">
        <v>0</v>
      </c>
      <c r="F19" s="297">
        <v>0</v>
      </c>
      <c r="G19" s="297">
        <v>0</v>
      </c>
      <c r="H19" s="298">
        <f>IF(F19=0,0,$C19/(F19*365))</f>
        <v>0</v>
      </c>
      <c r="I19" s="298">
        <f>IF(G19=0,0,$C19/(G19*365))</f>
        <v>0</v>
      </c>
      <c r="J19" s="125"/>
      <c r="K19" s="299"/>
    </row>
    <row r="20" spans="1:11" ht="15" customHeight="1" x14ac:dyDescent="0.2">
      <c r="A20" s="294"/>
      <c r="B20" s="141"/>
      <c r="F20" s="298"/>
      <c r="G20" s="298"/>
      <c r="H20" s="298"/>
      <c r="I20" s="298"/>
      <c r="J20" s="125"/>
      <c r="K20" s="299"/>
    </row>
    <row r="21" spans="1:11" ht="15" customHeight="1" x14ac:dyDescent="0.2">
      <c r="A21" s="294">
        <v>6</v>
      </c>
      <c r="B21" s="295" t="s">
        <v>516</v>
      </c>
      <c r="C21" s="296">
        <v>836</v>
      </c>
      <c r="D21" s="296">
        <v>366</v>
      </c>
      <c r="E21" s="296">
        <v>366</v>
      </c>
      <c r="F21" s="297">
        <v>3</v>
      </c>
      <c r="G21" s="297">
        <v>7</v>
      </c>
      <c r="H21" s="298">
        <f>IF(F21=0,0,$C21/(F21*365))</f>
        <v>0.76347031963470324</v>
      </c>
      <c r="I21" s="298">
        <f>IF(G21=0,0,$C21/(G21*365))</f>
        <v>0.32720156555772995</v>
      </c>
      <c r="J21" s="125"/>
      <c r="K21" s="299"/>
    </row>
    <row r="22" spans="1:11" ht="15" customHeight="1" x14ac:dyDescent="0.2">
      <c r="A22" s="294"/>
      <c r="B22" s="141"/>
      <c r="F22" s="298"/>
      <c r="G22" s="298"/>
      <c r="H22" s="298"/>
      <c r="I22" s="298"/>
      <c r="J22" s="125"/>
      <c r="K22" s="299"/>
    </row>
    <row r="23" spans="1:11" ht="15" customHeight="1" x14ac:dyDescent="0.2">
      <c r="A23" s="294">
        <v>7</v>
      </c>
      <c r="B23" s="295" t="s">
        <v>517</v>
      </c>
      <c r="C23" s="296">
        <v>791</v>
      </c>
      <c r="D23" s="296">
        <v>368</v>
      </c>
      <c r="E23" s="296">
        <v>367</v>
      </c>
      <c r="F23" s="297">
        <v>3</v>
      </c>
      <c r="G23" s="297">
        <v>13</v>
      </c>
      <c r="H23" s="298">
        <f>IF(F23=0,0,$C23/(F23*365))</f>
        <v>0.72237442922374429</v>
      </c>
      <c r="I23" s="298">
        <f>IF(G23=0,0,$C23/(G23*365))</f>
        <v>0.16670179135932561</v>
      </c>
      <c r="J23" s="125"/>
      <c r="K23" s="299"/>
    </row>
    <row r="24" spans="1:11" ht="15" customHeight="1" x14ac:dyDescent="0.2">
      <c r="A24" s="294"/>
      <c r="B24" s="141"/>
      <c r="F24" s="298"/>
      <c r="G24" s="298"/>
      <c r="H24" s="298"/>
      <c r="I24" s="298"/>
      <c r="J24" s="125"/>
      <c r="K24" s="299"/>
    </row>
    <row r="25" spans="1:11" ht="15" customHeight="1" x14ac:dyDescent="0.2">
      <c r="A25" s="294">
        <v>8</v>
      </c>
      <c r="B25" s="295" t="s">
        <v>295</v>
      </c>
      <c r="C25" s="296">
        <v>0</v>
      </c>
      <c r="D25" s="296">
        <v>0</v>
      </c>
      <c r="E25" s="296">
        <v>0</v>
      </c>
      <c r="F25" s="297">
        <v>0</v>
      </c>
      <c r="G25" s="297">
        <v>0</v>
      </c>
      <c r="H25" s="298">
        <f>IF(F25=0,0,$C25/(F25*365))</f>
        <v>0</v>
      </c>
      <c r="I25" s="298">
        <f>IF(G25=0,0,$C25/(G25*365))</f>
        <v>0</v>
      </c>
      <c r="J25" s="125"/>
      <c r="K25" s="299"/>
    </row>
    <row r="26" spans="1:11" ht="15" customHeight="1" x14ac:dyDescent="0.2">
      <c r="A26" s="294"/>
      <c r="B26" s="141"/>
      <c r="F26" s="298"/>
      <c r="G26" s="298"/>
      <c r="H26" s="298"/>
      <c r="I26" s="298"/>
      <c r="J26" s="125"/>
      <c r="K26" s="299"/>
    </row>
    <row r="27" spans="1:11" ht="15" customHeight="1" x14ac:dyDescent="0.2">
      <c r="A27" s="294">
        <v>9</v>
      </c>
      <c r="B27" s="295" t="s">
        <v>518</v>
      </c>
      <c r="C27" s="296">
        <v>176</v>
      </c>
      <c r="D27" s="296">
        <v>130</v>
      </c>
      <c r="E27" s="296">
        <v>90</v>
      </c>
      <c r="F27" s="297">
        <v>1</v>
      </c>
      <c r="G27" s="297">
        <v>2</v>
      </c>
      <c r="H27" s="298">
        <f>IF(F27=0,0,$C27/(F27*365))</f>
        <v>0.48219178082191783</v>
      </c>
      <c r="I27" s="298">
        <f>IF(G27=0,0,$C27/(G27*365))</f>
        <v>0.24109589041095891</v>
      </c>
      <c r="J27" s="125"/>
      <c r="K27" s="299"/>
    </row>
    <row r="28" spans="1:11" ht="15" customHeight="1" x14ac:dyDescent="0.2">
      <c r="A28" s="294"/>
      <c r="B28" s="141"/>
      <c r="F28" s="298"/>
      <c r="G28" s="298"/>
      <c r="H28" s="298"/>
      <c r="I28" s="298"/>
      <c r="J28" s="125"/>
      <c r="K28" s="299"/>
    </row>
    <row r="29" spans="1:11" ht="15" customHeight="1" x14ac:dyDescent="0.2">
      <c r="A29" s="294">
        <v>10</v>
      </c>
      <c r="B29" s="295" t="s">
        <v>519</v>
      </c>
      <c r="C29" s="296">
        <v>0</v>
      </c>
      <c r="D29" s="296">
        <v>0</v>
      </c>
      <c r="E29" s="296">
        <v>0</v>
      </c>
      <c r="F29" s="297">
        <v>0</v>
      </c>
      <c r="G29" s="297">
        <v>0</v>
      </c>
      <c r="H29" s="298">
        <f>IF(F29=0,0,$C29/(F29*365))</f>
        <v>0</v>
      </c>
      <c r="I29" s="298">
        <f>IF(G29=0,0,$C29/(G29*365))</f>
        <v>0</v>
      </c>
      <c r="J29" s="125"/>
      <c r="K29" s="299"/>
    </row>
    <row r="30" spans="1:11" ht="15.75" customHeight="1" x14ac:dyDescent="0.25">
      <c r="A30" s="293"/>
      <c r="B30" s="153"/>
      <c r="C30" s="296"/>
      <c r="D30" s="297"/>
      <c r="E30" s="297"/>
      <c r="F30" s="298"/>
      <c r="G30" s="298"/>
      <c r="H30" s="298"/>
      <c r="I30" s="298"/>
      <c r="J30" s="125"/>
      <c r="K30" s="299"/>
    </row>
    <row r="31" spans="1:11" ht="15.75" customHeight="1" x14ac:dyDescent="0.25">
      <c r="A31" s="293"/>
      <c r="B31" s="135" t="s">
        <v>520</v>
      </c>
      <c r="C31" s="300">
        <f>SUM(C10:C29)-C17-C23</f>
        <v>26634</v>
      </c>
      <c r="D31" s="300">
        <f>SUM(D10:D29)-D13-D17-D23</f>
        <v>6144</v>
      </c>
      <c r="E31" s="300">
        <f>SUM(E10:E29)-E17-E23</f>
        <v>6145</v>
      </c>
      <c r="F31" s="300">
        <f>SUM(F10:F29)-F17-F23</f>
        <v>78</v>
      </c>
      <c r="G31" s="300">
        <f>SUM(G10:G29)-G17-G23</f>
        <v>109</v>
      </c>
      <c r="H31" s="301">
        <f>IF(F31=0,0,$C31/(F31*365))</f>
        <v>0.93551106427818753</v>
      </c>
      <c r="I31" s="301">
        <f>IF(G31=0,0,$C31/(G31*365))</f>
        <v>0.66944828452934524</v>
      </c>
      <c r="J31" s="125"/>
      <c r="K31" s="299"/>
    </row>
    <row r="32" spans="1:11" ht="15.75" customHeight="1" x14ac:dyDescent="0.25">
      <c r="A32" s="293"/>
      <c r="B32" s="153"/>
      <c r="C32" s="296"/>
      <c r="D32" s="296"/>
      <c r="E32" s="296"/>
      <c r="F32" s="298"/>
      <c r="G32" s="298"/>
      <c r="H32" s="298"/>
      <c r="I32" s="298"/>
      <c r="J32" s="125"/>
      <c r="K32" s="299"/>
    </row>
    <row r="33" spans="1:11" ht="15.75" customHeight="1" x14ac:dyDescent="0.25">
      <c r="A33" s="293"/>
      <c r="B33" s="135" t="s">
        <v>521</v>
      </c>
      <c r="C33" s="300">
        <f>SUM(C10:C29)-C17</f>
        <v>27425</v>
      </c>
      <c r="D33" s="300">
        <f>SUM(D10:D29)-D13-D17</f>
        <v>6512</v>
      </c>
      <c r="E33" s="300">
        <f>SUM(E10:E29)-E17</f>
        <v>6512</v>
      </c>
      <c r="F33" s="300">
        <f>SUM(F10:F29)-F17</f>
        <v>81</v>
      </c>
      <c r="G33" s="300">
        <f>SUM(G10:G29)-G17</f>
        <v>122</v>
      </c>
      <c r="H33" s="301">
        <f>IF(F33=0,0,$C33/(F33*365))</f>
        <v>0.92761711483172671</v>
      </c>
      <c r="I33" s="301">
        <f>IF(G33=0,0,$C33/(G33*365))</f>
        <v>0.61587693689647427</v>
      </c>
      <c r="J33" s="125"/>
      <c r="K33" s="299"/>
    </row>
    <row r="34" spans="1:11" ht="15.75" customHeight="1" x14ac:dyDescent="0.25">
      <c r="A34" s="293"/>
      <c r="B34" s="126"/>
      <c r="C34" s="300"/>
      <c r="D34" s="302"/>
      <c r="E34" s="302"/>
      <c r="F34" s="301"/>
      <c r="G34" s="301"/>
      <c r="H34" s="301"/>
      <c r="I34" s="301"/>
      <c r="J34" s="125"/>
      <c r="K34" s="299"/>
    </row>
    <row r="35" spans="1:11" ht="15.75" customHeight="1" x14ac:dyDescent="0.25">
      <c r="A35" s="293"/>
      <c r="B35" s="126"/>
      <c r="C35" s="300"/>
      <c r="D35" s="302"/>
      <c r="E35" s="302"/>
      <c r="F35" s="301"/>
      <c r="G35" s="301"/>
      <c r="H35" s="301"/>
      <c r="I35" s="301"/>
      <c r="J35" s="125"/>
      <c r="K35" s="299"/>
    </row>
    <row r="36" spans="1:11" ht="15.75" customHeight="1" x14ac:dyDescent="0.25">
      <c r="A36" s="293"/>
      <c r="B36" s="135" t="s">
        <v>522</v>
      </c>
      <c r="C36" s="300">
        <f t="shared" ref="C36:I36" si="1">+C33</f>
        <v>27425</v>
      </c>
      <c r="D36" s="300">
        <f t="shared" si="1"/>
        <v>6512</v>
      </c>
      <c r="E36" s="300">
        <f t="shared" si="1"/>
        <v>6512</v>
      </c>
      <c r="F36" s="300">
        <f t="shared" si="1"/>
        <v>81</v>
      </c>
      <c r="G36" s="300">
        <f t="shared" si="1"/>
        <v>122</v>
      </c>
      <c r="H36" s="301">
        <f t="shared" si="1"/>
        <v>0.92761711483172671</v>
      </c>
      <c r="I36" s="301">
        <f t="shared" si="1"/>
        <v>0.61587693689647427</v>
      </c>
      <c r="J36" s="125"/>
      <c r="K36" s="299"/>
    </row>
    <row r="37" spans="1:11" ht="15.75" customHeight="1" x14ac:dyDescent="0.25">
      <c r="A37" s="293"/>
      <c r="B37" s="135" t="s">
        <v>523</v>
      </c>
      <c r="C37" s="300">
        <v>27979</v>
      </c>
      <c r="D37" s="300">
        <v>0</v>
      </c>
      <c r="E37" s="300">
        <v>0</v>
      </c>
      <c r="F37" s="302">
        <v>81</v>
      </c>
      <c r="G37" s="302">
        <v>122</v>
      </c>
      <c r="H37" s="301">
        <f>IF(F37=0,0,$C37/(F37*365))</f>
        <v>0.94635548790799928</v>
      </c>
      <c r="I37" s="301">
        <f>IF(G37=0,0,$C37/(G37*365))</f>
        <v>0.62831798787334381</v>
      </c>
      <c r="J37" s="125"/>
      <c r="K37" s="299"/>
    </row>
    <row r="38" spans="1:11" ht="15.75" customHeight="1" x14ac:dyDescent="0.25">
      <c r="A38" s="293"/>
      <c r="B38" s="135" t="s">
        <v>524</v>
      </c>
      <c r="C38" s="300">
        <f t="shared" ref="C38:I38" si="2">+C36-C37</f>
        <v>-554</v>
      </c>
      <c r="D38" s="300">
        <f t="shared" si="2"/>
        <v>6512</v>
      </c>
      <c r="E38" s="300">
        <f t="shared" si="2"/>
        <v>6512</v>
      </c>
      <c r="F38" s="300">
        <f t="shared" si="2"/>
        <v>0</v>
      </c>
      <c r="G38" s="300">
        <f t="shared" si="2"/>
        <v>0</v>
      </c>
      <c r="H38" s="301">
        <f t="shared" si="2"/>
        <v>-1.8738373076272574E-2</v>
      </c>
      <c r="I38" s="301">
        <f t="shared" si="2"/>
        <v>-1.2441050976869539E-2</v>
      </c>
      <c r="J38" s="125"/>
      <c r="K38" s="299"/>
    </row>
    <row r="39" spans="1:11" ht="15.75" customHeight="1" x14ac:dyDescent="0.25">
      <c r="A39" s="293"/>
      <c r="B39" s="153"/>
      <c r="C39" s="303"/>
      <c r="D39" s="303"/>
      <c r="E39" s="303"/>
      <c r="F39" s="301"/>
      <c r="G39" s="301"/>
      <c r="H39" s="301"/>
      <c r="I39" s="301"/>
      <c r="J39" s="125"/>
      <c r="K39" s="299"/>
    </row>
    <row r="40" spans="1:11" ht="15.75" customHeight="1" x14ac:dyDescent="0.25">
      <c r="A40" s="293"/>
      <c r="B40" s="135" t="s">
        <v>525</v>
      </c>
      <c r="C40" s="148">
        <f t="shared" ref="C40:I40" si="3">IF(C37=0,0,C38/C37)</f>
        <v>-1.980056470924622E-2</v>
      </c>
      <c r="D40" s="148">
        <f t="shared" si="3"/>
        <v>0</v>
      </c>
      <c r="E40" s="148">
        <f t="shared" si="3"/>
        <v>0</v>
      </c>
      <c r="F40" s="148">
        <f t="shared" si="3"/>
        <v>0</v>
      </c>
      <c r="G40" s="148">
        <f t="shared" si="3"/>
        <v>0</v>
      </c>
      <c r="H40" s="148">
        <f t="shared" si="3"/>
        <v>-1.9800564709246172E-2</v>
      </c>
      <c r="I40" s="148">
        <f t="shared" si="3"/>
        <v>-1.9800564709246241E-2</v>
      </c>
      <c r="J40" s="202"/>
      <c r="K40" s="299"/>
    </row>
    <row r="41" spans="1:11" ht="15.75" customHeight="1" x14ac:dyDescent="0.25">
      <c r="A41" s="200"/>
      <c r="B41" s="200"/>
      <c r="C41" s="200"/>
      <c r="D41" s="200"/>
      <c r="E41" s="200"/>
      <c r="F41" s="200"/>
      <c r="G41" s="200"/>
      <c r="H41" s="200"/>
      <c r="I41" s="200"/>
      <c r="J41" s="125"/>
      <c r="K41" s="299"/>
    </row>
    <row r="42" spans="1:11" ht="15.75" customHeight="1" x14ac:dyDescent="0.25">
      <c r="A42" s="60"/>
      <c r="B42" s="295" t="s">
        <v>526</v>
      </c>
      <c r="C42" s="295">
        <v>122</v>
      </c>
      <c r="D42" s="60"/>
      <c r="E42" s="60"/>
      <c r="F42" s="60"/>
      <c r="G42" s="60"/>
      <c r="H42" s="60"/>
      <c r="I42" s="60"/>
      <c r="J42" s="8"/>
      <c r="K42" s="21"/>
    </row>
    <row r="43" spans="1:11" ht="15.7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8"/>
      <c r="K43" s="21"/>
    </row>
    <row r="44" spans="1:11" ht="15.75" customHeight="1" x14ac:dyDescent="0.25">
      <c r="A44" s="304" t="s">
        <v>527</v>
      </c>
      <c r="B44" s="305"/>
      <c r="C44" s="125"/>
      <c r="D44" s="125"/>
      <c r="E44" s="125"/>
      <c r="F44" s="125"/>
      <c r="G44" s="125"/>
      <c r="H44" s="125"/>
      <c r="I44" s="125"/>
      <c r="J44" s="125"/>
      <c r="K44" s="299"/>
    </row>
    <row r="45" spans="1:11" ht="15.75" customHeight="1" x14ac:dyDescent="0.25">
      <c r="A45" s="304" t="s">
        <v>507</v>
      </c>
      <c r="B45" s="305"/>
      <c r="C45" s="125"/>
      <c r="D45" s="125"/>
      <c r="E45" s="125"/>
      <c r="F45" s="125"/>
      <c r="G45" s="125"/>
      <c r="H45" s="125"/>
      <c r="I45" s="125"/>
      <c r="J45" s="125"/>
      <c r="K45" s="299"/>
    </row>
    <row r="46" spans="1:11" ht="15.75" customHeight="1" x14ac:dyDescent="0.25">
      <c r="A46" s="306"/>
      <c r="B46" s="305"/>
      <c r="C46" s="305"/>
      <c r="D46" s="305"/>
      <c r="E46" s="305"/>
      <c r="F46" s="305"/>
      <c r="G46" s="305"/>
      <c r="H46" s="305"/>
      <c r="I46" s="305"/>
    </row>
    <row r="47" spans="1:11" ht="15" customHeight="1" x14ac:dyDescent="0.25">
      <c r="B47" s="26"/>
      <c r="C47" s="48"/>
    </row>
  </sheetData>
  <printOptions horizontalCentered="1" gridLines="1"/>
  <pageMargins left="0.5" right="0.5" top="0.5" bottom="0.5" header="0.25" footer="0.25"/>
  <pageSetup paperSize="9" scale="76" orientation="landscape" horizontalDpi="1200" verticalDpi="1200"/>
  <headerFooter>
    <oddHeader>&amp;LOFFICE OF HEALTH CARE ACCESS&amp;CTWELVE MONTHS ACTUAL FILING&amp;RCHARLOTTE HUNGERFORD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528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529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530</v>
      </c>
      <c r="C12" s="296">
        <v>3589</v>
      </c>
      <c r="D12" s="296">
        <v>3577</v>
      </c>
      <c r="E12" s="296">
        <f>+D12-C12</f>
        <v>-12</v>
      </c>
      <c r="F12" s="316">
        <f>IF(C12=0,0,+E12/C12)</f>
        <v>-3.3435497353023124E-3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531</v>
      </c>
      <c r="C13" s="296">
        <v>3004</v>
      </c>
      <c r="D13" s="296">
        <v>3998</v>
      </c>
      <c r="E13" s="296">
        <f>+D13-C13</f>
        <v>994</v>
      </c>
      <c r="F13" s="316">
        <f>IF(C13=0,0,+E13/C13)</f>
        <v>0.33089214380825566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532</v>
      </c>
      <c r="C14" s="296">
        <v>6193</v>
      </c>
      <c r="D14" s="296">
        <v>5343</v>
      </c>
      <c r="E14" s="296">
        <f>+D14-C14</f>
        <v>-850</v>
      </c>
      <c r="F14" s="316">
        <f>IF(C14=0,0,+E14/C14)</f>
        <v>-0.13725173583077668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533</v>
      </c>
      <c r="C15" s="296">
        <v>1717</v>
      </c>
      <c r="D15" s="296">
        <v>1740</v>
      </c>
      <c r="E15" s="296">
        <f>+D15-C15</f>
        <v>23</v>
      </c>
      <c r="F15" s="316">
        <f>IF(C15=0,0,+E15/C15)</f>
        <v>1.3395457192778102E-2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534</v>
      </c>
      <c r="C16" s="300">
        <f>SUM(C12:C15)</f>
        <v>14503</v>
      </c>
      <c r="D16" s="300">
        <f>SUM(D12:D15)</f>
        <v>14658</v>
      </c>
      <c r="E16" s="300">
        <f>+D16-C16</f>
        <v>155</v>
      </c>
      <c r="F16" s="309">
        <f>IF(C16=0,0,+E16/C16)</f>
        <v>1.0687443977108184E-2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535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530</v>
      </c>
      <c r="C19" s="296">
        <v>429</v>
      </c>
      <c r="D19" s="296">
        <v>389</v>
      </c>
      <c r="E19" s="296">
        <f>+D19-C19</f>
        <v>-40</v>
      </c>
      <c r="F19" s="316">
        <f>IF(C19=0,0,+E19/C19)</f>
        <v>-9.3240093240093247E-2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531</v>
      </c>
      <c r="C20" s="296">
        <v>335</v>
      </c>
      <c r="D20" s="296">
        <v>449</v>
      </c>
      <c r="E20" s="296">
        <f>+D20-C20</f>
        <v>114</v>
      </c>
      <c r="F20" s="316">
        <f>IF(C20=0,0,+E20/C20)</f>
        <v>0.34029850746268658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532</v>
      </c>
      <c r="C21" s="296">
        <v>86</v>
      </c>
      <c r="D21" s="296">
        <v>119</v>
      </c>
      <c r="E21" s="296">
        <f>+D21-C21</f>
        <v>33</v>
      </c>
      <c r="F21" s="316">
        <f>IF(C21=0,0,+E21/C21)</f>
        <v>0.38372093023255816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533</v>
      </c>
      <c r="C22" s="296">
        <v>5584</v>
      </c>
      <c r="D22" s="296">
        <v>5523</v>
      </c>
      <c r="E22" s="296">
        <f>+D22-C22</f>
        <v>-61</v>
      </c>
      <c r="F22" s="316">
        <f>IF(C22=0,0,+E22/C22)</f>
        <v>-1.092406876790831E-2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536</v>
      </c>
      <c r="C23" s="300">
        <f>SUM(C19:C22)</f>
        <v>6434</v>
      </c>
      <c r="D23" s="300">
        <f>SUM(D19:D22)</f>
        <v>6480</v>
      </c>
      <c r="E23" s="300">
        <f>+D23-C23</f>
        <v>46</v>
      </c>
      <c r="F23" s="309">
        <f>IF(C23=0,0,+E23/C23)</f>
        <v>7.1495181846440783E-3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537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530</v>
      </c>
      <c r="C26" s="296">
        <v>0</v>
      </c>
      <c r="D26" s="296">
        <v>0</v>
      </c>
      <c r="E26" s="296">
        <f>+D26-C26</f>
        <v>0</v>
      </c>
      <c r="F26" s="316">
        <f>IF(C26=0,0,+E26/C26)</f>
        <v>0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531</v>
      </c>
      <c r="C27" s="296">
        <v>60</v>
      </c>
      <c r="D27" s="296">
        <v>57</v>
      </c>
      <c r="E27" s="296">
        <f>+D27-C27</f>
        <v>-3</v>
      </c>
      <c r="F27" s="316">
        <f>IF(C27=0,0,+E27/C27)</f>
        <v>-0.05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532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533</v>
      </c>
      <c r="C29" s="296">
        <v>377</v>
      </c>
      <c r="D29" s="296">
        <v>311</v>
      </c>
      <c r="E29" s="296">
        <f>+D29-C29</f>
        <v>-66</v>
      </c>
      <c r="F29" s="316">
        <f>IF(C29=0,0,+E29/C29)</f>
        <v>-0.17506631299734748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538</v>
      </c>
      <c r="C30" s="300">
        <f>SUM(C26:C29)</f>
        <v>437</v>
      </c>
      <c r="D30" s="300">
        <f>SUM(D26:D29)</f>
        <v>368</v>
      </c>
      <c r="E30" s="300">
        <f>+D30-C30</f>
        <v>-69</v>
      </c>
      <c r="F30" s="309">
        <f>IF(C30=0,0,+E30/C30)</f>
        <v>-0.15789473684210525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321</v>
      </c>
      <c r="B32" s="291" t="s">
        <v>539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530</v>
      </c>
      <c r="C33" s="296">
        <v>0</v>
      </c>
      <c r="D33" s="296">
        <v>0</v>
      </c>
      <c r="E33" s="296">
        <f>+D33-C33</f>
        <v>0</v>
      </c>
      <c r="F33" s="316">
        <f>IF(C33=0,0,+E33/C33)</f>
        <v>0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531</v>
      </c>
      <c r="C34" s="296">
        <v>0</v>
      </c>
      <c r="D34" s="296">
        <v>0</v>
      </c>
      <c r="E34" s="296">
        <f>+D34-C34</f>
        <v>0</v>
      </c>
      <c r="F34" s="316">
        <f>IF(C34=0,0,+E34/C34)</f>
        <v>0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532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533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540</v>
      </c>
      <c r="C37" s="300">
        <f>SUM(C33:C36)</f>
        <v>0</v>
      </c>
      <c r="D37" s="300">
        <f>SUM(D33:D36)</f>
        <v>0</v>
      </c>
      <c r="E37" s="300">
        <f>+D37-C37</f>
        <v>0</v>
      </c>
      <c r="F37" s="309">
        <f>IF(C37=0,0,+E37/C37)</f>
        <v>0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541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542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342</v>
      </c>
      <c r="B42" s="291" t="s">
        <v>543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544</v>
      </c>
      <c r="C43" s="296">
        <v>63</v>
      </c>
      <c r="D43" s="296">
        <v>67</v>
      </c>
      <c r="E43" s="296">
        <f>+D43-C43</f>
        <v>4</v>
      </c>
      <c r="F43" s="316">
        <f>IF(C43=0,0,+E43/C43)</f>
        <v>6.3492063492063489E-2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545</v>
      </c>
      <c r="C44" s="296">
        <v>4649</v>
      </c>
      <c r="D44" s="296">
        <v>4439</v>
      </c>
      <c r="E44" s="296">
        <f>+D44-C44</f>
        <v>-210</v>
      </c>
      <c r="F44" s="316">
        <f>IF(C44=0,0,+E44/C44)</f>
        <v>-4.5171004517100453E-2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546</v>
      </c>
      <c r="C45" s="300">
        <f>SUM(C43:C44)</f>
        <v>4712</v>
      </c>
      <c r="D45" s="300">
        <f>SUM(D43:D44)</f>
        <v>4506</v>
      </c>
      <c r="E45" s="300">
        <f>+D45-C45</f>
        <v>-206</v>
      </c>
      <c r="F45" s="309">
        <f>IF(C45=0,0,+E45/C45)</f>
        <v>-4.3718166383701192E-2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354</v>
      </c>
      <c r="B47" s="291" t="s">
        <v>547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544</v>
      </c>
      <c r="C48" s="296">
        <v>0</v>
      </c>
      <c r="D48" s="296">
        <v>0</v>
      </c>
      <c r="E48" s="296">
        <f>+D48-C48</f>
        <v>0</v>
      </c>
      <c r="F48" s="316">
        <f>IF(C48=0,0,+E48/C48)</f>
        <v>0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545</v>
      </c>
      <c r="C49" s="296">
        <v>0</v>
      </c>
      <c r="D49" s="296">
        <v>0</v>
      </c>
      <c r="E49" s="296">
        <f>+D49-C49</f>
        <v>0</v>
      </c>
      <c r="F49" s="316">
        <f>IF(C49=0,0,+E49/C49)</f>
        <v>0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548</v>
      </c>
      <c r="C50" s="300">
        <f>SUM(C48:C49)</f>
        <v>0</v>
      </c>
      <c r="D50" s="300">
        <f>SUM(D48:D49)</f>
        <v>0</v>
      </c>
      <c r="E50" s="300">
        <f>+D50-C50</f>
        <v>0</v>
      </c>
      <c r="F50" s="309">
        <f>IF(C50=0,0,+E50/C50)</f>
        <v>0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366</v>
      </c>
      <c r="B52" s="291" t="s">
        <v>549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550</v>
      </c>
      <c r="C53" s="296">
        <v>0</v>
      </c>
      <c r="D53" s="296">
        <v>0</v>
      </c>
      <c r="E53" s="296">
        <f>+D53-C53</f>
        <v>0</v>
      </c>
      <c r="F53" s="316">
        <f>IF(C53=0,0,+E53/C53)</f>
        <v>0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551</v>
      </c>
      <c r="C54" s="296">
        <v>0</v>
      </c>
      <c r="D54" s="296">
        <v>0</v>
      </c>
      <c r="E54" s="296">
        <f>+D54-C54</f>
        <v>0</v>
      </c>
      <c r="F54" s="316">
        <f>IF(C54=0,0,+E54/C54)</f>
        <v>0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552</v>
      </c>
      <c r="C55" s="300">
        <f>SUM(C53:C54)</f>
        <v>0</v>
      </c>
      <c r="D55" s="300">
        <f>SUM(D53:D54)</f>
        <v>0</v>
      </c>
      <c r="E55" s="300">
        <f>+D55-C55</f>
        <v>0</v>
      </c>
      <c r="F55" s="309">
        <f>IF(C55=0,0,+E55/C55)</f>
        <v>0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370</v>
      </c>
      <c r="B57" s="291" t="s">
        <v>553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554</v>
      </c>
      <c r="C58" s="296">
        <v>0</v>
      </c>
      <c r="D58" s="296">
        <v>0</v>
      </c>
      <c r="E58" s="296">
        <f>+D58-C58</f>
        <v>0</v>
      </c>
      <c r="F58" s="316">
        <f>IF(C58=0,0,+E58/C58)</f>
        <v>0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555</v>
      </c>
      <c r="C59" s="296">
        <v>0</v>
      </c>
      <c r="D59" s="296">
        <v>0</v>
      </c>
      <c r="E59" s="296">
        <f>+D59-C59</f>
        <v>0</v>
      </c>
      <c r="F59" s="316">
        <f>IF(C59=0,0,+E59/C59)</f>
        <v>0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556</v>
      </c>
      <c r="C60" s="300">
        <f>SUM(C58:C59)</f>
        <v>0</v>
      </c>
      <c r="D60" s="300">
        <f>SUM(D58:D59)</f>
        <v>0</v>
      </c>
      <c r="E60" s="300">
        <f>SUM(E58:E59)</f>
        <v>0</v>
      </c>
      <c r="F60" s="309">
        <f>IF(C60=0,0,+E60/C60)</f>
        <v>0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557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558</v>
      </c>
      <c r="C63" s="296">
        <v>1245</v>
      </c>
      <c r="D63" s="296">
        <v>1270</v>
      </c>
      <c r="E63" s="296">
        <f>+D63-C63</f>
        <v>25</v>
      </c>
      <c r="F63" s="316">
        <f>IF(C63=0,0,+E63/C63)</f>
        <v>2.0080321285140562E-2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559</v>
      </c>
      <c r="C64" s="296">
        <v>2786</v>
      </c>
      <c r="D64" s="296">
        <v>2755</v>
      </c>
      <c r="E64" s="296">
        <f>+D64-C64</f>
        <v>-31</v>
      </c>
      <c r="F64" s="316">
        <f>IF(C64=0,0,+E64/C64)</f>
        <v>-1.1127063890882987E-2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560</v>
      </c>
      <c r="C65" s="300">
        <f>SUM(C63:C64)</f>
        <v>4031</v>
      </c>
      <c r="D65" s="300">
        <f>SUM(D63:D64)</f>
        <v>4025</v>
      </c>
      <c r="E65" s="300">
        <f>+D65-C65</f>
        <v>-6</v>
      </c>
      <c r="F65" s="309">
        <f>IF(C65=0,0,+E65/C65)</f>
        <v>-1.4884644008930786E-3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396</v>
      </c>
      <c r="B67" s="291" t="s">
        <v>561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562</v>
      </c>
      <c r="C68" s="296">
        <v>336</v>
      </c>
      <c r="D68" s="296">
        <v>335</v>
      </c>
      <c r="E68" s="296">
        <f>+D68-C68</f>
        <v>-1</v>
      </c>
      <c r="F68" s="316">
        <f>IF(C68=0,0,+E68/C68)</f>
        <v>-2.976190476190476E-3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563</v>
      </c>
      <c r="C69" s="296">
        <v>690</v>
      </c>
      <c r="D69" s="296">
        <v>616</v>
      </c>
      <c r="E69" s="296">
        <f>+D69-C69</f>
        <v>-74</v>
      </c>
      <c r="F69" s="318">
        <f>IF(C69=0,0,+E69/C69)</f>
        <v>-0.1072463768115942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564</v>
      </c>
      <c r="C70" s="300">
        <f>SUM(C68:C69)</f>
        <v>1026</v>
      </c>
      <c r="D70" s="300">
        <f>SUM(D68:D69)</f>
        <v>951</v>
      </c>
      <c r="E70" s="300">
        <f>+D70-C70</f>
        <v>-75</v>
      </c>
      <c r="F70" s="309">
        <f>IF(C70=0,0,+E70/C70)</f>
        <v>-7.3099415204678359E-2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412</v>
      </c>
      <c r="B72" s="291" t="s">
        <v>565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566</v>
      </c>
      <c r="C73" s="319">
        <v>4589</v>
      </c>
      <c r="D73" s="319">
        <v>5055</v>
      </c>
      <c r="E73" s="296">
        <f>+D73-C73</f>
        <v>466</v>
      </c>
      <c r="F73" s="316">
        <f>IF(C73=0,0,+E73/C73)</f>
        <v>0.10154717803443016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567</v>
      </c>
      <c r="C74" s="319">
        <v>34004</v>
      </c>
      <c r="D74" s="319">
        <v>34480</v>
      </c>
      <c r="E74" s="296">
        <f>+D74-C74</f>
        <v>476</v>
      </c>
      <c r="F74" s="316">
        <f>IF(C74=0,0,+E74/C74)</f>
        <v>1.3998353134925303E-2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428</v>
      </c>
      <c r="C75" s="300">
        <f>SUM(C73:C74)</f>
        <v>38593</v>
      </c>
      <c r="D75" s="300">
        <f>SUM(D73:D74)</f>
        <v>39535</v>
      </c>
      <c r="E75" s="300">
        <f>SUM(E73:E74)</f>
        <v>942</v>
      </c>
      <c r="F75" s="309">
        <f>IF(C75=0,0,+E75/C75)</f>
        <v>2.4408571502604098E-2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421</v>
      </c>
      <c r="B78" s="291" t="s">
        <v>568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569</v>
      </c>
      <c r="C79" s="319">
        <v>4282</v>
      </c>
      <c r="D79" s="319">
        <v>4618</v>
      </c>
      <c r="E79" s="296">
        <f t="shared" ref="E79:E84" si="0">+D79-C79</f>
        <v>336</v>
      </c>
      <c r="F79" s="316">
        <f t="shared" ref="F79:F84" si="1">IF(C79=0,0,+E79/C79)</f>
        <v>7.8468005604857546E-2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570</v>
      </c>
      <c r="C80" s="319">
        <v>0</v>
      </c>
      <c r="D80" s="319">
        <v>0</v>
      </c>
      <c r="E80" s="296">
        <f t="shared" si="0"/>
        <v>0</v>
      </c>
      <c r="F80" s="316">
        <f t="shared" si="1"/>
        <v>0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571</v>
      </c>
      <c r="C81" s="319">
        <v>31902</v>
      </c>
      <c r="D81" s="319">
        <v>32937</v>
      </c>
      <c r="E81" s="296">
        <f t="shared" si="0"/>
        <v>1035</v>
      </c>
      <c r="F81" s="316">
        <f t="shared" si="1"/>
        <v>3.2443107015234153E-2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572</v>
      </c>
      <c r="C82" s="319">
        <v>11519</v>
      </c>
      <c r="D82" s="319">
        <v>14385</v>
      </c>
      <c r="E82" s="296">
        <f t="shared" si="0"/>
        <v>2866</v>
      </c>
      <c r="F82" s="316">
        <f t="shared" si="1"/>
        <v>0.24880631999305494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573</v>
      </c>
      <c r="C83" s="319">
        <v>9446</v>
      </c>
      <c r="D83" s="319">
        <v>17730</v>
      </c>
      <c r="E83" s="296">
        <f t="shared" si="0"/>
        <v>8284</v>
      </c>
      <c r="F83" s="316">
        <f t="shared" si="1"/>
        <v>0.87698496718187591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574</v>
      </c>
      <c r="C84" s="320">
        <f>SUM(C79:C83)</f>
        <v>57149</v>
      </c>
      <c r="D84" s="320">
        <f>SUM(D79:D83)</f>
        <v>69670</v>
      </c>
      <c r="E84" s="300">
        <f t="shared" si="0"/>
        <v>12521</v>
      </c>
      <c r="F84" s="309">
        <f t="shared" si="1"/>
        <v>0.21909394740065444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424</v>
      </c>
      <c r="B86" s="291" t="s">
        <v>575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576</v>
      </c>
      <c r="C87" s="322">
        <v>3807</v>
      </c>
      <c r="D87" s="322">
        <v>5938</v>
      </c>
      <c r="E87" s="323">
        <f t="shared" ref="E87:E92" si="2">+D87-C87</f>
        <v>2131</v>
      </c>
      <c r="F87" s="318">
        <f t="shared" ref="F87:F92" si="3">IF(C87=0,0,+E87/C87)</f>
        <v>0.55975833990018387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263</v>
      </c>
      <c r="C88" s="322">
        <v>3529</v>
      </c>
      <c r="D88" s="322">
        <v>3381</v>
      </c>
      <c r="E88" s="296">
        <f t="shared" si="2"/>
        <v>-148</v>
      </c>
      <c r="F88" s="316">
        <f t="shared" si="3"/>
        <v>-4.1938226126381414E-2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577</v>
      </c>
      <c r="C89" s="322">
        <v>194</v>
      </c>
      <c r="D89" s="322">
        <v>139</v>
      </c>
      <c r="E89" s="296">
        <f t="shared" si="2"/>
        <v>-55</v>
      </c>
      <c r="F89" s="316">
        <f t="shared" si="3"/>
        <v>-0.28350515463917525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578</v>
      </c>
      <c r="C90" s="322">
        <v>1204</v>
      </c>
      <c r="D90" s="322">
        <v>1049</v>
      </c>
      <c r="E90" s="296">
        <f t="shared" si="2"/>
        <v>-155</v>
      </c>
      <c r="F90" s="316">
        <f t="shared" si="3"/>
        <v>-0.12873754152823921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579</v>
      </c>
      <c r="C91" s="322">
        <v>108910</v>
      </c>
      <c r="D91" s="322">
        <v>116646</v>
      </c>
      <c r="E91" s="296">
        <f t="shared" si="2"/>
        <v>7736</v>
      </c>
      <c r="F91" s="316">
        <f t="shared" si="3"/>
        <v>7.1031126618308696E-2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580</v>
      </c>
      <c r="C92" s="320">
        <f>SUM(C87:C91)</f>
        <v>117644</v>
      </c>
      <c r="D92" s="320">
        <f>SUM(D87:D91)</f>
        <v>127153</v>
      </c>
      <c r="E92" s="300">
        <f t="shared" si="2"/>
        <v>9509</v>
      </c>
      <c r="F92" s="309">
        <f t="shared" si="3"/>
        <v>8.0828601543640133E-2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581</v>
      </c>
      <c r="B95" s="291" t="s">
        <v>582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583</v>
      </c>
      <c r="C96" s="325">
        <v>286.89999999999998</v>
      </c>
      <c r="D96" s="325">
        <v>295.3</v>
      </c>
      <c r="E96" s="326">
        <f>+D96-C96</f>
        <v>8.4000000000000341</v>
      </c>
      <c r="F96" s="316">
        <f>IF(C96=0,0,+E96/C96)</f>
        <v>2.9278494248867321E-2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584</v>
      </c>
      <c r="C97" s="325">
        <v>24.1</v>
      </c>
      <c r="D97" s="325">
        <v>26.3</v>
      </c>
      <c r="E97" s="326">
        <f>+D97-C97</f>
        <v>2.1999999999999993</v>
      </c>
      <c r="F97" s="316">
        <f>IF(C97=0,0,+E97/C97)</f>
        <v>9.1286307053941876E-2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585</v>
      </c>
      <c r="C98" s="325">
        <v>402.2</v>
      </c>
      <c r="D98" s="325">
        <v>422.7</v>
      </c>
      <c r="E98" s="326">
        <f>+D98-C98</f>
        <v>20.5</v>
      </c>
      <c r="F98" s="316">
        <f>IF(C98=0,0,+E98/C98)</f>
        <v>5.0969666832421684E-2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586</v>
      </c>
      <c r="C99" s="327">
        <f>SUM(C96:C98)</f>
        <v>713.2</v>
      </c>
      <c r="D99" s="327">
        <f>SUM(D96:D98)</f>
        <v>744.3</v>
      </c>
      <c r="E99" s="327">
        <f>+D99-C99</f>
        <v>31.099999999999909</v>
      </c>
      <c r="F99" s="309">
        <f>IF(C99=0,0,+E99/C99)</f>
        <v>4.3606281547952756E-2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/>
  <headerFooter>
    <oddHeader>&amp;LOFFICE OF HEALTH CARE ACCESS&amp;CTWELVE MONTHS ACTUAL FILING&amp;RCHARLOTTE HUNGERFORD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zoomScale="75" zoomScaleSheetLayoutView="90" workbookViewId="0">
      <selection sqref="A1:F1"/>
    </sheetView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587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559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588</v>
      </c>
      <c r="C12" s="296">
        <v>2786</v>
      </c>
      <c r="D12" s="296">
        <v>2755</v>
      </c>
      <c r="E12" s="296">
        <f>+D12-C12</f>
        <v>-31</v>
      </c>
      <c r="F12" s="316">
        <f>IF(C12=0,0,+E12/C12)</f>
        <v>-1.1127063890882987E-2</v>
      </c>
    </row>
    <row r="13" spans="1:16" ht="15.75" customHeight="1" x14ac:dyDescent="0.25">
      <c r="A13" s="294"/>
      <c r="B13" s="135" t="s">
        <v>589</v>
      </c>
      <c r="C13" s="300">
        <f>SUM(C11:C12)</f>
        <v>2786</v>
      </c>
      <c r="D13" s="300">
        <f>SUM(D11:D12)</f>
        <v>2755</v>
      </c>
      <c r="E13" s="300">
        <f>+D13-C13</f>
        <v>-31</v>
      </c>
      <c r="F13" s="309">
        <f>IF(C13=0,0,+E13/C13)</f>
        <v>-1.1127063890882987E-2</v>
      </c>
    </row>
    <row r="14" spans="1:16" ht="15.75" customHeight="1" x14ac:dyDescent="0.25">
      <c r="A14" s="293"/>
      <c r="B14" s="135"/>
      <c r="C14" s="300"/>
      <c r="D14" s="300"/>
      <c r="E14" s="300"/>
      <c r="F14" s="309"/>
    </row>
    <row r="15" spans="1:16" ht="15.75" customHeight="1" x14ac:dyDescent="0.25">
      <c r="A15" s="293" t="s">
        <v>124</v>
      </c>
      <c r="B15" s="291" t="s">
        <v>563</v>
      </c>
      <c r="C15" s="296"/>
      <c r="D15" s="296"/>
      <c r="E15" s="296"/>
      <c r="F15" s="316"/>
    </row>
    <row r="16" spans="1:16" ht="15.75" customHeight="1" x14ac:dyDescent="0.2">
      <c r="A16" s="294">
        <v>1</v>
      </c>
      <c r="B16" s="295" t="s">
        <v>588</v>
      </c>
      <c r="C16" s="296">
        <v>690</v>
      </c>
      <c r="D16" s="296">
        <v>616</v>
      </c>
      <c r="E16" s="296">
        <f>+D16-C16</f>
        <v>-74</v>
      </c>
      <c r="F16" s="316">
        <f>IF(C16=0,0,+E16/C16)</f>
        <v>-0.1072463768115942</v>
      </c>
    </row>
    <row r="17" spans="1:6" ht="15.75" customHeight="1" x14ac:dyDescent="0.25">
      <c r="A17" s="294"/>
      <c r="B17" s="135" t="s">
        <v>590</v>
      </c>
      <c r="C17" s="300">
        <f>SUM(C15:C16)</f>
        <v>690</v>
      </c>
      <c r="D17" s="300">
        <f>SUM(D15:D16)</f>
        <v>616</v>
      </c>
      <c r="E17" s="300">
        <f>+D17-C17</f>
        <v>-74</v>
      </c>
      <c r="F17" s="309">
        <f>IF(C17=0,0,+E17/C17)</f>
        <v>-0.1072463768115942</v>
      </c>
    </row>
    <row r="18" spans="1:6" ht="15.75" customHeight="1" x14ac:dyDescent="0.25">
      <c r="A18" s="293"/>
      <c r="B18" s="135"/>
      <c r="C18" s="300"/>
      <c r="D18" s="300"/>
      <c r="E18" s="300"/>
      <c r="F18" s="309"/>
    </row>
    <row r="19" spans="1:6" ht="15.75" customHeight="1" x14ac:dyDescent="0.25">
      <c r="A19" s="293" t="s">
        <v>141</v>
      </c>
      <c r="B19" s="291" t="s">
        <v>591</v>
      </c>
      <c r="C19" s="296"/>
      <c r="D19" s="296"/>
      <c r="E19" s="296"/>
      <c r="F19" s="316"/>
    </row>
    <row r="20" spans="1:6" ht="15.75" customHeight="1" x14ac:dyDescent="0.2">
      <c r="A20" s="294">
        <v>1</v>
      </c>
      <c r="B20" s="295" t="s">
        <v>588</v>
      </c>
      <c r="C20" s="296">
        <v>27446</v>
      </c>
      <c r="D20" s="296">
        <v>28141</v>
      </c>
      <c r="E20" s="296">
        <f>+D20-C20</f>
        <v>695</v>
      </c>
      <c r="F20" s="316">
        <f>IF(C20=0,0,+E20/C20)</f>
        <v>2.5322451359032282E-2</v>
      </c>
    </row>
    <row r="21" spans="1:6" ht="15.75" customHeight="1" x14ac:dyDescent="0.2">
      <c r="A21" s="294">
        <v>2</v>
      </c>
      <c r="B21" s="295" t="s">
        <v>592</v>
      </c>
      <c r="C21" s="296">
        <v>6558</v>
      </c>
      <c r="D21" s="296">
        <v>6339</v>
      </c>
      <c r="E21" s="296">
        <f>+D21-C21</f>
        <v>-219</v>
      </c>
      <c r="F21" s="316">
        <f>IF(C21=0,0,+E21/C21)</f>
        <v>-3.3394327538883807E-2</v>
      </c>
    </row>
    <row r="22" spans="1:6" ht="15.75" customHeight="1" x14ac:dyDescent="0.25">
      <c r="A22" s="294"/>
      <c r="B22" s="135" t="s">
        <v>593</v>
      </c>
      <c r="C22" s="300">
        <f>SUM(C19:C21)</f>
        <v>34004</v>
      </c>
      <c r="D22" s="300">
        <f>SUM(D19:D21)</f>
        <v>34480</v>
      </c>
      <c r="E22" s="300">
        <f>+D22-C22</f>
        <v>476</v>
      </c>
      <c r="F22" s="309">
        <f>IF(C22=0,0,+E22/C22)</f>
        <v>1.3998353134925303E-2</v>
      </c>
    </row>
    <row r="23" spans="1:6" ht="15.75" customHeight="1" x14ac:dyDescent="0.25">
      <c r="A23" s="293"/>
      <c r="B23" s="135"/>
      <c r="C23" s="300"/>
      <c r="D23" s="300"/>
      <c r="E23" s="300"/>
      <c r="F23" s="309"/>
    </row>
    <row r="24" spans="1:6" ht="15.75" customHeight="1" x14ac:dyDescent="0.25">
      <c r="B24" s="699" t="s">
        <v>594</v>
      </c>
      <c r="C24" s="700"/>
      <c r="D24" s="700"/>
      <c r="E24" s="700"/>
      <c r="F24" s="701"/>
    </row>
    <row r="25" spans="1:6" ht="15.75" customHeight="1" x14ac:dyDescent="0.25">
      <c r="A25" s="293"/>
      <c r="B25" s="135"/>
      <c r="C25" s="300"/>
      <c r="D25" s="300"/>
      <c r="E25" s="300"/>
      <c r="F25" s="309"/>
    </row>
    <row r="26" spans="1:6" ht="15.75" customHeight="1" x14ac:dyDescent="0.25">
      <c r="B26" s="699" t="s">
        <v>595</v>
      </c>
      <c r="C26" s="700"/>
      <c r="D26" s="700"/>
      <c r="E26" s="700"/>
      <c r="F26" s="701"/>
    </row>
    <row r="27" spans="1:6" ht="15.75" customHeight="1" x14ac:dyDescent="0.25">
      <c r="A27" s="293"/>
      <c r="B27" s="135"/>
      <c r="C27" s="300"/>
      <c r="D27" s="300"/>
      <c r="E27" s="300"/>
      <c r="F27" s="309"/>
    </row>
    <row r="28" spans="1:6" ht="15.75" customHeight="1" x14ac:dyDescent="0.25">
      <c r="B28" s="699" t="s">
        <v>596</v>
      </c>
      <c r="C28" s="700"/>
      <c r="D28" s="700"/>
      <c r="E28" s="700"/>
      <c r="F28" s="701"/>
    </row>
    <row r="29" spans="1:6" ht="15.75" customHeight="1" x14ac:dyDescent="0.25">
      <c r="A29" s="293"/>
      <c r="B29" s="135"/>
      <c r="C29" s="300"/>
      <c r="D29" s="300"/>
      <c r="E29" s="300"/>
      <c r="F29" s="309"/>
    </row>
  </sheetData>
  <mergeCells count="7">
    <mergeCell ref="B28:F28"/>
    <mergeCell ref="A1:F1"/>
    <mergeCell ref="A2:F2"/>
    <mergeCell ref="A3:F3"/>
    <mergeCell ref="A4:F4"/>
    <mergeCell ref="B24:F24"/>
    <mergeCell ref="B26:F26"/>
  </mergeCells>
  <printOptions gridLines="1"/>
  <pageMargins left="0.25" right="0.25" top="0.5" bottom="0.5" header="0.25" footer="0.25"/>
  <pageSetup paperSize="9" scale="80" orientation="portrait" horizontalDpi="1200" verticalDpi="1200"/>
  <headerFooter>
    <oddHeader>&amp;LOFFICE OF HEALTH CARE ACCESS&amp;CTWELVE MONTHS ACTUAL FILING&amp;RCHARLOTTE HUNGERFORD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SheetLayoutView="80" workbookViewId="0">
      <selection sqref="A1:F1"/>
    </sheetView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597</v>
      </c>
      <c r="B2" s="704"/>
      <c r="C2" s="704"/>
      <c r="D2" s="704"/>
      <c r="E2" s="704"/>
      <c r="F2" s="705"/>
    </row>
    <row r="3" spans="1:21" ht="15.75" customHeight="1" x14ac:dyDescent="0.25">
      <c r="A3" s="703" t="s">
        <v>598</v>
      </c>
      <c r="B3" s="704"/>
      <c r="C3" s="704"/>
      <c r="D3" s="704"/>
      <c r="E3" s="704"/>
      <c r="F3" s="705"/>
    </row>
    <row r="4" spans="1:21" ht="15.75" customHeight="1" x14ac:dyDescent="0.25">
      <c r="A4" s="706" t="s">
        <v>599</v>
      </c>
      <c r="B4" s="707"/>
      <c r="C4" s="707"/>
      <c r="D4" s="707"/>
      <c r="E4" s="707"/>
      <c r="F4" s="708"/>
    </row>
    <row r="5" spans="1:21" ht="15.75" customHeight="1" x14ac:dyDescent="0.25">
      <c r="A5" s="706" t="s">
        <v>600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601</v>
      </c>
      <c r="D7" s="341" t="s">
        <v>601</v>
      </c>
      <c r="E7" s="341" t="s">
        <v>602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603</v>
      </c>
      <c r="D8" s="344" t="s">
        <v>604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605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606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607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608</v>
      </c>
      <c r="C15" s="361">
        <v>48768258</v>
      </c>
      <c r="D15" s="361">
        <v>53129823</v>
      </c>
      <c r="E15" s="361">
        <f t="shared" ref="E15:E24" si="0">D15-C15</f>
        <v>4361565</v>
      </c>
      <c r="F15" s="362">
        <f t="shared" ref="F15:F24" si="1">IF(C15=0,0,E15/C15)</f>
        <v>8.9434504714111379E-2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609</v>
      </c>
      <c r="C16" s="361">
        <v>33003580</v>
      </c>
      <c r="D16" s="361">
        <v>33689093</v>
      </c>
      <c r="E16" s="361">
        <f t="shared" si="0"/>
        <v>685513</v>
      </c>
      <c r="F16" s="362">
        <f t="shared" si="1"/>
        <v>2.0770867887665519E-2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610</v>
      </c>
      <c r="C17" s="366">
        <f>IF(C15=0,0,C16/C15)</f>
        <v>0.67674305692854564</v>
      </c>
      <c r="D17" s="366">
        <f>IF(LN_IA1=0,0,LN_IA2/LN_IA1)</f>
        <v>0.63409006651499666</v>
      </c>
      <c r="E17" s="367">
        <f t="shared" si="0"/>
        <v>-4.2652990413548975E-2</v>
      </c>
      <c r="F17" s="362">
        <f t="shared" si="1"/>
        <v>-6.3026860751454333E-2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3371</v>
      </c>
      <c r="D18" s="369">
        <v>3532</v>
      </c>
      <c r="E18" s="369">
        <f t="shared" si="0"/>
        <v>161</v>
      </c>
      <c r="F18" s="362">
        <f t="shared" si="1"/>
        <v>4.7760308513794127E-2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611</v>
      </c>
      <c r="C19" s="372">
        <v>1.4221999999999999</v>
      </c>
      <c r="D19" s="372">
        <v>1.4061999999999999</v>
      </c>
      <c r="E19" s="373">
        <f t="shared" si="0"/>
        <v>-1.6000000000000014E-2</v>
      </c>
      <c r="F19" s="362">
        <f t="shared" si="1"/>
        <v>-1.1250175783996636E-2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612</v>
      </c>
      <c r="C20" s="376">
        <f>C18*C19</f>
        <v>4794.2361999999994</v>
      </c>
      <c r="D20" s="376">
        <f>LN_IA4*LN_IA5</f>
        <v>4966.6983999999993</v>
      </c>
      <c r="E20" s="376">
        <f t="shared" si="0"/>
        <v>172.46219999999994</v>
      </c>
      <c r="F20" s="362">
        <f t="shared" si="1"/>
        <v>3.5972820863519397E-2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613</v>
      </c>
      <c r="C21" s="378">
        <f>IF(C20=0,0,C16/C20)</f>
        <v>6884.0120976934768</v>
      </c>
      <c r="D21" s="378">
        <f>IF(LN_IA6=0,0,LN_IA2/LN_IA6)</f>
        <v>6782.9955207266066</v>
      </c>
      <c r="E21" s="378">
        <f t="shared" si="0"/>
        <v>-101.01657696687016</v>
      </c>
      <c r="F21" s="362">
        <f t="shared" si="1"/>
        <v>-1.4674084753673846E-2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16250</v>
      </c>
      <c r="D22" s="369">
        <v>16720</v>
      </c>
      <c r="E22" s="369">
        <f t="shared" si="0"/>
        <v>470</v>
      </c>
      <c r="F22" s="362">
        <f t="shared" si="1"/>
        <v>2.8923076923076923E-2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614</v>
      </c>
      <c r="C23" s="378">
        <f>IF(C22=0,0,C16/C22)</f>
        <v>2030.9895384615384</v>
      </c>
      <c r="D23" s="378">
        <f>IF(LN_IA8=0,0,LN_IA2/LN_IA8)</f>
        <v>2014.8979066985646</v>
      </c>
      <c r="E23" s="378">
        <f t="shared" si="0"/>
        <v>-16.091631762973748</v>
      </c>
      <c r="F23" s="362">
        <f t="shared" si="1"/>
        <v>-7.9230500493680817E-3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615</v>
      </c>
      <c r="C24" s="379">
        <f>IF(C18=0,0,C22/C18)</f>
        <v>4.8205280332245621</v>
      </c>
      <c r="D24" s="379">
        <f>IF(LN_IA4=0,0,LN_IA8/LN_IA4)</f>
        <v>4.7338618346545864</v>
      </c>
      <c r="E24" s="379">
        <f t="shared" si="0"/>
        <v>-8.6666198569975705E-2</v>
      </c>
      <c r="F24" s="362">
        <f t="shared" si="1"/>
        <v>-1.7978569561808499E-2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616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617</v>
      </c>
      <c r="C27" s="361">
        <v>35241741</v>
      </c>
      <c r="D27" s="361">
        <v>41186063</v>
      </c>
      <c r="E27" s="361">
        <f t="shared" ref="E27:E32" si="2">D27-C27</f>
        <v>5944322</v>
      </c>
      <c r="F27" s="362">
        <f t="shared" ref="F27:F32" si="3">IF(C27=0,0,E27/C27)</f>
        <v>0.16867276789759053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618</v>
      </c>
      <c r="C28" s="361">
        <v>15426549</v>
      </c>
      <c r="D28" s="361">
        <v>17053020</v>
      </c>
      <c r="E28" s="361">
        <f t="shared" si="2"/>
        <v>1626471</v>
      </c>
      <c r="F28" s="362">
        <f t="shared" si="3"/>
        <v>0.10543323720684386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619</v>
      </c>
      <c r="C29" s="366">
        <f>IF(C27=0,0,C28/C27)</f>
        <v>0.43773515616041786</v>
      </c>
      <c r="D29" s="366">
        <f>IF(LN_IA11=0,0,LN_IA12/LN_IA11)</f>
        <v>0.41404831532453101</v>
      </c>
      <c r="E29" s="367">
        <f t="shared" si="2"/>
        <v>-2.3686840835886847E-2</v>
      </c>
      <c r="F29" s="362">
        <f t="shared" si="3"/>
        <v>-5.4112265150588618E-2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620</v>
      </c>
      <c r="C30" s="366">
        <f>IF(C15=0,0,C27/C15)</f>
        <v>0.72263686351068768</v>
      </c>
      <c r="D30" s="366">
        <f>IF(LN_IA1=0,0,LN_IA11/LN_IA1)</f>
        <v>0.77519669131967561</v>
      </c>
      <c r="E30" s="367">
        <f t="shared" si="2"/>
        <v>5.2559827808987936E-2</v>
      </c>
      <c r="F30" s="362">
        <f t="shared" si="3"/>
        <v>7.2733388598034882E-2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621</v>
      </c>
      <c r="C31" s="376">
        <f>C30*C18</f>
        <v>2436.0088668945282</v>
      </c>
      <c r="D31" s="376">
        <f>LN_IA14*LN_IA4</f>
        <v>2737.9947137410941</v>
      </c>
      <c r="E31" s="376">
        <f t="shared" si="2"/>
        <v>301.98584684656589</v>
      </c>
      <c r="F31" s="362">
        <f t="shared" si="3"/>
        <v>0.12396746619052473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622</v>
      </c>
      <c r="C32" s="378">
        <f>IF(C31=0,0,C28/C31)</f>
        <v>6332.7146340259696</v>
      </c>
      <c r="D32" s="378">
        <f>IF(LN_IA15=0,0,LN_IA12/LN_IA15)</f>
        <v>6228.2881389129452</v>
      </c>
      <c r="E32" s="378">
        <f t="shared" si="2"/>
        <v>-104.42649511302443</v>
      </c>
      <c r="F32" s="362">
        <f t="shared" si="3"/>
        <v>-1.6490004863307123E-2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623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624</v>
      </c>
      <c r="C35" s="361">
        <f>C15+C27</f>
        <v>84009999</v>
      </c>
      <c r="D35" s="361">
        <f>LN_IA1+LN_IA11</f>
        <v>94315886</v>
      </c>
      <c r="E35" s="361">
        <f>D35-C35</f>
        <v>10305887</v>
      </c>
      <c r="F35" s="362">
        <f>IF(C35=0,0,E35/C35)</f>
        <v>0.12267452830227983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625</v>
      </c>
      <c r="C36" s="361">
        <f>C16+C28</f>
        <v>48430129</v>
      </c>
      <c r="D36" s="361">
        <f>LN_IA2+LN_IA12</f>
        <v>50742113</v>
      </c>
      <c r="E36" s="361">
        <f>D36-C36</f>
        <v>2311984</v>
      </c>
      <c r="F36" s="362">
        <f>IF(C36=0,0,E36/C36)</f>
        <v>4.7738547217167228E-2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626</v>
      </c>
      <c r="C37" s="361">
        <f>C35-C36</f>
        <v>35579870</v>
      </c>
      <c r="D37" s="361">
        <f>LN_IA17-LN_IA18</f>
        <v>43573773</v>
      </c>
      <c r="E37" s="361">
        <f>D37-C37</f>
        <v>7993903</v>
      </c>
      <c r="F37" s="362">
        <f>IF(C37=0,0,E37/C37)</f>
        <v>0.22467487936296562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627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628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608</v>
      </c>
      <c r="C42" s="361">
        <v>20138494</v>
      </c>
      <c r="D42" s="361">
        <v>21306354</v>
      </c>
      <c r="E42" s="361">
        <f t="shared" ref="E42:E53" si="4">D42-C42</f>
        <v>1167860</v>
      </c>
      <c r="F42" s="362">
        <f t="shared" ref="F42:F53" si="5">IF(C42=0,0,E42/C42)</f>
        <v>5.7991426767066097E-2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609</v>
      </c>
      <c r="C43" s="361">
        <v>13808822</v>
      </c>
      <c r="D43" s="361">
        <v>14960400</v>
      </c>
      <c r="E43" s="361">
        <f t="shared" si="4"/>
        <v>1151578</v>
      </c>
      <c r="F43" s="362">
        <f t="shared" si="5"/>
        <v>8.3394369193838552E-2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610</v>
      </c>
      <c r="C44" s="366">
        <f>IF(C42=0,0,C43/C42)</f>
        <v>0.68569288249657601</v>
      </c>
      <c r="D44" s="366">
        <f>IF(LN_IB1=0,0,LN_IB2/LN_IB1)</f>
        <v>0.70215673690580749</v>
      </c>
      <c r="E44" s="367">
        <f t="shared" si="4"/>
        <v>1.6463854409231482E-2</v>
      </c>
      <c r="F44" s="362">
        <f t="shared" si="5"/>
        <v>2.4010537121644533E-2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1900</v>
      </c>
      <c r="D45" s="369">
        <v>1747</v>
      </c>
      <c r="E45" s="369">
        <f t="shared" si="4"/>
        <v>-153</v>
      </c>
      <c r="F45" s="362">
        <f t="shared" si="5"/>
        <v>-8.0526315789473682E-2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611</v>
      </c>
      <c r="C46" s="372">
        <v>1.1143000000000001</v>
      </c>
      <c r="D46" s="372">
        <v>1.1544000000000001</v>
      </c>
      <c r="E46" s="373">
        <f t="shared" si="4"/>
        <v>4.0100000000000025E-2</v>
      </c>
      <c r="F46" s="362">
        <f t="shared" si="5"/>
        <v>3.5986718118998492E-2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612</v>
      </c>
      <c r="C47" s="376">
        <f>C45*C46</f>
        <v>2117.17</v>
      </c>
      <c r="D47" s="376">
        <f>LN_IB4*LN_IB5</f>
        <v>2016.7368000000001</v>
      </c>
      <c r="E47" s="376">
        <f t="shared" si="4"/>
        <v>-100.43319999999994</v>
      </c>
      <c r="F47" s="362">
        <f t="shared" si="5"/>
        <v>-4.7437475497952429E-2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613</v>
      </c>
      <c r="C48" s="378">
        <f>IF(C47=0,0,C43/C47)</f>
        <v>6522.3019407983293</v>
      </c>
      <c r="D48" s="378">
        <f>IF(LN_IB6=0,0,LN_IB2/LN_IB6)</f>
        <v>7418.1221862961984</v>
      </c>
      <c r="E48" s="378">
        <f t="shared" si="4"/>
        <v>895.82024549786911</v>
      </c>
      <c r="F48" s="362">
        <f t="shared" si="5"/>
        <v>0.13734725157299615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629</v>
      </c>
      <c r="C49" s="378">
        <f>C21-C48</f>
        <v>361.71015689514752</v>
      </c>
      <c r="D49" s="378">
        <f>LN_IA7-LN_IB7</f>
        <v>-635.12666556959175</v>
      </c>
      <c r="E49" s="378">
        <f t="shared" si="4"/>
        <v>-996.83682246473927</v>
      </c>
      <c r="F49" s="362">
        <f t="shared" si="5"/>
        <v>-2.755899450049732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630</v>
      </c>
      <c r="C50" s="391">
        <f>C49*C47</f>
        <v>765801.89287369954</v>
      </c>
      <c r="D50" s="391">
        <f>LN_IB8*LN_IB6</f>
        <v>-1280883.3191154888</v>
      </c>
      <c r="E50" s="391">
        <f t="shared" si="4"/>
        <v>-2046685.2119891883</v>
      </c>
      <c r="F50" s="362">
        <f t="shared" si="5"/>
        <v>-2.6726040129111297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6459</v>
      </c>
      <c r="D51" s="369">
        <v>5836</v>
      </c>
      <c r="E51" s="369">
        <f t="shared" si="4"/>
        <v>-623</v>
      </c>
      <c r="F51" s="362">
        <f t="shared" si="5"/>
        <v>-9.6454559529338901E-2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614</v>
      </c>
      <c r="C52" s="378">
        <f>IF(C51=0,0,C43/C51)</f>
        <v>2137.9194921814524</v>
      </c>
      <c r="D52" s="378">
        <f>IF(LN_IB10=0,0,LN_IB2/LN_IB10)</f>
        <v>2563.4681288553802</v>
      </c>
      <c r="E52" s="378">
        <f t="shared" si="4"/>
        <v>425.54863667392783</v>
      </c>
      <c r="F52" s="362">
        <f t="shared" si="5"/>
        <v>0.19904801758447604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615</v>
      </c>
      <c r="C53" s="379">
        <f>IF(C45=0,0,C51/C45)</f>
        <v>3.3994736842105264</v>
      </c>
      <c r="D53" s="379">
        <f>IF(LN_IB4=0,0,LN_IB10/LN_IB4)</f>
        <v>3.3405838580423581</v>
      </c>
      <c r="E53" s="379">
        <f t="shared" si="4"/>
        <v>-5.8889826168168291E-2</v>
      </c>
      <c r="F53" s="362">
        <f t="shared" si="5"/>
        <v>-1.7323218721089915E-2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631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617</v>
      </c>
      <c r="C56" s="361">
        <v>48868395</v>
      </c>
      <c r="D56" s="361">
        <v>53354049</v>
      </c>
      <c r="E56" s="361">
        <f t="shared" ref="E56:E63" si="6">D56-C56</f>
        <v>4485654</v>
      </c>
      <c r="F56" s="362">
        <f t="shared" ref="F56:F63" si="7">IF(C56=0,0,E56/C56)</f>
        <v>9.1790491584591641E-2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618</v>
      </c>
      <c r="C57" s="361">
        <v>24661146</v>
      </c>
      <c r="D57" s="361">
        <v>26193455</v>
      </c>
      <c r="E57" s="361">
        <f t="shared" si="6"/>
        <v>1532309</v>
      </c>
      <c r="F57" s="362">
        <f t="shared" si="7"/>
        <v>6.2134541517251472E-2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619</v>
      </c>
      <c r="C58" s="366">
        <f>IF(C56=0,0,C57/C56)</f>
        <v>0.50464407517373955</v>
      </c>
      <c r="D58" s="366">
        <f>IF(LN_IB13=0,0,LN_IB14/LN_IB13)</f>
        <v>0.49093659227250025</v>
      </c>
      <c r="E58" s="367">
        <f t="shared" si="6"/>
        <v>-1.3707482901239298E-2</v>
      </c>
      <c r="F58" s="362">
        <f t="shared" si="7"/>
        <v>-2.7162674795141641E-2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620</v>
      </c>
      <c r="C59" s="366">
        <f>IF(C42=0,0,C56/C42)</f>
        <v>2.4266161610694423</v>
      </c>
      <c r="D59" s="366">
        <f>IF(LN_IB1=0,0,LN_IB13/LN_IB1)</f>
        <v>2.5041379205470817</v>
      </c>
      <c r="E59" s="367">
        <f t="shared" si="6"/>
        <v>7.7521759477639396E-2</v>
      </c>
      <c r="F59" s="362">
        <f t="shared" si="7"/>
        <v>3.1946444897768468E-2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621</v>
      </c>
      <c r="C60" s="376">
        <f>C59*C45</f>
        <v>4610.5707060319401</v>
      </c>
      <c r="D60" s="376">
        <f>LN_IB16*LN_IB4</f>
        <v>4374.728947195752</v>
      </c>
      <c r="E60" s="376">
        <f t="shared" si="6"/>
        <v>-235.84175883618809</v>
      </c>
      <c r="F60" s="362">
        <f t="shared" si="7"/>
        <v>-5.1152400401893824E-2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622</v>
      </c>
      <c r="C61" s="378">
        <f>IF(C60=0,0,C57/C60)</f>
        <v>5348.8272000115285</v>
      </c>
      <c r="D61" s="378">
        <f>IF(LN_IB17=0,0,LN_IB14/LN_IB17)</f>
        <v>5987.4463803729568</v>
      </c>
      <c r="E61" s="378">
        <f t="shared" si="6"/>
        <v>638.61918036142833</v>
      </c>
      <c r="F61" s="362">
        <f t="shared" si="7"/>
        <v>0.11939424409897779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632</v>
      </c>
      <c r="C62" s="378">
        <f>C32-C61</f>
        <v>983.88743401444117</v>
      </c>
      <c r="D62" s="378">
        <f>LN_IA16-LN_IB18</f>
        <v>240.8417585399884</v>
      </c>
      <c r="E62" s="378">
        <f t="shared" si="6"/>
        <v>-743.04567547445276</v>
      </c>
      <c r="F62" s="362">
        <f t="shared" si="7"/>
        <v>-0.75521411269853311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633</v>
      </c>
      <c r="C63" s="361">
        <f>C62*C60</f>
        <v>4536282.5812999159</v>
      </c>
      <c r="D63" s="361">
        <f>LN_IB19*LN_IB17</f>
        <v>1053617.4127784169</v>
      </c>
      <c r="E63" s="361">
        <f t="shared" si="6"/>
        <v>-3482665.1685214993</v>
      </c>
      <c r="F63" s="362">
        <f t="shared" si="7"/>
        <v>-0.76773549841851074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634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624</v>
      </c>
      <c r="C66" s="361">
        <f>C42+C56</f>
        <v>69006889</v>
      </c>
      <c r="D66" s="361">
        <f>LN_IB1+LN_IB13</f>
        <v>74660403</v>
      </c>
      <c r="E66" s="361">
        <f>D66-C66</f>
        <v>5653514</v>
      </c>
      <c r="F66" s="362">
        <f>IF(C66=0,0,E66/C66)</f>
        <v>8.1926805887452769E-2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625</v>
      </c>
      <c r="C67" s="361">
        <f>C43+C57</f>
        <v>38469968</v>
      </c>
      <c r="D67" s="361">
        <f>LN_IB2+LN_IB14</f>
        <v>41153855</v>
      </c>
      <c r="E67" s="361">
        <f>D67-C67</f>
        <v>2683887</v>
      </c>
      <c r="F67" s="362">
        <f>IF(C67=0,0,E67/C67)</f>
        <v>6.9765771575375363E-2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626</v>
      </c>
      <c r="C68" s="361">
        <f>C66-C67</f>
        <v>30536921</v>
      </c>
      <c r="D68" s="361">
        <f>LN_IB21-LN_IB22</f>
        <v>33506548</v>
      </c>
      <c r="E68" s="361">
        <f>D68-C68</f>
        <v>2969627</v>
      </c>
      <c r="F68" s="362">
        <f>IF(C68=0,0,E68/C68)</f>
        <v>9.7247099666662534E-2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635</v>
      </c>
      <c r="C70" s="353">
        <f>C50+C63</f>
        <v>5302084.4741736157</v>
      </c>
      <c r="D70" s="353">
        <f>LN_IB9+LN_IB20</f>
        <v>-227265.90633707191</v>
      </c>
      <c r="E70" s="361">
        <f>D70-C70</f>
        <v>-5529350.3805106878</v>
      </c>
      <c r="F70" s="362">
        <f>IF(C70=0,0,E70/C70)</f>
        <v>-1.0428635015990562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636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637</v>
      </c>
      <c r="C73" s="400">
        <v>69006889</v>
      </c>
      <c r="D73" s="400">
        <v>74660403</v>
      </c>
      <c r="E73" s="400">
        <f>D73-C73</f>
        <v>5653514</v>
      </c>
      <c r="F73" s="401">
        <f>IF(C73=0,0,E73/C73)</f>
        <v>8.1926805887452769E-2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638</v>
      </c>
      <c r="C74" s="400">
        <v>42222944</v>
      </c>
      <c r="D74" s="400">
        <v>44992732</v>
      </c>
      <c r="E74" s="400">
        <f>D74-C74</f>
        <v>2769788</v>
      </c>
      <c r="F74" s="401">
        <f>IF(C74=0,0,E74/C74)</f>
        <v>6.5599120705557623E-2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639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640</v>
      </c>
      <c r="C76" s="353">
        <f>C73-C74</f>
        <v>26783945</v>
      </c>
      <c r="D76" s="353">
        <f>LN_IB32-LN_IB33</f>
        <v>29667671</v>
      </c>
      <c r="E76" s="400">
        <f>D76-C76</f>
        <v>2883726</v>
      </c>
      <c r="F76" s="401">
        <f>IF(C76=0,0,E76/C76)</f>
        <v>0.10766621571243519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641</v>
      </c>
      <c r="C77" s="366">
        <f>IF(C73=0,0,C76/C73)</f>
        <v>0.38813436438208365</v>
      </c>
      <c r="D77" s="366">
        <f>IF(LN_IB1=0,0,LN_IB34/LN_IB32)</f>
        <v>0.39736821404513445</v>
      </c>
      <c r="E77" s="405">
        <f>D77-C77</f>
        <v>9.2338496630507971E-3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642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643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608</v>
      </c>
      <c r="C83" s="361">
        <v>1088411</v>
      </c>
      <c r="D83" s="361">
        <v>925266</v>
      </c>
      <c r="E83" s="361">
        <f t="shared" ref="E83:E95" si="8">D83-C83</f>
        <v>-163145</v>
      </c>
      <c r="F83" s="362">
        <f t="shared" ref="F83:F95" si="9">IF(C83=0,0,E83/C83)</f>
        <v>-0.14989282541245907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609</v>
      </c>
      <c r="C84" s="361">
        <v>275446</v>
      </c>
      <c r="D84" s="361">
        <v>263226</v>
      </c>
      <c r="E84" s="361">
        <f t="shared" si="8"/>
        <v>-12220</v>
      </c>
      <c r="F84" s="362">
        <f t="shared" si="9"/>
        <v>-4.4364412625342173E-2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610</v>
      </c>
      <c r="C85" s="366">
        <f>IF(C83=0,0,C84/C83)</f>
        <v>0.2530716797239278</v>
      </c>
      <c r="D85" s="366">
        <f>IF(LN_IC1=0,0,LN_IC2/LN_IC1)</f>
        <v>0.28448683946022008</v>
      </c>
      <c r="E85" s="367">
        <f t="shared" si="8"/>
        <v>3.1415159736292275E-2</v>
      </c>
      <c r="F85" s="362">
        <f t="shared" si="9"/>
        <v>0.12413542191114633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155</v>
      </c>
      <c r="D86" s="369">
        <v>90</v>
      </c>
      <c r="E86" s="369">
        <f t="shared" si="8"/>
        <v>-65</v>
      </c>
      <c r="F86" s="362">
        <f t="shared" si="9"/>
        <v>-0.41935483870967744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611</v>
      </c>
      <c r="C87" s="372">
        <v>0.97219999999999995</v>
      </c>
      <c r="D87" s="372">
        <v>0.97450000000000003</v>
      </c>
      <c r="E87" s="373">
        <f t="shared" si="8"/>
        <v>2.3000000000000798E-3</v>
      </c>
      <c r="F87" s="362">
        <f t="shared" si="9"/>
        <v>2.365768360419749E-3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612</v>
      </c>
      <c r="C88" s="376">
        <f>C86*C87</f>
        <v>150.691</v>
      </c>
      <c r="D88" s="376">
        <f>LN_IC4*LN_IC5</f>
        <v>87.704999999999998</v>
      </c>
      <c r="E88" s="376">
        <f t="shared" si="8"/>
        <v>-62.986000000000004</v>
      </c>
      <c r="F88" s="362">
        <f t="shared" si="9"/>
        <v>-0.41798116675846603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613</v>
      </c>
      <c r="C89" s="378">
        <f>IF(C88=0,0,C84/C88)</f>
        <v>1827.88620421923</v>
      </c>
      <c r="D89" s="378">
        <f>IF(LN_IC6=0,0,LN_IC2/LN_IC6)</f>
        <v>3001.2656062938258</v>
      </c>
      <c r="E89" s="378">
        <f t="shared" si="8"/>
        <v>1173.3794020745959</v>
      </c>
      <c r="F89" s="362">
        <f t="shared" si="9"/>
        <v>0.64193241316999683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644</v>
      </c>
      <c r="C90" s="378">
        <f>C48-C89</f>
        <v>4694.4157365790998</v>
      </c>
      <c r="D90" s="378">
        <f>LN_IB7-LN_IC7</f>
        <v>4416.8565800023725</v>
      </c>
      <c r="E90" s="378">
        <f t="shared" si="8"/>
        <v>-277.55915657672722</v>
      </c>
      <c r="F90" s="362">
        <f t="shared" si="9"/>
        <v>-5.9125389005062701E-2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645</v>
      </c>
      <c r="C91" s="378">
        <f>C21-C89</f>
        <v>5056.1258934742473</v>
      </c>
      <c r="D91" s="378">
        <f>LN_IA7-LN_IC7</f>
        <v>3781.7299144327808</v>
      </c>
      <c r="E91" s="378">
        <f t="shared" si="8"/>
        <v>-1274.3959790414665</v>
      </c>
      <c r="F91" s="362">
        <f t="shared" si="9"/>
        <v>-0.2520498907446671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630</v>
      </c>
      <c r="C92" s="353">
        <f>C91*C88</f>
        <v>761912.66701352783</v>
      </c>
      <c r="D92" s="353">
        <f>LN_IC9*LN_IC6</f>
        <v>331676.62214532704</v>
      </c>
      <c r="E92" s="353">
        <f t="shared" si="8"/>
        <v>-430236.04486820078</v>
      </c>
      <c r="F92" s="362">
        <f t="shared" si="9"/>
        <v>-0.56467895008833324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729</v>
      </c>
      <c r="D93" s="369">
        <v>352</v>
      </c>
      <c r="E93" s="369">
        <f t="shared" si="8"/>
        <v>-377</v>
      </c>
      <c r="F93" s="362">
        <f t="shared" si="9"/>
        <v>-0.51714677640603568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614</v>
      </c>
      <c r="C94" s="411">
        <f>IF(C93=0,0,C84/C93)</f>
        <v>377.84087791495199</v>
      </c>
      <c r="D94" s="411">
        <f>IF(LN_IC11=0,0,LN_IC2/LN_IC11)</f>
        <v>747.80113636363637</v>
      </c>
      <c r="E94" s="411">
        <f t="shared" si="8"/>
        <v>369.96025844868439</v>
      </c>
      <c r="F94" s="362">
        <f t="shared" si="9"/>
        <v>0.97914302044353851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615</v>
      </c>
      <c r="C95" s="379">
        <f>IF(C86=0,0,C93/C86)</f>
        <v>4.7032258064516128</v>
      </c>
      <c r="D95" s="379">
        <f>IF(LN_IC4=0,0,LN_IC11/LN_IC4)</f>
        <v>3.911111111111111</v>
      </c>
      <c r="E95" s="379">
        <f t="shared" si="8"/>
        <v>-0.79211469534050183</v>
      </c>
      <c r="F95" s="362">
        <f t="shared" si="9"/>
        <v>-0.1684194482548392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646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617</v>
      </c>
      <c r="C98" s="361">
        <v>3745209</v>
      </c>
      <c r="D98" s="361">
        <v>4234743</v>
      </c>
      <c r="E98" s="361">
        <f t="shared" ref="E98:E106" si="10">D98-C98</f>
        <v>489534</v>
      </c>
      <c r="F98" s="362">
        <f t="shared" ref="F98:F106" si="11">IF(C98=0,0,E98/C98)</f>
        <v>0.13070939432218603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618</v>
      </c>
      <c r="C99" s="361">
        <v>947806</v>
      </c>
      <c r="D99" s="361">
        <v>1204728</v>
      </c>
      <c r="E99" s="361">
        <f t="shared" si="10"/>
        <v>256922</v>
      </c>
      <c r="F99" s="362">
        <f t="shared" si="11"/>
        <v>0.27107024011242808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619</v>
      </c>
      <c r="C100" s="366">
        <f>IF(C98=0,0,C99/C98)</f>
        <v>0.25307159093124043</v>
      </c>
      <c r="D100" s="366">
        <f>IF(LN_IC14=0,0,LN_IC15/LN_IC14)</f>
        <v>0.28448668549661693</v>
      </c>
      <c r="E100" s="367">
        <f t="shared" si="10"/>
        <v>3.14150945653765E-2</v>
      </c>
      <c r="F100" s="362">
        <f t="shared" si="11"/>
        <v>0.12413520794561245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620</v>
      </c>
      <c r="C101" s="366">
        <f>IF(C83=0,0,C98/C83)</f>
        <v>3.4409878253711144</v>
      </c>
      <c r="D101" s="366">
        <f>IF(LN_IC1=0,0,LN_IC14/LN_IC1)</f>
        <v>4.5767844057816891</v>
      </c>
      <c r="E101" s="367">
        <f t="shared" si="10"/>
        <v>1.1357965804105747</v>
      </c>
      <c r="F101" s="362">
        <f t="shared" si="11"/>
        <v>0.33007863963833634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621</v>
      </c>
      <c r="C102" s="376">
        <f>C101*C86</f>
        <v>533.35311293252278</v>
      </c>
      <c r="D102" s="376">
        <f>LN_IC17*LN_IC4</f>
        <v>411.91059652035204</v>
      </c>
      <c r="E102" s="376">
        <f t="shared" si="10"/>
        <v>-121.44251641217073</v>
      </c>
      <c r="F102" s="362">
        <f t="shared" si="11"/>
        <v>-0.22769627375838536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622</v>
      </c>
      <c r="C103" s="378">
        <f>IF(C102=0,0,C99/C102)</f>
        <v>1777.0703442391116</v>
      </c>
      <c r="D103" s="378">
        <f>IF(LN_IC18=0,0,LN_IC15/LN_IC18)</f>
        <v>2924.7317504745856</v>
      </c>
      <c r="E103" s="378">
        <f t="shared" si="10"/>
        <v>1147.661406235474</v>
      </c>
      <c r="F103" s="362">
        <f t="shared" si="11"/>
        <v>0.64581653166176056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647</v>
      </c>
      <c r="C104" s="378">
        <f>C61-C103</f>
        <v>3571.7568557724171</v>
      </c>
      <c r="D104" s="378">
        <f>LN_IB18-LN_IC19</f>
        <v>3062.7146298983712</v>
      </c>
      <c r="E104" s="378">
        <f t="shared" si="10"/>
        <v>-509.04222587404593</v>
      </c>
      <c r="F104" s="362">
        <f t="shared" si="11"/>
        <v>-0.14251872297840443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648</v>
      </c>
      <c r="C105" s="378">
        <f>C32-C103</f>
        <v>4555.6442897868583</v>
      </c>
      <c r="D105" s="378">
        <f>LN_IA16-LN_IC19</f>
        <v>3303.5563884383596</v>
      </c>
      <c r="E105" s="378">
        <f t="shared" si="10"/>
        <v>-1252.0879013484987</v>
      </c>
      <c r="F105" s="362">
        <f t="shared" si="11"/>
        <v>-0.27484321024701408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633</v>
      </c>
      <c r="C106" s="361">
        <f>C105*C102</f>
        <v>2429767.0633710925</v>
      </c>
      <c r="D106" s="361">
        <f>LN_IC21*LN_IC18</f>
        <v>1360769.8826002646</v>
      </c>
      <c r="E106" s="361">
        <f t="shared" si="10"/>
        <v>-1068997.1807708279</v>
      </c>
      <c r="F106" s="362">
        <f t="shared" si="11"/>
        <v>-0.43995870916436181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649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624</v>
      </c>
      <c r="C109" s="361">
        <f>C83+C98</f>
        <v>4833620</v>
      </c>
      <c r="D109" s="361">
        <f>LN_IC1+LN_IC14</f>
        <v>5160009</v>
      </c>
      <c r="E109" s="361">
        <f>D109-C109</f>
        <v>326389</v>
      </c>
      <c r="F109" s="362">
        <f>IF(C109=0,0,E109/C109)</f>
        <v>6.7524753704263057E-2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625</v>
      </c>
      <c r="C110" s="361">
        <f>C84+C99</f>
        <v>1223252</v>
      </c>
      <c r="D110" s="361">
        <f>LN_IC2+LN_IC15</f>
        <v>1467954</v>
      </c>
      <c r="E110" s="361">
        <f>D110-C110</f>
        <v>244702</v>
      </c>
      <c r="F110" s="362">
        <f>IF(C110=0,0,E110/C110)</f>
        <v>0.20004218264102572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626</v>
      </c>
      <c r="C111" s="361">
        <f>C109-C110</f>
        <v>3610368</v>
      </c>
      <c r="D111" s="361">
        <f>LN_IC23-LN_IC24</f>
        <v>3692055</v>
      </c>
      <c r="E111" s="361">
        <f>D111-C111</f>
        <v>81687</v>
      </c>
      <c r="F111" s="362">
        <f>IF(C111=0,0,E111/C111)</f>
        <v>2.2625671399702191E-2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635</v>
      </c>
      <c r="C113" s="361">
        <f>C92+C106</f>
        <v>3191679.7303846204</v>
      </c>
      <c r="D113" s="361">
        <f>LN_IC10+LN_IC22</f>
        <v>1692446.5047455917</v>
      </c>
      <c r="E113" s="361">
        <f>D113-C113</f>
        <v>-1499233.2256390287</v>
      </c>
      <c r="F113" s="362">
        <f>IF(C113=0,0,E113/C113)</f>
        <v>-0.46973172507454575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321</v>
      </c>
      <c r="B115" s="356" t="s">
        <v>650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651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608</v>
      </c>
      <c r="C118" s="361">
        <v>9213369</v>
      </c>
      <c r="D118" s="361">
        <v>12062026</v>
      </c>
      <c r="E118" s="361">
        <f t="shared" ref="E118:E130" si="12">D118-C118</f>
        <v>2848657</v>
      </c>
      <c r="F118" s="362">
        <f t="shared" ref="F118:F130" si="13">IF(C118=0,0,E118/C118)</f>
        <v>0.30918733418796102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609</v>
      </c>
      <c r="C119" s="361">
        <v>4383899</v>
      </c>
      <c r="D119" s="361">
        <v>5550692</v>
      </c>
      <c r="E119" s="361">
        <f t="shared" si="12"/>
        <v>1166793</v>
      </c>
      <c r="F119" s="362">
        <f t="shared" si="13"/>
        <v>0.26615417006641806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610</v>
      </c>
      <c r="C120" s="366">
        <f>IF(C118=0,0,C119/C118)</f>
        <v>0.47581932298597829</v>
      </c>
      <c r="D120" s="366">
        <f>IF(LN_ID1=0,0,LN_1D2/LN_ID1)</f>
        <v>0.4601790777104941</v>
      </c>
      <c r="E120" s="367">
        <f t="shared" si="12"/>
        <v>-1.5640245275484188E-2</v>
      </c>
      <c r="F120" s="362">
        <f t="shared" si="13"/>
        <v>-3.2870134775810869E-2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935</v>
      </c>
      <c r="D121" s="369">
        <v>1192</v>
      </c>
      <c r="E121" s="369">
        <f t="shared" si="12"/>
        <v>257</v>
      </c>
      <c r="F121" s="362">
        <f t="shared" si="13"/>
        <v>0.27486631016042778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611</v>
      </c>
      <c r="C122" s="372">
        <v>0.8599</v>
      </c>
      <c r="D122" s="372">
        <v>0.97260000000000002</v>
      </c>
      <c r="E122" s="373">
        <f t="shared" si="12"/>
        <v>0.11270000000000002</v>
      </c>
      <c r="F122" s="362">
        <f t="shared" si="13"/>
        <v>0.131061751366438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612</v>
      </c>
      <c r="C123" s="376">
        <f>C121*C122</f>
        <v>804.00649999999996</v>
      </c>
      <c r="D123" s="376">
        <f>LN_ID4*LN_ID5</f>
        <v>1159.3392000000001</v>
      </c>
      <c r="E123" s="376">
        <f t="shared" si="12"/>
        <v>355.33270000000016</v>
      </c>
      <c r="F123" s="362">
        <f t="shared" si="13"/>
        <v>0.4419525215281222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613</v>
      </c>
      <c r="C124" s="378">
        <f>IF(C123=0,0,C119/C123)</f>
        <v>5452.5666148221444</v>
      </c>
      <c r="D124" s="378">
        <f>IF(LN_ID6=0,0,LN_1D2/LN_ID6)</f>
        <v>4787.8067092012407</v>
      </c>
      <c r="E124" s="378">
        <f t="shared" si="12"/>
        <v>-664.75990562090374</v>
      </c>
      <c r="F124" s="362">
        <f t="shared" si="13"/>
        <v>-0.12191687925716196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652</v>
      </c>
      <c r="C125" s="378">
        <f>C48-C124</f>
        <v>1069.7353259761849</v>
      </c>
      <c r="D125" s="378">
        <f>LN_IB7-LN_ID7</f>
        <v>2630.3154770949577</v>
      </c>
      <c r="E125" s="378">
        <f t="shared" si="12"/>
        <v>1560.5801511187728</v>
      </c>
      <c r="F125" s="362">
        <f t="shared" si="13"/>
        <v>1.4588469813265899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653</v>
      </c>
      <c r="C126" s="378">
        <f>C21-C124</f>
        <v>1431.4454828713324</v>
      </c>
      <c r="D126" s="378">
        <f>LN_IA7-LN_ID7</f>
        <v>1995.188811525366</v>
      </c>
      <c r="E126" s="378">
        <f t="shared" si="12"/>
        <v>563.74332865403358</v>
      </c>
      <c r="F126" s="362">
        <f t="shared" si="13"/>
        <v>0.3938280118941187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630</v>
      </c>
      <c r="C127" s="391">
        <f>C126*C123</f>
        <v>1150891.4726241899</v>
      </c>
      <c r="D127" s="391">
        <f>LN_ID9*LN_ID6</f>
        <v>2313100.6006027688</v>
      </c>
      <c r="E127" s="391">
        <f t="shared" si="12"/>
        <v>1162209.1279785789</v>
      </c>
      <c r="F127" s="362">
        <f t="shared" si="13"/>
        <v>1.0098338163272538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3996</v>
      </c>
      <c r="D128" s="369">
        <v>4733</v>
      </c>
      <c r="E128" s="369">
        <f t="shared" si="12"/>
        <v>737</v>
      </c>
      <c r="F128" s="362">
        <f t="shared" si="13"/>
        <v>0.18443443443443444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614</v>
      </c>
      <c r="C129" s="378">
        <f>IF(C128=0,0,C119/C128)</f>
        <v>1097.0718218218219</v>
      </c>
      <c r="D129" s="378">
        <f>IF(LN_ID11=0,0,LN_1D2/LN_ID11)</f>
        <v>1172.7639974646102</v>
      </c>
      <c r="E129" s="378">
        <f t="shared" si="12"/>
        <v>75.692175642788243</v>
      </c>
      <c r="F129" s="362">
        <f t="shared" si="13"/>
        <v>6.8994731372365517E-2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615</v>
      </c>
      <c r="C130" s="379">
        <f>IF(C121=0,0,C128/C121)</f>
        <v>4.2737967914438499</v>
      </c>
      <c r="D130" s="379">
        <f>IF(LN_ID4=0,0,LN_ID11/LN_ID4)</f>
        <v>3.9706375838926173</v>
      </c>
      <c r="E130" s="379">
        <f t="shared" si="12"/>
        <v>-0.3031592075512326</v>
      </c>
      <c r="F130" s="362">
        <f t="shared" si="13"/>
        <v>-7.0934399164264889E-2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654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617</v>
      </c>
      <c r="C133" s="361">
        <v>18698664</v>
      </c>
      <c r="D133" s="361">
        <v>26479666</v>
      </c>
      <c r="E133" s="361">
        <f t="shared" ref="E133:E141" si="14">D133-C133</f>
        <v>7781002</v>
      </c>
      <c r="F133" s="362">
        <f t="shared" ref="F133:F141" si="15">IF(C133=0,0,E133/C133)</f>
        <v>0.41612609328666478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618</v>
      </c>
      <c r="C134" s="361">
        <v>6677053</v>
      </c>
      <c r="D134" s="361">
        <v>9301957</v>
      </c>
      <c r="E134" s="361">
        <f t="shared" si="14"/>
        <v>2624904</v>
      </c>
      <c r="F134" s="362">
        <f t="shared" si="15"/>
        <v>0.39312313381367497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619</v>
      </c>
      <c r="C135" s="366">
        <f>IF(C133=0,0,C134/C133)</f>
        <v>0.35708716943627633</v>
      </c>
      <c r="D135" s="366">
        <f>IF(LN_ID14=0,0,LN_ID15/LN_ID14)</f>
        <v>0.3512867949316279</v>
      </c>
      <c r="E135" s="367">
        <f t="shared" si="14"/>
        <v>-5.8003745046484312E-3</v>
      </c>
      <c r="F135" s="362">
        <f t="shared" si="15"/>
        <v>-1.6243581402841559E-2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620</v>
      </c>
      <c r="C136" s="366">
        <f>IF(C118=0,0,C133/C118)</f>
        <v>2.0295142851653938</v>
      </c>
      <c r="D136" s="366">
        <f>IF(LN_ID1=0,0,LN_ID14/LN_ID1)</f>
        <v>2.1952917362307129</v>
      </c>
      <c r="E136" s="367">
        <f t="shared" si="14"/>
        <v>0.16577745106531916</v>
      </c>
      <c r="F136" s="362">
        <f t="shared" si="15"/>
        <v>8.168331323265815E-2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621</v>
      </c>
      <c r="C137" s="376">
        <f>C136*C121</f>
        <v>1897.5958566296431</v>
      </c>
      <c r="D137" s="376">
        <f>LN_ID17*LN_ID4</f>
        <v>2616.7877495870098</v>
      </c>
      <c r="E137" s="376">
        <f t="shared" si="14"/>
        <v>719.19189295736669</v>
      </c>
      <c r="F137" s="362">
        <f t="shared" si="15"/>
        <v>0.3790016143030252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622</v>
      </c>
      <c r="C138" s="378">
        <f>IF(C137=0,0,C134/C137)</f>
        <v>3518.6907563443165</v>
      </c>
      <c r="D138" s="378">
        <f>IF(LN_ID18=0,0,LN_ID15/LN_ID18)</f>
        <v>3554.723535169433</v>
      </c>
      <c r="E138" s="378">
        <f t="shared" si="14"/>
        <v>36.032778825116566</v>
      </c>
      <c r="F138" s="362">
        <f t="shared" si="15"/>
        <v>1.0240393748768136E-2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655</v>
      </c>
      <c r="C139" s="378">
        <f>C61-C138</f>
        <v>1830.136443667212</v>
      </c>
      <c r="D139" s="378">
        <f>LN_IB18-LN_ID19</f>
        <v>2432.7228452035238</v>
      </c>
      <c r="E139" s="378">
        <f t="shared" si="14"/>
        <v>602.58640153631177</v>
      </c>
      <c r="F139" s="362">
        <f t="shared" si="15"/>
        <v>0.32925763738623454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656</v>
      </c>
      <c r="C140" s="378">
        <f>C32-C138</f>
        <v>2814.0238776816532</v>
      </c>
      <c r="D140" s="378">
        <f>LN_IA16-LN_ID19</f>
        <v>2673.5646037435122</v>
      </c>
      <c r="E140" s="378">
        <f t="shared" si="14"/>
        <v>-140.459273938141</v>
      </c>
      <c r="F140" s="362">
        <f t="shared" si="15"/>
        <v>-4.9914030599434368E-2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633</v>
      </c>
      <c r="C141" s="353">
        <f>C140*C137</f>
        <v>5339880.0507455869</v>
      </c>
      <c r="D141" s="353">
        <f>LN_ID21*LN_ID18</f>
        <v>6996151.102805471</v>
      </c>
      <c r="E141" s="353">
        <f t="shared" si="14"/>
        <v>1656271.0520598842</v>
      </c>
      <c r="F141" s="362">
        <f t="shared" si="15"/>
        <v>0.31017008553003461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657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624</v>
      </c>
      <c r="C144" s="361">
        <f>C118+C133</f>
        <v>27912033</v>
      </c>
      <c r="D144" s="361">
        <f>LN_ID1+LN_ID14</f>
        <v>38541692</v>
      </c>
      <c r="E144" s="361">
        <f>D144-C144</f>
        <v>10629659</v>
      </c>
      <c r="F144" s="362">
        <f>IF(C144=0,0,E144/C144)</f>
        <v>0.38082711495791083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625</v>
      </c>
      <c r="C145" s="361">
        <f>C119+C134</f>
        <v>11060952</v>
      </c>
      <c r="D145" s="361">
        <f>LN_1D2+LN_ID15</f>
        <v>14852649</v>
      </c>
      <c r="E145" s="361">
        <f>D145-C145</f>
        <v>3791697</v>
      </c>
      <c r="F145" s="362">
        <f>IF(C145=0,0,E145/C145)</f>
        <v>0.34280023997934356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626</v>
      </c>
      <c r="C146" s="361">
        <f>C144-C145</f>
        <v>16851081</v>
      </c>
      <c r="D146" s="361">
        <f>LN_ID23-LN_ID24</f>
        <v>23689043</v>
      </c>
      <c r="E146" s="361">
        <f>D146-C146</f>
        <v>6837962</v>
      </c>
      <c r="F146" s="362">
        <f>IF(C146=0,0,E146/C146)</f>
        <v>0.4057877355167897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635</v>
      </c>
      <c r="C148" s="361">
        <f>C127+C141</f>
        <v>6490771.523369777</v>
      </c>
      <c r="D148" s="361">
        <f>LN_ID10+LN_ID22</f>
        <v>9309251.7034082394</v>
      </c>
      <c r="E148" s="361">
        <f>D148-C148</f>
        <v>2818480.1800384624</v>
      </c>
      <c r="F148" s="415">
        <f>IF(C148=0,0,E148/C148)</f>
        <v>0.43422883857344713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342</v>
      </c>
      <c r="B150" s="356" t="s">
        <v>658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659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608</v>
      </c>
      <c r="C153" s="361">
        <v>2283988</v>
      </c>
      <c r="D153" s="361">
        <v>89344</v>
      </c>
      <c r="E153" s="361">
        <f t="shared" ref="E153:E165" si="16">D153-C153</f>
        <v>-2194644</v>
      </c>
      <c r="F153" s="362">
        <f t="shared" ref="F153:F165" si="17">IF(C153=0,0,E153/C153)</f>
        <v>-0.96088245647525294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609</v>
      </c>
      <c r="C154" s="361">
        <v>1000775</v>
      </c>
      <c r="D154" s="361">
        <v>33957</v>
      </c>
      <c r="E154" s="361">
        <f t="shared" si="16"/>
        <v>-966818</v>
      </c>
      <c r="F154" s="362">
        <f t="shared" si="17"/>
        <v>-0.96606929629537108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610</v>
      </c>
      <c r="C155" s="366">
        <f>IF(C153=0,0,C154/C153)</f>
        <v>0.43816999038523846</v>
      </c>
      <c r="D155" s="366">
        <f>IF(LN_IE1=0,0,LN_IE2/LN_IE1)</f>
        <v>0.38007029011461319</v>
      </c>
      <c r="E155" s="367">
        <f t="shared" si="16"/>
        <v>-5.8099700270625276E-2</v>
      </c>
      <c r="F155" s="362">
        <f t="shared" si="17"/>
        <v>-0.13259625612320938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198</v>
      </c>
      <c r="D156" s="419">
        <v>8</v>
      </c>
      <c r="E156" s="419">
        <f t="shared" si="16"/>
        <v>-190</v>
      </c>
      <c r="F156" s="362">
        <f t="shared" si="17"/>
        <v>-0.95959595959595956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611</v>
      </c>
      <c r="C157" s="372">
        <v>0.99150000000000005</v>
      </c>
      <c r="D157" s="372">
        <v>1.0669999999999999</v>
      </c>
      <c r="E157" s="373">
        <f t="shared" si="16"/>
        <v>7.5499999999999901E-2</v>
      </c>
      <c r="F157" s="362">
        <f t="shared" si="17"/>
        <v>7.614725163893081E-2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612</v>
      </c>
      <c r="C158" s="376">
        <f>C156*C157</f>
        <v>196.31700000000001</v>
      </c>
      <c r="D158" s="376">
        <f>LN_IE4*LN_IE5</f>
        <v>8.5359999999999996</v>
      </c>
      <c r="E158" s="376">
        <f t="shared" si="16"/>
        <v>-187.78100000000001</v>
      </c>
      <c r="F158" s="362">
        <f t="shared" si="17"/>
        <v>-0.95651930296408361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613</v>
      </c>
      <c r="C159" s="378">
        <f>IF(C158=0,0,C154/C158)</f>
        <v>5097.7500674928815</v>
      </c>
      <c r="D159" s="378">
        <f>IF(LN_IE6=0,0,LN_IE2/LN_IE6)</f>
        <v>3978.0927835051548</v>
      </c>
      <c r="E159" s="378">
        <f t="shared" si="16"/>
        <v>-1119.6572839877267</v>
      </c>
      <c r="F159" s="362">
        <f t="shared" si="17"/>
        <v>-0.21963753992717497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660</v>
      </c>
      <c r="C160" s="378">
        <f>C48-C159</f>
        <v>1424.5518733054478</v>
      </c>
      <c r="D160" s="378">
        <f>LN_IB7-LN_IE7</f>
        <v>3440.0294027910436</v>
      </c>
      <c r="E160" s="378">
        <f t="shared" si="16"/>
        <v>2015.4775294855958</v>
      </c>
      <c r="F160" s="362">
        <f t="shared" si="17"/>
        <v>1.4148151199359265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661</v>
      </c>
      <c r="C161" s="378">
        <f>C21-C159</f>
        <v>1786.2620302005953</v>
      </c>
      <c r="D161" s="378">
        <f>LN_IA7-LN_IE7</f>
        <v>2804.9027372214518</v>
      </c>
      <c r="E161" s="378">
        <f t="shared" si="16"/>
        <v>1018.6407070208566</v>
      </c>
      <c r="F161" s="362">
        <f t="shared" si="17"/>
        <v>0.5702638749514618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630</v>
      </c>
      <c r="C162" s="391">
        <f>C161*C158</f>
        <v>350673.60298289027</v>
      </c>
      <c r="D162" s="391">
        <f>LN_IE9*LN_IE6</f>
        <v>23942.649764922313</v>
      </c>
      <c r="E162" s="391">
        <f t="shared" si="16"/>
        <v>-326730.95321796794</v>
      </c>
      <c r="F162" s="362">
        <f t="shared" si="17"/>
        <v>-0.93172383218679133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1061</v>
      </c>
      <c r="D163" s="369">
        <v>24</v>
      </c>
      <c r="E163" s="419">
        <f t="shared" si="16"/>
        <v>-1037</v>
      </c>
      <c r="F163" s="362">
        <f t="shared" si="17"/>
        <v>-0.97737983034872766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614</v>
      </c>
      <c r="C164" s="378">
        <f>IF(C163=0,0,C154/C163)</f>
        <v>943.23751178133841</v>
      </c>
      <c r="D164" s="378">
        <f>IF(LN_IE11=0,0,LN_IE2/LN_IE11)</f>
        <v>1414.875</v>
      </c>
      <c r="E164" s="378">
        <f t="shared" si="16"/>
        <v>471.63748821866159</v>
      </c>
      <c r="F164" s="362">
        <f t="shared" si="17"/>
        <v>0.50001985960880313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615</v>
      </c>
      <c r="C165" s="379">
        <f>IF(C156=0,0,C163/C156)</f>
        <v>5.358585858585859</v>
      </c>
      <c r="D165" s="379">
        <f>IF(LN_IE4=0,0,LN_IE11/LN_IE4)</f>
        <v>3</v>
      </c>
      <c r="E165" s="379">
        <f t="shared" si="16"/>
        <v>-2.358585858585859</v>
      </c>
      <c r="F165" s="362">
        <f t="shared" si="17"/>
        <v>-0.44015080113100852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662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617</v>
      </c>
      <c r="C168" s="424">
        <v>3954703</v>
      </c>
      <c r="D168" s="424">
        <v>143655</v>
      </c>
      <c r="E168" s="424">
        <f t="shared" ref="E168:E176" si="18">D168-C168</f>
        <v>-3811048</v>
      </c>
      <c r="F168" s="362">
        <f t="shared" ref="F168:F176" si="19">IF(C168=0,0,E168/C168)</f>
        <v>-0.96367489543462559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618</v>
      </c>
      <c r="C169" s="424">
        <v>1155191</v>
      </c>
      <c r="D169" s="424">
        <v>33912</v>
      </c>
      <c r="E169" s="424">
        <f t="shared" si="18"/>
        <v>-1121279</v>
      </c>
      <c r="F169" s="362">
        <f t="shared" si="19"/>
        <v>-0.9706438156114443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619</v>
      </c>
      <c r="C170" s="366">
        <f>IF(C168=0,0,C169/C168)</f>
        <v>0.2921056271482334</v>
      </c>
      <c r="D170" s="366">
        <f>IF(LN_IE14=0,0,LN_IE15/LN_IE14)</f>
        <v>0.23606557377049181</v>
      </c>
      <c r="E170" s="367">
        <f t="shared" si="18"/>
        <v>-5.6040053377741594E-2</v>
      </c>
      <c r="F170" s="362">
        <f t="shared" si="19"/>
        <v>-0.19184859232206172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620</v>
      </c>
      <c r="C171" s="366">
        <f>IF(C153=0,0,C168/C153)</f>
        <v>1.7314902705268154</v>
      </c>
      <c r="D171" s="366">
        <f>IF(LN_IE1=0,0,LN_IE14/LN_IE1)</f>
        <v>1.6078863717765044</v>
      </c>
      <c r="E171" s="367">
        <f t="shared" si="18"/>
        <v>-0.12360389875031097</v>
      </c>
      <c r="F171" s="362">
        <f t="shared" si="19"/>
        <v>-7.1385846547496801E-2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621</v>
      </c>
      <c r="C172" s="376">
        <f>C171*C156</f>
        <v>342.83507356430943</v>
      </c>
      <c r="D172" s="376">
        <f>LN_IE17*LN_IE4</f>
        <v>12.863090974212035</v>
      </c>
      <c r="E172" s="376">
        <f t="shared" si="18"/>
        <v>-329.97198259009741</v>
      </c>
      <c r="F172" s="362">
        <f t="shared" si="19"/>
        <v>-0.96248023622414136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622</v>
      </c>
      <c r="C173" s="378">
        <f>IF(C172=0,0,C169/C172)</f>
        <v>3369.5239754496934</v>
      </c>
      <c r="D173" s="378">
        <f>IF(LN_IE18=0,0,LN_IE15/LN_IE18)</f>
        <v>2636.3803278688524</v>
      </c>
      <c r="E173" s="378">
        <f t="shared" si="18"/>
        <v>-733.14364758084093</v>
      </c>
      <c r="F173" s="362">
        <f t="shared" si="19"/>
        <v>-0.21758077785542282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663</v>
      </c>
      <c r="C174" s="378">
        <f>C61-C173</f>
        <v>1979.3032245618351</v>
      </c>
      <c r="D174" s="378">
        <f>LN_IB18-LN_IE19</f>
        <v>3351.0660525041044</v>
      </c>
      <c r="E174" s="378">
        <f t="shared" si="18"/>
        <v>1371.7628279422693</v>
      </c>
      <c r="F174" s="362">
        <f t="shared" si="19"/>
        <v>0.69305339925667075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664</v>
      </c>
      <c r="C175" s="378">
        <f>C32-C173</f>
        <v>2963.1906585762763</v>
      </c>
      <c r="D175" s="378">
        <f>LN_IA16-LN_IE19</f>
        <v>3591.9078110440928</v>
      </c>
      <c r="E175" s="378">
        <f t="shared" si="18"/>
        <v>628.7171524678165</v>
      </c>
      <c r="F175" s="362">
        <f t="shared" si="19"/>
        <v>0.21217573383209035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633</v>
      </c>
      <c r="C176" s="353">
        <f>C175*C172</f>
        <v>1015885.6874180721</v>
      </c>
      <c r="D176" s="353">
        <f>LN_IE21*LN_IE18</f>
        <v>46203.036944442982</v>
      </c>
      <c r="E176" s="353">
        <f t="shared" si="18"/>
        <v>-969682.65047362912</v>
      </c>
      <c r="F176" s="362">
        <f t="shared" si="19"/>
        <v>-0.95451945281179174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665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624</v>
      </c>
      <c r="C179" s="361">
        <f>C153+C168</f>
        <v>6238691</v>
      </c>
      <c r="D179" s="361">
        <f>LN_IE1+LN_IE14</f>
        <v>232999</v>
      </c>
      <c r="E179" s="361">
        <f>D179-C179</f>
        <v>-6005692</v>
      </c>
      <c r="F179" s="362">
        <f>IF(C179=0,0,E179/C179)</f>
        <v>-0.96265258208813353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625</v>
      </c>
      <c r="C180" s="361">
        <f>C154+C169</f>
        <v>2155966</v>
      </c>
      <c r="D180" s="361">
        <f>LN_IE15+LN_IE2</f>
        <v>67869</v>
      </c>
      <c r="E180" s="361">
        <f>D180-C180</f>
        <v>-2088097</v>
      </c>
      <c r="F180" s="362">
        <f>IF(C180=0,0,E180/C180)</f>
        <v>-0.96852037555323234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626</v>
      </c>
      <c r="C181" s="361">
        <f>C179-C180</f>
        <v>4082725</v>
      </c>
      <c r="D181" s="361">
        <f>LN_IE23-LN_IE24</f>
        <v>165130</v>
      </c>
      <c r="E181" s="361">
        <f>D181-C181</f>
        <v>-3917595</v>
      </c>
      <c r="F181" s="362">
        <f>IF(C181=0,0,E181/C181)</f>
        <v>-0.95955397436760992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666</v>
      </c>
      <c r="C183" s="361">
        <f>C162+C176</f>
        <v>1366559.2904009623</v>
      </c>
      <c r="D183" s="361">
        <f>LN_IE10+LN_IE22</f>
        <v>70145.686709365298</v>
      </c>
      <c r="E183" s="353">
        <f>D183-C183</f>
        <v>-1296413.603691597</v>
      </c>
      <c r="F183" s="362">
        <f>IF(C183=0,0,E183/C183)</f>
        <v>-0.94866985486682842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354</v>
      </c>
      <c r="B185" s="356" t="s">
        <v>667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668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608</v>
      </c>
      <c r="C188" s="361">
        <f>C118+C153</f>
        <v>11497357</v>
      </c>
      <c r="D188" s="361">
        <f>LN_ID1+LN_IE1</f>
        <v>12151370</v>
      </c>
      <c r="E188" s="361">
        <f t="shared" ref="E188:E200" si="20">D188-C188</f>
        <v>654013</v>
      </c>
      <c r="F188" s="362">
        <f t="shared" ref="F188:F200" si="21">IF(C188=0,0,E188/C188)</f>
        <v>5.6883769026220547E-2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609</v>
      </c>
      <c r="C189" s="361">
        <f>C119+C154</f>
        <v>5384674</v>
      </c>
      <c r="D189" s="361">
        <f>LN_1D2+LN_IE2</f>
        <v>5584649</v>
      </c>
      <c r="E189" s="361">
        <f t="shared" si="20"/>
        <v>199975</v>
      </c>
      <c r="F189" s="362">
        <f t="shared" si="21"/>
        <v>3.7137810014125278E-2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610</v>
      </c>
      <c r="C190" s="366">
        <f>IF(C188=0,0,C189/C188)</f>
        <v>0.46834015852512884</v>
      </c>
      <c r="D190" s="366">
        <f>IF(LN_IF1=0,0,LN_IF2/LN_IF1)</f>
        <v>0.45959007091381465</v>
      </c>
      <c r="E190" s="367">
        <f t="shared" si="20"/>
        <v>-8.7500876113141834E-3</v>
      </c>
      <c r="F190" s="362">
        <f t="shared" si="21"/>
        <v>-1.868318881487652E-2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1133</v>
      </c>
      <c r="D191" s="369">
        <f>LN_ID4+LN_IE4</f>
        <v>1200</v>
      </c>
      <c r="E191" s="369">
        <f t="shared" si="20"/>
        <v>67</v>
      </c>
      <c r="F191" s="362">
        <f t="shared" si="21"/>
        <v>5.9135039717563988E-2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611</v>
      </c>
      <c r="C192" s="372">
        <f>IF((C121+C156)=0,0,(C123+C158)/(C121+C156))</f>
        <v>0.88289805825242718</v>
      </c>
      <c r="D192" s="372">
        <f>IF((LN_ID4+LN_IE4)=0,0,(LN_ID6+LN_IE6)/(LN_ID4+LN_IE4))</f>
        <v>0.9732293333333335</v>
      </c>
      <c r="E192" s="373">
        <f t="shared" si="20"/>
        <v>9.0331275080906326E-2</v>
      </c>
      <c r="F192" s="362">
        <f t="shared" si="21"/>
        <v>0.10231223665810797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612</v>
      </c>
      <c r="C193" s="376">
        <f>C123+C158</f>
        <v>1000.3235</v>
      </c>
      <c r="D193" s="376">
        <f>LN_IF4*LN_IF5</f>
        <v>1167.8752000000002</v>
      </c>
      <c r="E193" s="376">
        <f t="shared" si="20"/>
        <v>167.55170000000021</v>
      </c>
      <c r="F193" s="362">
        <f t="shared" si="21"/>
        <v>0.16749751455404199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613</v>
      </c>
      <c r="C194" s="378">
        <f>IF(C193=0,0,C189/C193)</f>
        <v>5382.9326212970109</v>
      </c>
      <c r="D194" s="378">
        <f>IF(LN_IF6=0,0,LN_IF2/LN_IF6)</f>
        <v>4781.8885100051775</v>
      </c>
      <c r="E194" s="378">
        <f t="shared" si="20"/>
        <v>-601.04411129183336</v>
      </c>
      <c r="F194" s="362">
        <f t="shared" si="21"/>
        <v>-0.11165737221266064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669</v>
      </c>
      <c r="C195" s="378">
        <f>C48-C194</f>
        <v>1139.3693195013184</v>
      </c>
      <c r="D195" s="378">
        <f>LN_IB7-LN_IF7</f>
        <v>2636.2336762910209</v>
      </c>
      <c r="E195" s="378">
        <f t="shared" si="20"/>
        <v>1496.8643567897025</v>
      </c>
      <c r="F195" s="362">
        <f t="shared" si="21"/>
        <v>1.313765722114453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670</v>
      </c>
      <c r="C196" s="378">
        <f>C21-C194</f>
        <v>1501.0794763964659</v>
      </c>
      <c r="D196" s="378">
        <f>LN_IA7-LN_IF7</f>
        <v>2001.1070107214291</v>
      </c>
      <c r="E196" s="378">
        <f t="shared" si="20"/>
        <v>500.0275343249632</v>
      </c>
      <c r="F196" s="362">
        <f t="shared" si="21"/>
        <v>0.33311196521408948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630</v>
      </c>
      <c r="C197" s="391">
        <f>C127+C162</f>
        <v>1501565.0756070802</v>
      </c>
      <c r="D197" s="391">
        <f>LN_IF9*LN_IF6</f>
        <v>2337043.2503676917</v>
      </c>
      <c r="E197" s="391">
        <f t="shared" si="20"/>
        <v>835478.1747606115</v>
      </c>
      <c r="F197" s="362">
        <f t="shared" si="21"/>
        <v>0.55640490600970394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5057</v>
      </c>
      <c r="D198" s="369">
        <f>LN_ID11+LN_IE11</f>
        <v>4757</v>
      </c>
      <c r="E198" s="369">
        <f t="shared" si="20"/>
        <v>-300</v>
      </c>
      <c r="F198" s="362">
        <f t="shared" si="21"/>
        <v>-5.9323709709313825E-2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614</v>
      </c>
      <c r="C199" s="432">
        <f>IF(C198=0,0,C189/C198)</f>
        <v>1064.7961241842991</v>
      </c>
      <c r="D199" s="432">
        <f>IF(LN_IF11=0,0,LN_IF2/LN_IF11)</f>
        <v>1173.9854950599117</v>
      </c>
      <c r="E199" s="432">
        <f t="shared" si="20"/>
        <v>109.18937087561267</v>
      </c>
      <c r="F199" s="362">
        <f t="shared" si="21"/>
        <v>0.10254486130784765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615</v>
      </c>
      <c r="C200" s="379">
        <f>IF(C191=0,0,C198/C191)</f>
        <v>4.4633715798764344</v>
      </c>
      <c r="D200" s="379">
        <f>IF(LN_IF4=0,0,LN_IF11/LN_IF4)</f>
        <v>3.9641666666666668</v>
      </c>
      <c r="E200" s="379">
        <f t="shared" si="20"/>
        <v>-0.49920491320976756</v>
      </c>
      <c r="F200" s="362">
        <f t="shared" si="21"/>
        <v>-0.11184480258387712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671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617</v>
      </c>
      <c r="C203" s="361">
        <f>C133+C168</f>
        <v>22653367</v>
      </c>
      <c r="D203" s="361">
        <f>LN_ID14+LN_IE14</f>
        <v>26623321</v>
      </c>
      <c r="E203" s="361">
        <f t="shared" ref="E203:E211" si="22">D203-C203</f>
        <v>3969954</v>
      </c>
      <c r="F203" s="362">
        <f t="shared" ref="F203:F211" si="23">IF(C203=0,0,E203/C203)</f>
        <v>0.17524785609132629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618</v>
      </c>
      <c r="C204" s="361">
        <f>C134+C169</f>
        <v>7832244</v>
      </c>
      <c r="D204" s="361">
        <f>LN_ID15+LN_IE15</f>
        <v>9335869</v>
      </c>
      <c r="E204" s="361">
        <f t="shared" si="22"/>
        <v>1503625</v>
      </c>
      <c r="F204" s="362">
        <f t="shared" si="23"/>
        <v>0.19197882497021287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619</v>
      </c>
      <c r="C205" s="366">
        <f>IF(C203=0,0,C204/C203)</f>
        <v>0.34574304120001237</v>
      </c>
      <c r="D205" s="366">
        <f>IF(LN_IF14=0,0,LN_IF15/LN_IF14)</f>
        <v>0.35066508043831196</v>
      </c>
      <c r="E205" s="367">
        <f t="shared" si="22"/>
        <v>4.9220392382995914E-3</v>
      </c>
      <c r="F205" s="362">
        <f t="shared" si="23"/>
        <v>1.4236119463796212E-2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620</v>
      </c>
      <c r="C206" s="366">
        <f>IF(C188=0,0,C203/C188)</f>
        <v>1.9703108288278777</v>
      </c>
      <c r="D206" s="366">
        <f>IF(LN_IF1=0,0,LN_IF14/LN_IF1)</f>
        <v>2.1909727874305531</v>
      </c>
      <c r="E206" s="367">
        <f t="shared" si="22"/>
        <v>0.22066195860267546</v>
      </c>
      <c r="F206" s="362">
        <f t="shared" si="23"/>
        <v>0.11199347604151651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621</v>
      </c>
      <c r="C207" s="376">
        <f>C137+C172</f>
        <v>2240.4309301939525</v>
      </c>
      <c r="D207" s="376">
        <f>LN_ID18+LN_IE18</f>
        <v>2629.6508405612217</v>
      </c>
      <c r="E207" s="376">
        <f t="shared" si="22"/>
        <v>389.21991036726922</v>
      </c>
      <c r="F207" s="362">
        <f t="shared" si="23"/>
        <v>0.17372546732943681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622</v>
      </c>
      <c r="C208" s="378">
        <f>IF(C207=0,0,C204/C207)</f>
        <v>3495.8649670677278</v>
      </c>
      <c r="D208" s="378">
        <f>IF(LN_IF18=0,0,LN_IF15/LN_IF18)</f>
        <v>3550.2314056293244</v>
      </c>
      <c r="E208" s="378">
        <f t="shared" si="22"/>
        <v>54.366438561596624</v>
      </c>
      <c r="F208" s="362">
        <f t="shared" si="23"/>
        <v>1.5551641460338862E-2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672</v>
      </c>
      <c r="C209" s="378">
        <f>C61-C208</f>
        <v>1852.9622329438007</v>
      </c>
      <c r="D209" s="378">
        <f>LN_IB18-LN_IF19</f>
        <v>2437.2149747436324</v>
      </c>
      <c r="E209" s="378">
        <f t="shared" si="22"/>
        <v>584.25274179983171</v>
      </c>
      <c r="F209" s="362">
        <f t="shared" si="23"/>
        <v>0.31530742041710669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673</v>
      </c>
      <c r="C210" s="378">
        <f>C32-C208</f>
        <v>2836.8496669582419</v>
      </c>
      <c r="D210" s="378">
        <f>LN_IA16-LN_IF19</f>
        <v>2678.0567332836208</v>
      </c>
      <c r="E210" s="378">
        <f t="shared" si="22"/>
        <v>-158.79293367462105</v>
      </c>
      <c r="F210" s="362">
        <f t="shared" si="23"/>
        <v>-5.5975096433250111E-2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633</v>
      </c>
      <c r="C211" s="391">
        <f>C141+C176</f>
        <v>6355765.7381636593</v>
      </c>
      <c r="D211" s="353">
        <f>LN_IF21*LN_IF18</f>
        <v>7042354.1397499125</v>
      </c>
      <c r="E211" s="353">
        <f t="shared" si="22"/>
        <v>686588.4015862532</v>
      </c>
      <c r="F211" s="362">
        <f t="shared" si="23"/>
        <v>0.10802607110950975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674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624</v>
      </c>
      <c r="C214" s="361">
        <f>C188+C203</f>
        <v>34150724</v>
      </c>
      <c r="D214" s="361">
        <f>LN_IF1+LN_IF14</f>
        <v>38774691</v>
      </c>
      <c r="E214" s="361">
        <f>D214-C214</f>
        <v>4623967</v>
      </c>
      <c r="F214" s="362">
        <f>IF(C214=0,0,E214/C214)</f>
        <v>0.13539879857305515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625</v>
      </c>
      <c r="C215" s="361">
        <f>C189+C204</f>
        <v>13216918</v>
      </c>
      <c r="D215" s="361">
        <f>LN_IF2+LN_IF15</f>
        <v>14920518</v>
      </c>
      <c r="E215" s="361">
        <f>D215-C215</f>
        <v>1703600</v>
      </c>
      <c r="F215" s="362">
        <f>IF(C215=0,0,E215/C215)</f>
        <v>0.12889540511638189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626</v>
      </c>
      <c r="C216" s="361">
        <f>C214-C215</f>
        <v>20933806</v>
      </c>
      <c r="D216" s="361">
        <f>LN_IF23-LN_IF24</f>
        <v>23854173</v>
      </c>
      <c r="E216" s="361">
        <f>D216-C216</f>
        <v>2920367</v>
      </c>
      <c r="F216" s="362">
        <f>IF(C216=0,0,E216/C216)</f>
        <v>0.13950482774130993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366</v>
      </c>
      <c r="B218" s="356" t="s">
        <v>675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676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608</v>
      </c>
      <c r="C221" s="361">
        <v>675700</v>
      </c>
      <c r="D221" s="361">
        <v>436042</v>
      </c>
      <c r="E221" s="361">
        <f t="shared" ref="E221:E230" si="24">D221-C221</f>
        <v>-239658</v>
      </c>
      <c r="F221" s="362">
        <f t="shared" ref="F221:F230" si="25">IF(C221=0,0,E221/C221)</f>
        <v>-0.35468107148142669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609</v>
      </c>
      <c r="C222" s="361">
        <v>274836</v>
      </c>
      <c r="D222" s="361">
        <v>257522</v>
      </c>
      <c r="E222" s="361">
        <f t="shared" si="24"/>
        <v>-17314</v>
      </c>
      <c r="F222" s="362">
        <f t="shared" si="25"/>
        <v>-6.2997569459604996E-2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610</v>
      </c>
      <c r="C223" s="366">
        <f>IF(C221=0,0,C222/C221)</f>
        <v>0.40674263726505844</v>
      </c>
      <c r="D223" s="366">
        <f>IF(LN_IG1=0,0,LN_IG2/LN_IG1)</f>
        <v>0.59058989730347078</v>
      </c>
      <c r="E223" s="367">
        <f t="shared" si="24"/>
        <v>0.18384726003841234</v>
      </c>
      <c r="F223" s="362">
        <f t="shared" si="25"/>
        <v>0.45199898706121189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34</v>
      </c>
      <c r="D224" s="369">
        <v>33</v>
      </c>
      <c r="E224" s="369">
        <f t="shared" si="24"/>
        <v>-1</v>
      </c>
      <c r="F224" s="362">
        <f t="shared" si="25"/>
        <v>-2.9411764705882353E-2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611</v>
      </c>
      <c r="C225" s="372">
        <v>1.2007000000000001</v>
      </c>
      <c r="D225" s="372">
        <v>1.1505000000000001</v>
      </c>
      <c r="E225" s="373">
        <f t="shared" si="24"/>
        <v>-5.0200000000000022E-2</v>
      </c>
      <c r="F225" s="362">
        <f t="shared" si="25"/>
        <v>-4.1808944782210394E-2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612</v>
      </c>
      <c r="C226" s="376">
        <f>C224*C225</f>
        <v>40.823800000000006</v>
      </c>
      <c r="D226" s="376">
        <f>LN_IG3*LN_IG4</f>
        <v>37.966500000000003</v>
      </c>
      <c r="E226" s="376">
        <f t="shared" si="24"/>
        <v>-2.8573000000000022</v>
      </c>
      <c r="F226" s="362">
        <f t="shared" si="25"/>
        <v>-6.9991034641557176E-2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613</v>
      </c>
      <c r="C227" s="378">
        <f>IF(C226=0,0,C222/C226)</f>
        <v>6732.2493251485648</v>
      </c>
      <c r="D227" s="378">
        <f>IF(LN_IG5=0,0,LN_IG2/LN_IG5)</f>
        <v>6782.8743760947145</v>
      </c>
      <c r="E227" s="378">
        <f t="shared" si="24"/>
        <v>50.625050946149713</v>
      </c>
      <c r="F227" s="362">
        <f t="shared" si="25"/>
        <v>7.5197825423722756E-3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213</v>
      </c>
      <c r="D228" s="369">
        <v>112</v>
      </c>
      <c r="E228" s="369">
        <f t="shared" si="24"/>
        <v>-101</v>
      </c>
      <c r="F228" s="362">
        <f t="shared" si="25"/>
        <v>-0.47417840375586856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614</v>
      </c>
      <c r="C229" s="378">
        <f>IF(C228=0,0,C222/C228)</f>
        <v>1290.3098591549297</v>
      </c>
      <c r="D229" s="378">
        <f>IF(LN_IG6=0,0,LN_IG2/LN_IG6)</f>
        <v>2299.3035714285716</v>
      </c>
      <c r="E229" s="378">
        <f t="shared" si="24"/>
        <v>1008.9937122736419</v>
      </c>
      <c r="F229" s="362">
        <f t="shared" si="25"/>
        <v>0.78197783665271547</v>
      </c>
      <c r="Q229" s="330"/>
      <c r="U229" s="375"/>
    </row>
    <row r="230" spans="1:21" ht="11.25" customHeight="1" x14ac:dyDescent="0.2">
      <c r="A230" s="364">
        <v>10</v>
      </c>
      <c r="B230" s="360" t="s">
        <v>615</v>
      </c>
      <c r="C230" s="379">
        <f>IF(C224=0,0,C228/C224)</f>
        <v>6.2647058823529411</v>
      </c>
      <c r="D230" s="379">
        <f>IF(LN_IG3=0,0,LN_IG6/LN_IG3)</f>
        <v>3.393939393939394</v>
      </c>
      <c r="E230" s="379">
        <f t="shared" si="24"/>
        <v>-2.8707664884135471</v>
      </c>
      <c r="F230" s="362">
        <f t="shared" si="25"/>
        <v>-0.45824441599089483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677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617</v>
      </c>
      <c r="C233" s="361">
        <v>379494</v>
      </c>
      <c r="D233" s="361">
        <v>442575</v>
      </c>
      <c r="E233" s="361">
        <f>D233-C233</f>
        <v>63081</v>
      </c>
      <c r="F233" s="362">
        <f>IF(C233=0,0,E233/C233)</f>
        <v>0.16622397192050467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618</v>
      </c>
      <c r="C234" s="361">
        <v>156734</v>
      </c>
      <c r="D234" s="361">
        <v>201704</v>
      </c>
      <c r="E234" s="361">
        <f>D234-C234</f>
        <v>44970</v>
      </c>
      <c r="F234" s="362">
        <f>IF(C234=0,0,E234/C234)</f>
        <v>0.28691923896538085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678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624</v>
      </c>
      <c r="C237" s="361">
        <f>C221+C233</f>
        <v>1055194</v>
      </c>
      <c r="D237" s="361">
        <f>LN_IG1+LN_IG9</f>
        <v>878617</v>
      </c>
      <c r="E237" s="361">
        <f>D237-C237</f>
        <v>-176577</v>
      </c>
      <c r="F237" s="362">
        <f>IF(C237=0,0,E237/C237)</f>
        <v>-0.16734079230928151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625</v>
      </c>
      <c r="C238" s="361">
        <f>C222+C234</f>
        <v>431570</v>
      </c>
      <c r="D238" s="361">
        <f>LN_IG2+LN_IG10</f>
        <v>459226</v>
      </c>
      <c r="E238" s="361">
        <f>D238-C238</f>
        <v>27656</v>
      </c>
      <c r="F238" s="362">
        <f>IF(C238=0,0,E238/C238)</f>
        <v>6.4082304145329838E-2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626</v>
      </c>
      <c r="C239" s="361">
        <f>C237-C238</f>
        <v>623624</v>
      </c>
      <c r="D239" s="361">
        <f>LN_IG13-LN_IG14</f>
        <v>419391</v>
      </c>
      <c r="E239" s="361">
        <f>D239-C239</f>
        <v>-204233</v>
      </c>
      <c r="F239" s="362">
        <f>IF(C239=0,0,E239/C239)</f>
        <v>-0.32749381037291703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370</v>
      </c>
      <c r="B241" s="356" t="s">
        <v>679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680</v>
      </c>
      <c r="C243" s="361">
        <v>5277783</v>
      </c>
      <c r="D243" s="361">
        <v>4949386</v>
      </c>
      <c r="E243" s="353">
        <f>D243-C243</f>
        <v>-328397</v>
      </c>
      <c r="F243" s="415">
        <f>IF(C243=0,0,E243/C243)</f>
        <v>-6.2222527906130282E-2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681</v>
      </c>
      <c r="C244" s="361">
        <v>108897163</v>
      </c>
      <c r="D244" s="361">
        <v>113880767</v>
      </c>
      <c r="E244" s="353">
        <f>D244-C244</f>
        <v>4983604</v>
      </c>
      <c r="F244" s="415">
        <f>IF(C244=0,0,E244/C244)</f>
        <v>4.5764314355921286E-2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682</v>
      </c>
      <c r="C245" s="400">
        <v>616056</v>
      </c>
      <c r="D245" s="400">
        <v>0</v>
      </c>
      <c r="E245" s="400">
        <f>D245-C245</f>
        <v>-616056</v>
      </c>
      <c r="F245" s="401">
        <f>IF(C245=0,0,E245/C245)</f>
        <v>-1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683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684</v>
      </c>
      <c r="C248" s="353">
        <v>1421695</v>
      </c>
      <c r="D248" s="353">
        <v>1726098</v>
      </c>
      <c r="E248" s="353">
        <f>D248-C248</f>
        <v>304403</v>
      </c>
      <c r="F248" s="362">
        <f>IF(C248=0,0,E248/C248)</f>
        <v>0.21411273163371891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685</v>
      </c>
      <c r="C249" s="353">
        <v>2413649</v>
      </c>
      <c r="D249" s="353">
        <v>2129955</v>
      </c>
      <c r="E249" s="353">
        <f>D249-C249</f>
        <v>-283694</v>
      </c>
      <c r="F249" s="362">
        <f>IF(C249=0,0,E249/C249)</f>
        <v>-0.11753738841065954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686</v>
      </c>
      <c r="C250" s="353">
        <f>C248+C249</f>
        <v>3835344</v>
      </c>
      <c r="D250" s="353">
        <f>LN_IH4+LN_IH5</f>
        <v>3856053</v>
      </c>
      <c r="E250" s="353">
        <f>D250-C250</f>
        <v>20709</v>
      </c>
      <c r="F250" s="362">
        <f>IF(C250=0,0,E250/C250)</f>
        <v>5.3995156627410735E-3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687</v>
      </c>
      <c r="C251" s="353">
        <f>C250*C313</f>
        <v>2059714.7470902754</v>
      </c>
      <c r="D251" s="353">
        <f>LN_IH6*LN_III10</f>
        <v>1982434.9251770256</v>
      </c>
      <c r="E251" s="353">
        <f>D251-C251</f>
        <v>-77279.821913249791</v>
      </c>
      <c r="F251" s="362">
        <f>IF(C251=0,0,E251/C251)</f>
        <v>-3.7519672091692165E-2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688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624</v>
      </c>
      <c r="C254" s="353">
        <f>C188+C203</f>
        <v>34150724</v>
      </c>
      <c r="D254" s="353">
        <f>LN_IF23</f>
        <v>38774691</v>
      </c>
      <c r="E254" s="353">
        <f>D254-C254</f>
        <v>4623967</v>
      </c>
      <c r="F254" s="362">
        <f>IF(C254=0,0,E254/C254)</f>
        <v>0.13539879857305515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625</v>
      </c>
      <c r="C255" s="353">
        <f>C189+C204</f>
        <v>13216918</v>
      </c>
      <c r="D255" s="353">
        <f>LN_IF24</f>
        <v>14920518</v>
      </c>
      <c r="E255" s="353">
        <f>D255-C255</f>
        <v>1703600</v>
      </c>
      <c r="F255" s="362">
        <f>IF(C255=0,0,E255/C255)</f>
        <v>0.12889540511638189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689</v>
      </c>
      <c r="C256" s="353">
        <f>C254*C313</f>
        <v>18340141.026883066</v>
      </c>
      <c r="D256" s="353">
        <f>LN_IH8*LN_III10</f>
        <v>19934451.536674235</v>
      </c>
      <c r="E256" s="353">
        <f>D256-C256</f>
        <v>1594310.5097911693</v>
      </c>
      <c r="F256" s="362">
        <f>IF(C256=0,0,E256/C256)</f>
        <v>8.6930111794354323E-2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690</v>
      </c>
      <c r="C257" s="353">
        <f>C256-C255</f>
        <v>5123223.0268830657</v>
      </c>
      <c r="D257" s="353">
        <f>LN_IH10-LN_IH9</f>
        <v>5013933.536674235</v>
      </c>
      <c r="E257" s="353">
        <f>D257-C257</f>
        <v>-109289.49020883068</v>
      </c>
      <c r="F257" s="362">
        <f>IF(C257=0,0,E257/C257)</f>
        <v>-2.1332175006896326E-2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691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692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693</v>
      </c>
      <c r="C261" s="361">
        <f>C15+C42+C188+C221</f>
        <v>81079809</v>
      </c>
      <c r="D261" s="361">
        <f>LN_IA1+LN_IB1+LN_IF1+LN_IG1</f>
        <v>87023589</v>
      </c>
      <c r="E261" s="361">
        <f t="shared" ref="E261:E274" si="26">D261-C261</f>
        <v>5943780</v>
      </c>
      <c r="F261" s="415">
        <f t="shared" ref="F261:F274" si="27">IF(C261=0,0,E261/C261)</f>
        <v>7.3307770125605506E-2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694</v>
      </c>
      <c r="C262" s="361">
        <f>C16+C43+C189+C222</f>
        <v>52471912</v>
      </c>
      <c r="D262" s="361">
        <f>+LN_IA2+LN_IB2+LN_IF2+LN_IG2</f>
        <v>54491664</v>
      </c>
      <c r="E262" s="361">
        <f t="shared" si="26"/>
        <v>2019752</v>
      </c>
      <c r="F262" s="415">
        <f t="shared" si="27"/>
        <v>3.8492060285510464E-2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695</v>
      </c>
      <c r="C263" s="366">
        <f>IF(C261=0,0,C262/C261)</f>
        <v>0.64716373468516686</v>
      </c>
      <c r="D263" s="366">
        <f>IF(LN_IIA1=0,0,LN_IIA2/LN_IIA1)</f>
        <v>0.62617118675719063</v>
      </c>
      <c r="E263" s="367">
        <f t="shared" si="26"/>
        <v>-2.0992547927976224E-2</v>
      </c>
      <c r="F263" s="371">
        <f t="shared" si="27"/>
        <v>-3.2437769304531114E-2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696</v>
      </c>
      <c r="C264" s="369">
        <f>C18+C45+C191+C224</f>
        <v>6438</v>
      </c>
      <c r="D264" s="369">
        <f>LN_IA4+LN_IB4+LN_IF4+LN_IG3</f>
        <v>6512</v>
      </c>
      <c r="E264" s="369">
        <f t="shared" si="26"/>
        <v>74</v>
      </c>
      <c r="F264" s="415">
        <f t="shared" si="27"/>
        <v>1.1494252873563218E-2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697</v>
      </c>
      <c r="C265" s="439">
        <f>IF(C264=0,0,C266/C264)</f>
        <v>1.2352521745883815</v>
      </c>
      <c r="D265" s="439">
        <f>IF(LN_IIA4=0,0,LN_IIA6/LN_IIA4)</f>
        <v>1.2575670915233417</v>
      </c>
      <c r="E265" s="439">
        <f t="shared" si="26"/>
        <v>2.2314916934960127E-2</v>
      </c>
      <c r="F265" s="415">
        <f t="shared" si="27"/>
        <v>1.806506994605862E-2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698</v>
      </c>
      <c r="C266" s="376">
        <f>C20+C47+C193+C226</f>
        <v>7952.5535</v>
      </c>
      <c r="D266" s="376">
        <f>LN_IA6+LN_IB6+LN_IF6+LN_IG5</f>
        <v>8189.2769000000008</v>
      </c>
      <c r="E266" s="376">
        <f t="shared" si="26"/>
        <v>236.72340000000077</v>
      </c>
      <c r="F266" s="415">
        <f t="shared" si="27"/>
        <v>2.9766967301760469E-2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699</v>
      </c>
      <c r="C267" s="361">
        <f>C27+C56+C203+C233</f>
        <v>107142997</v>
      </c>
      <c r="D267" s="361">
        <f>LN_IA11+LN_IB13+LN_IF14+LN_IG9</f>
        <v>121606008</v>
      </c>
      <c r="E267" s="361">
        <f t="shared" si="26"/>
        <v>14463011</v>
      </c>
      <c r="F267" s="415">
        <f t="shared" si="27"/>
        <v>0.13498792646242666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620</v>
      </c>
      <c r="C268" s="366">
        <f>IF(C261=0,0,C267/C261)</f>
        <v>1.3214510285785206</v>
      </c>
      <c r="D268" s="366">
        <f>IF(LN_IIA1=0,0,LN_IIA7/LN_IIA1)</f>
        <v>1.3973913211049018</v>
      </c>
      <c r="E268" s="367">
        <f t="shared" si="26"/>
        <v>7.5940292526381237E-2</v>
      </c>
      <c r="F268" s="371">
        <f t="shared" si="27"/>
        <v>5.7467352844751192E-2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700</v>
      </c>
      <c r="C269" s="361">
        <f>C28+C57+C204+C234</f>
        <v>48076673</v>
      </c>
      <c r="D269" s="361">
        <f>LN_IA12+LN_IB14+LN_IF15+LN_IG10</f>
        <v>52784048</v>
      </c>
      <c r="E269" s="361">
        <f t="shared" si="26"/>
        <v>4707375</v>
      </c>
      <c r="F269" s="415">
        <f t="shared" si="27"/>
        <v>9.791390930899066E-2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619</v>
      </c>
      <c r="C270" s="366">
        <f>IF(C267=0,0,C269/C267)</f>
        <v>0.44871502894398224</v>
      </c>
      <c r="D270" s="366">
        <f>IF(LN_IIA7=0,0,LN_IIA9/LN_IIA7)</f>
        <v>0.43405789621841712</v>
      </c>
      <c r="E270" s="367">
        <f t="shared" si="26"/>
        <v>-1.4657132725565125E-2</v>
      </c>
      <c r="F270" s="371">
        <f t="shared" si="27"/>
        <v>-3.2664679763589839E-2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701</v>
      </c>
      <c r="C271" s="353">
        <f>C261+C267</f>
        <v>188222806</v>
      </c>
      <c r="D271" s="353">
        <f>LN_IIA1+LN_IIA7</f>
        <v>208629597</v>
      </c>
      <c r="E271" s="353">
        <f t="shared" si="26"/>
        <v>20406791</v>
      </c>
      <c r="F271" s="415">
        <f t="shared" si="27"/>
        <v>0.10841826999433851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702</v>
      </c>
      <c r="C272" s="353">
        <f>C262+C269</f>
        <v>100548585</v>
      </c>
      <c r="D272" s="353">
        <f>LN_IIA2+LN_IIA9</f>
        <v>107275712</v>
      </c>
      <c r="E272" s="353">
        <f t="shared" si="26"/>
        <v>6727127</v>
      </c>
      <c r="F272" s="415">
        <f t="shared" si="27"/>
        <v>6.6904243356582294E-2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703</v>
      </c>
      <c r="C273" s="366">
        <f>IF(C271=0,0,C272/C271)</f>
        <v>0.53419979829649333</v>
      </c>
      <c r="D273" s="366">
        <f>IF(LN_IIA11=0,0,LN_IIA12/LN_IIA11)</f>
        <v>0.51419220255695552</v>
      </c>
      <c r="E273" s="367">
        <f t="shared" si="26"/>
        <v>-2.0007595739537809E-2</v>
      </c>
      <c r="F273" s="371">
        <f t="shared" si="27"/>
        <v>-3.74533944103684E-2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27979</v>
      </c>
      <c r="D274" s="421">
        <f>LN_IA8+LN_IB10+LN_IF11+LN_IG6</f>
        <v>27425</v>
      </c>
      <c r="E274" s="442">
        <f t="shared" si="26"/>
        <v>-554</v>
      </c>
      <c r="F274" s="371">
        <f t="shared" si="27"/>
        <v>-1.980056470924622E-2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704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705</v>
      </c>
      <c r="C277" s="361">
        <f>C15+C188+C221</f>
        <v>60941315</v>
      </c>
      <c r="D277" s="361">
        <f>LN_IA1+LN_IF1+LN_IG1</f>
        <v>65717235</v>
      </c>
      <c r="E277" s="361">
        <f t="shared" ref="E277:E291" si="28">D277-C277</f>
        <v>4775920</v>
      </c>
      <c r="F277" s="415">
        <f t="shared" ref="F277:F291" si="29">IF(C277=0,0,E277/C277)</f>
        <v>7.8369165483219386E-2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706</v>
      </c>
      <c r="C278" s="361">
        <f>C16+C189+C222</f>
        <v>38663090</v>
      </c>
      <c r="D278" s="361">
        <f>LN_IA2+LN_IF2+LN_IG2</f>
        <v>39531264</v>
      </c>
      <c r="E278" s="361">
        <f t="shared" si="28"/>
        <v>868174</v>
      </c>
      <c r="F278" s="415">
        <f t="shared" si="29"/>
        <v>2.2454852935965542E-2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707</v>
      </c>
      <c r="C279" s="366">
        <f>IF(C277=0,0,C278/C277)</f>
        <v>0.63443150184731001</v>
      </c>
      <c r="D279" s="366">
        <f>IF(D277=0,0,LN_IIB2/D277)</f>
        <v>0.60153571585901322</v>
      </c>
      <c r="E279" s="367">
        <f t="shared" si="28"/>
        <v>-3.2895785988296788E-2</v>
      </c>
      <c r="F279" s="371">
        <f t="shared" si="29"/>
        <v>-5.1850807995051117E-2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708</v>
      </c>
      <c r="C280" s="369">
        <f>C18+C191+C224</f>
        <v>4538</v>
      </c>
      <c r="D280" s="369">
        <f>LN_IA4+LN_IF4+LN_IG3</f>
        <v>4765</v>
      </c>
      <c r="E280" s="369">
        <f t="shared" si="28"/>
        <v>227</v>
      </c>
      <c r="F280" s="415">
        <f t="shared" si="29"/>
        <v>5.0022036139268401E-2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709</v>
      </c>
      <c r="C281" s="439">
        <f>IF(C280=0,0,C282/C280)</f>
        <v>1.2858932349052445</v>
      </c>
      <c r="D281" s="439">
        <f>IF(LN_IIB4=0,0,LN_IIB6/LN_IIB4)</f>
        <v>1.2953914165792235</v>
      </c>
      <c r="E281" s="439">
        <f t="shared" si="28"/>
        <v>9.4981816739789782E-3</v>
      </c>
      <c r="F281" s="415">
        <f t="shared" si="29"/>
        <v>7.3864465697098753E-3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710</v>
      </c>
      <c r="C282" s="376">
        <f>C20+C193+C226</f>
        <v>5835.3834999999999</v>
      </c>
      <c r="D282" s="376">
        <f>LN_IA6+LN_IF6+LN_IG5</f>
        <v>6172.5401000000002</v>
      </c>
      <c r="E282" s="376">
        <f t="shared" si="28"/>
        <v>337.15660000000025</v>
      </c>
      <c r="F282" s="415">
        <f t="shared" si="29"/>
        <v>5.7777967806229062E-2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711</v>
      </c>
      <c r="C283" s="361">
        <f>C27+C203+C233</f>
        <v>58274602</v>
      </c>
      <c r="D283" s="361">
        <f>LN_IA11+LN_IF14+LN_IG9</f>
        <v>68251959</v>
      </c>
      <c r="E283" s="361">
        <f t="shared" si="28"/>
        <v>9977357</v>
      </c>
      <c r="F283" s="415">
        <f t="shared" si="29"/>
        <v>0.17121278666133147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712</v>
      </c>
      <c r="C284" s="366">
        <f>IF(C277=0,0,C283/C277)</f>
        <v>0.95624129541674641</v>
      </c>
      <c r="D284" s="366">
        <f>IF(D277=0,0,LN_IIB7/D277)</f>
        <v>1.0385701559111549</v>
      </c>
      <c r="E284" s="367">
        <f t="shared" si="28"/>
        <v>8.2328860494408462E-2</v>
      </c>
      <c r="F284" s="371">
        <f t="shared" si="29"/>
        <v>8.6096324106697486E-2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713</v>
      </c>
      <c r="C285" s="361">
        <f>C28+C204+C234</f>
        <v>23415527</v>
      </c>
      <c r="D285" s="361">
        <f>LN_IA12+LN_IF15+LN_IG10</f>
        <v>26590593</v>
      </c>
      <c r="E285" s="361">
        <f t="shared" si="28"/>
        <v>3175066</v>
      </c>
      <c r="F285" s="415">
        <f t="shared" si="29"/>
        <v>0.13559660647398625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714</v>
      </c>
      <c r="C286" s="366">
        <f>IF(C283=0,0,C285/C283)</f>
        <v>0.4018135893918246</v>
      </c>
      <c r="D286" s="366">
        <f>IF(LN_IIB7=0,0,LN_IIB9/LN_IIB7)</f>
        <v>0.38959457559306099</v>
      </c>
      <c r="E286" s="367">
        <f t="shared" si="28"/>
        <v>-1.2219013798763612E-2</v>
      </c>
      <c r="F286" s="371">
        <f t="shared" si="29"/>
        <v>-3.0409657914402591E-2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715</v>
      </c>
      <c r="C287" s="353">
        <f>C277+C283</f>
        <v>119215917</v>
      </c>
      <c r="D287" s="353">
        <f>D277+LN_IIB7</f>
        <v>133969194</v>
      </c>
      <c r="E287" s="353">
        <f t="shared" si="28"/>
        <v>14753277</v>
      </c>
      <c r="F287" s="415">
        <f t="shared" si="29"/>
        <v>0.12375257743477325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716</v>
      </c>
      <c r="C288" s="353">
        <f>C278+C285</f>
        <v>62078617</v>
      </c>
      <c r="D288" s="353">
        <f>LN_IIB2+LN_IIB9</f>
        <v>66121857</v>
      </c>
      <c r="E288" s="353">
        <f t="shared" si="28"/>
        <v>4043240</v>
      </c>
      <c r="F288" s="415">
        <f t="shared" si="29"/>
        <v>6.5130961277697283E-2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717</v>
      </c>
      <c r="C289" s="366">
        <f>IF(C287=0,0,C288/C287)</f>
        <v>0.52072423349308294</v>
      </c>
      <c r="D289" s="366">
        <f>IF(LN_IIB11=0,0,LN_IIB12/LN_IIB11)</f>
        <v>0.49356016130096297</v>
      </c>
      <c r="E289" s="367">
        <f t="shared" si="28"/>
        <v>-2.716407219211997E-2</v>
      </c>
      <c r="F289" s="371">
        <f t="shared" si="29"/>
        <v>-5.2165945897889164E-2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21520</v>
      </c>
      <c r="D290" s="421">
        <f>LN_IA8+LN_IF11+LN_IG6</f>
        <v>21589</v>
      </c>
      <c r="E290" s="442">
        <f t="shared" si="28"/>
        <v>69</v>
      </c>
      <c r="F290" s="371">
        <f t="shared" si="29"/>
        <v>3.2063197026022303E-3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718</v>
      </c>
      <c r="C291" s="361">
        <f>C287-C288</f>
        <v>57137300</v>
      </c>
      <c r="D291" s="429">
        <f>LN_IIB11-LN_IIB12</f>
        <v>67847337</v>
      </c>
      <c r="E291" s="353">
        <f t="shared" si="28"/>
        <v>10710037</v>
      </c>
      <c r="F291" s="415">
        <f t="shared" si="29"/>
        <v>0.18744387641698154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615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606</v>
      </c>
      <c r="C294" s="379">
        <f>IF(C18=0,0,C22/C18)</f>
        <v>4.8205280332245621</v>
      </c>
      <c r="D294" s="379">
        <f>IF(LN_IA4=0,0,LN_IA8/LN_IA4)</f>
        <v>4.7338618346545864</v>
      </c>
      <c r="E294" s="379">
        <f t="shared" ref="E294:E300" si="30">D294-C294</f>
        <v>-8.6666198569975705E-2</v>
      </c>
      <c r="F294" s="415">
        <f t="shared" ref="F294:F300" si="31">IF(C294=0,0,E294/C294)</f>
        <v>-1.7978569561808499E-2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627</v>
      </c>
      <c r="C295" s="379">
        <f>IF(C45=0,0,C51/C45)</f>
        <v>3.3994736842105264</v>
      </c>
      <c r="D295" s="379">
        <f>IF(LN_IB4=0,0,(LN_IB10)/(LN_IB4))</f>
        <v>3.3405838580423581</v>
      </c>
      <c r="E295" s="379">
        <f t="shared" si="30"/>
        <v>-5.8889826168168291E-2</v>
      </c>
      <c r="F295" s="415">
        <f t="shared" si="31"/>
        <v>-1.7323218721089915E-2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642</v>
      </c>
      <c r="C296" s="379">
        <f>IF(C86=0,0,C93/C86)</f>
        <v>4.7032258064516128</v>
      </c>
      <c r="D296" s="379">
        <f>IF(LN_IC4=0,0,LN_IC11/LN_IC4)</f>
        <v>3.911111111111111</v>
      </c>
      <c r="E296" s="379">
        <f t="shared" si="30"/>
        <v>-0.79211469534050183</v>
      </c>
      <c r="F296" s="415">
        <f t="shared" si="31"/>
        <v>-0.1684194482548392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4.2737967914438499</v>
      </c>
      <c r="D297" s="379">
        <f>IF(LN_ID4=0,0,LN_ID11/LN_ID4)</f>
        <v>3.9706375838926173</v>
      </c>
      <c r="E297" s="379">
        <f t="shared" si="30"/>
        <v>-0.3031592075512326</v>
      </c>
      <c r="F297" s="415">
        <f t="shared" si="31"/>
        <v>-7.0934399164264889E-2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719</v>
      </c>
      <c r="C298" s="379">
        <f>IF(C156=0,0,C163/C156)</f>
        <v>5.358585858585859</v>
      </c>
      <c r="D298" s="379">
        <f>IF(LN_IE4=0,0,LN_IE11/LN_IE4)</f>
        <v>3</v>
      </c>
      <c r="E298" s="379">
        <f t="shared" si="30"/>
        <v>-2.358585858585859</v>
      </c>
      <c r="F298" s="415">
        <f t="shared" si="31"/>
        <v>-0.44015080113100852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418</v>
      </c>
      <c r="C299" s="379">
        <f>IF(C224=0,0,C228/C224)</f>
        <v>6.2647058823529411</v>
      </c>
      <c r="D299" s="379">
        <f>IF(LN_IG3=0,0,LN_IG6/LN_IG3)</f>
        <v>3.393939393939394</v>
      </c>
      <c r="E299" s="379">
        <f t="shared" si="30"/>
        <v>-2.8707664884135471</v>
      </c>
      <c r="F299" s="415">
        <f t="shared" si="31"/>
        <v>-0.45824441599089483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720</v>
      </c>
      <c r="C300" s="379">
        <f>IF(C264=0,0,C274/C264)</f>
        <v>4.3459148803976388</v>
      </c>
      <c r="D300" s="379">
        <f>IF(LN_IIA4=0,0,LN_IIA14/LN_IIA4)</f>
        <v>4.2114557739557741</v>
      </c>
      <c r="E300" s="379">
        <f t="shared" si="30"/>
        <v>-0.13445910644186476</v>
      </c>
      <c r="F300" s="415">
        <f t="shared" si="31"/>
        <v>-3.0939194655731989E-2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721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715</v>
      </c>
      <c r="C304" s="353">
        <f>C35+C66+C214+C221+C233</f>
        <v>188222806</v>
      </c>
      <c r="D304" s="353">
        <f>LN_IIA11</f>
        <v>208629597</v>
      </c>
      <c r="E304" s="353">
        <f t="shared" ref="E304:E316" si="32">D304-C304</f>
        <v>20406791</v>
      </c>
      <c r="F304" s="362">
        <f>IF(C304=0,0,E304/C304)</f>
        <v>0.10841826999433851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718</v>
      </c>
      <c r="C305" s="353">
        <f>C291</f>
        <v>57137300</v>
      </c>
      <c r="D305" s="353">
        <f>LN_IIB14</f>
        <v>67847337</v>
      </c>
      <c r="E305" s="353">
        <f t="shared" si="32"/>
        <v>10710037</v>
      </c>
      <c r="F305" s="362">
        <f>IF(C305=0,0,E305/C305)</f>
        <v>0.18744387641698154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722</v>
      </c>
      <c r="C306" s="353">
        <f>C250</f>
        <v>3835344</v>
      </c>
      <c r="D306" s="353">
        <f>LN_IH6</f>
        <v>3856053</v>
      </c>
      <c r="E306" s="353">
        <f t="shared" si="32"/>
        <v>20709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723</v>
      </c>
      <c r="C307" s="353">
        <f>C73-C74</f>
        <v>26783945</v>
      </c>
      <c r="D307" s="353">
        <f>LN_IB32-LN_IB33</f>
        <v>29667671</v>
      </c>
      <c r="E307" s="353">
        <f t="shared" si="32"/>
        <v>2883726</v>
      </c>
      <c r="F307" s="362">
        <f t="shared" ref="F307:F316" si="33">IF(C307=0,0,E307/C307)</f>
        <v>0.10766621571243519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724</v>
      </c>
      <c r="C308" s="353">
        <v>0</v>
      </c>
      <c r="D308" s="353">
        <v>0</v>
      </c>
      <c r="E308" s="353">
        <f t="shared" si="32"/>
        <v>0</v>
      </c>
      <c r="F308" s="362">
        <f t="shared" si="33"/>
        <v>0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725</v>
      </c>
      <c r="C309" s="353">
        <f>C305+C307+C308+C306</f>
        <v>87756589</v>
      </c>
      <c r="D309" s="353">
        <f>LN_III2+LN_III3+LN_III4+LN_III5</f>
        <v>101371061</v>
      </c>
      <c r="E309" s="353">
        <f t="shared" si="32"/>
        <v>13614472</v>
      </c>
      <c r="F309" s="362">
        <f t="shared" si="33"/>
        <v>0.15513902893377043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726</v>
      </c>
      <c r="C310" s="353">
        <f>C304-C309</f>
        <v>100466217</v>
      </c>
      <c r="D310" s="353">
        <f>LN_III1-LN_III6</f>
        <v>107258536</v>
      </c>
      <c r="E310" s="353">
        <f t="shared" si="32"/>
        <v>6792319</v>
      </c>
      <c r="F310" s="362">
        <f t="shared" si="33"/>
        <v>6.760799005699597E-2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727</v>
      </c>
      <c r="C311" s="353">
        <f>C245</f>
        <v>616056</v>
      </c>
      <c r="D311" s="353">
        <f>LN_IH3</f>
        <v>0</v>
      </c>
      <c r="E311" s="353">
        <f t="shared" si="32"/>
        <v>-616056</v>
      </c>
      <c r="F311" s="362">
        <f t="shared" si="33"/>
        <v>-1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728</v>
      </c>
      <c r="C312" s="353">
        <f>C310+C311</f>
        <v>101082273</v>
      </c>
      <c r="D312" s="353">
        <f>LN_III7+LN_III8</f>
        <v>107258536</v>
      </c>
      <c r="E312" s="353">
        <f t="shared" si="32"/>
        <v>6176263</v>
      </c>
      <c r="F312" s="362">
        <f t="shared" si="33"/>
        <v>6.110134662286433E-2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729</v>
      </c>
      <c r="C313" s="448">
        <f>IF(C304=0,0,C312/C304)</f>
        <v>0.53703520390616211</v>
      </c>
      <c r="D313" s="448">
        <f>IF(LN_III1=0,0,LN_III9/LN_III1)</f>
        <v>0.51410987483238058</v>
      </c>
      <c r="E313" s="448">
        <f t="shared" si="32"/>
        <v>-2.2925329073781531E-2</v>
      </c>
      <c r="F313" s="362">
        <f t="shared" si="33"/>
        <v>-4.2688689506819276E-2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687</v>
      </c>
      <c r="C314" s="353">
        <f>C306*C313</f>
        <v>2059714.7470902754</v>
      </c>
      <c r="D314" s="353">
        <f>D313*LN_III5</f>
        <v>1982434.9251770256</v>
      </c>
      <c r="E314" s="353">
        <f t="shared" si="32"/>
        <v>-77279.821913249791</v>
      </c>
      <c r="F314" s="362">
        <f t="shared" si="33"/>
        <v>-3.7519672091692165E-2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690</v>
      </c>
      <c r="C315" s="353">
        <f>(C214*C313)-C215</f>
        <v>5123223.0268830657</v>
      </c>
      <c r="D315" s="353">
        <f>D313*LN_IH8-LN_IH9</f>
        <v>5013933.536674235</v>
      </c>
      <c r="E315" s="353">
        <f t="shared" si="32"/>
        <v>-109289.49020883068</v>
      </c>
      <c r="F315" s="362">
        <f t="shared" si="33"/>
        <v>-2.1332175006896326E-2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730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731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732</v>
      </c>
      <c r="C318" s="353">
        <f>C314+C315+C316</f>
        <v>7182937.7739733411</v>
      </c>
      <c r="D318" s="353">
        <f>D314+D315+D316</f>
        <v>6996368.4618512606</v>
      </c>
      <c r="E318" s="353">
        <f>D318-C318</f>
        <v>-186569.31212208048</v>
      </c>
      <c r="F318" s="362">
        <f>IF(C318=0,0,E318/C318)</f>
        <v>-2.5973956338323823E-2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733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5339880.0507455869</v>
      </c>
      <c r="D322" s="353">
        <f>LN_ID22</f>
        <v>6996151.102805471</v>
      </c>
      <c r="E322" s="353">
        <f>LN_IV2-C322</f>
        <v>1656271.0520598842</v>
      </c>
      <c r="F322" s="362">
        <f>IF(C322=0,0,E322/C322)</f>
        <v>0.31017008553003461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719</v>
      </c>
      <c r="C323" s="353">
        <f>C162+C176</f>
        <v>1366559.2904009623</v>
      </c>
      <c r="D323" s="353">
        <f>LN_IE10+LN_IE22</f>
        <v>70145.686709365298</v>
      </c>
      <c r="E323" s="353">
        <f>LN_IV3-C323</f>
        <v>-1296413.603691597</v>
      </c>
      <c r="F323" s="362">
        <f>IF(C323=0,0,E323/C323)</f>
        <v>-0.94866985486682842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734</v>
      </c>
      <c r="C324" s="353">
        <f>C92+C106</f>
        <v>3191679.7303846204</v>
      </c>
      <c r="D324" s="353">
        <f>LN_IC10+LN_IC22</f>
        <v>1692446.5047455917</v>
      </c>
      <c r="E324" s="353">
        <f>LN_IV1-C324</f>
        <v>-1499233.2256390287</v>
      </c>
      <c r="F324" s="362">
        <f>IF(C324=0,0,E324/C324)</f>
        <v>-0.46973172507454575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735</v>
      </c>
      <c r="C325" s="429">
        <f>C324+C322+C323</f>
        <v>9898119.0715311691</v>
      </c>
      <c r="D325" s="429">
        <f>LN_IV1+LN_IV2+LN_IV3</f>
        <v>8758743.2942604274</v>
      </c>
      <c r="E325" s="353">
        <f>LN_IV4-C325</f>
        <v>-1139375.7772707418</v>
      </c>
      <c r="F325" s="362">
        <f>IF(C325=0,0,E325/C325)</f>
        <v>-0.11511033248203675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736</v>
      </c>
      <c r="B327" s="446" t="s">
        <v>737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738</v>
      </c>
      <c r="C329" s="431">
        <v>0</v>
      </c>
      <c r="D329" s="431">
        <v>0</v>
      </c>
      <c r="E329" s="431">
        <f t="shared" ref="E329:E335" si="34">D329-C329</f>
        <v>0</v>
      </c>
      <c r="F329" s="462">
        <f t="shared" ref="F329:F335" si="35">IF(C329=0,0,E329/C329)</f>
        <v>0</v>
      </c>
    </row>
    <row r="330" spans="1:22" s="333" customFormat="1" ht="11.25" customHeight="1" x14ac:dyDescent="0.2">
      <c r="A330" s="364">
        <v>2</v>
      </c>
      <c r="B330" s="360" t="s">
        <v>739</v>
      </c>
      <c r="C330" s="429">
        <v>2029009</v>
      </c>
      <c r="D330" s="429">
        <v>2304005</v>
      </c>
      <c r="E330" s="431">
        <f t="shared" si="34"/>
        <v>274996</v>
      </c>
      <c r="F330" s="463">
        <f t="shared" si="35"/>
        <v>0.13553217358819009</v>
      </c>
    </row>
    <row r="331" spans="1:22" s="333" customFormat="1" ht="11.25" customHeight="1" x14ac:dyDescent="0.2">
      <c r="A331" s="339">
        <v>3</v>
      </c>
      <c r="B331" s="360" t="s">
        <v>740</v>
      </c>
      <c r="C331" s="429">
        <v>103193652</v>
      </c>
      <c r="D331" s="429">
        <v>109579717</v>
      </c>
      <c r="E331" s="431">
        <f t="shared" si="34"/>
        <v>6386065</v>
      </c>
      <c r="F331" s="462">
        <f t="shared" si="35"/>
        <v>6.1884281409092877E-2</v>
      </c>
    </row>
    <row r="332" spans="1:22" s="333" customFormat="1" ht="11.25" customHeight="1" x14ac:dyDescent="0.2">
      <c r="A332" s="364">
        <v>4</v>
      </c>
      <c r="B332" s="360" t="s">
        <v>741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742</v>
      </c>
      <c r="C333" s="429">
        <v>188222806</v>
      </c>
      <c r="D333" s="429">
        <v>208629597</v>
      </c>
      <c r="E333" s="431">
        <f t="shared" si="34"/>
        <v>20406791</v>
      </c>
      <c r="F333" s="462">
        <f t="shared" si="35"/>
        <v>0.10841826999433851</v>
      </c>
    </row>
    <row r="334" spans="1:22" s="333" customFormat="1" ht="11.25" customHeight="1" x14ac:dyDescent="0.2">
      <c r="A334" s="339">
        <v>6</v>
      </c>
      <c r="B334" s="360" t="s">
        <v>743</v>
      </c>
      <c r="C334" s="429">
        <v>0</v>
      </c>
      <c r="D334" s="429">
        <v>0</v>
      </c>
      <c r="E334" s="429">
        <f t="shared" si="34"/>
        <v>0</v>
      </c>
      <c r="F334" s="463">
        <f t="shared" si="35"/>
        <v>0</v>
      </c>
    </row>
    <row r="335" spans="1:22" s="333" customFormat="1" ht="11.25" customHeight="1" x14ac:dyDescent="0.2">
      <c r="A335" s="364">
        <v>7</v>
      </c>
      <c r="B335" s="360" t="s">
        <v>744</v>
      </c>
      <c r="C335" s="429">
        <v>3835344</v>
      </c>
      <c r="D335" s="429">
        <v>3856053</v>
      </c>
      <c r="E335" s="429">
        <f t="shared" si="34"/>
        <v>20709</v>
      </c>
      <c r="F335" s="462">
        <f t="shared" si="35"/>
        <v>5.3995156627410735E-3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horizontalDpi="1200" verticalDpi="1200"/>
  <headerFooter>
    <oddHeader>&amp;LOFFICE OF HEALTH CARE ACCESS&amp;CTWELVE MONTHS ACTUAL FILING&amp;RCHARLOTTE HUNGERFORD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SheetLayoutView="68" workbookViewId="0"/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140625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597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745</v>
      </c>
      <c r="B5" s="710"/>
      <c r="C5" s="710"/>
      <c r="D5" s="710"/>
      <c r="E5" s="710"/>
    </row>
    <row r="6" spans="1:5" s="338" customFormat="1" ht="15.75" customHeight="1" x14ac:dyDescent="0.25">
      <c r="A6" s="710" t="s">
        <v>746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747</v>
      </c>
      <c r="D9" s="494" t="s">
        <v>748</v>
      </c>
      <c r="E9" s="495" t="s">
        <v>749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750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751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627</v>
      </c>
      <c r="C14" s="513">
        <v>20138494</v>
      </c>
      <c r="D14" s="513">
        <v>21306354</v>
      </c>
      <c r="E14" s="514">
        <f t="shared" ref="E14:E22" si="0">D14-C14</f>
        <v>1167860</v>
      </c>
    </row>
    <row r="15" spans="1:5" s="506" customFormat="1" x14ac:dyDescent="0.2">
      <c r="A15" s="512">
        <v>2</v>
      </c>
      <c r="B15" s="511" t="s">
        <v>606</v>
      </c>
      <c r="C15" s="513">
        <v>48768258</v>
      </c>
      <c r="D15" s="515">
        <v>53129823</v>
      </c>
      <c r="E15" s="514">
        <f t="shared" si="0"/>
        <v>4361565</v>
      </c>
    </row>
    <row r="16" spans="1:5" s="506" customFormat="1" x14ac:dyDescent="0.2">
      <c r="A16" s="512">
        <v>3</v>
      </c>
      <c r="B16" s="511" t="s">
        <v>752</v>
      </c>
      <c r="C16" s="513">
        <v>11497357</v>
      </c>
      <c r="D16" s="515">
        <v>12151370</v>
      </c>
      <c r="E16" s="514">
        <f t="shared" si="0"/>
        <v>654013</v>
      </c>
    </row>
    <row r="17" spans="1:5" s="506" customFormat="1" x14ac:dyDescent="0.2">
      <c r="A17" s="512">
        <v>4</v>
      </c>
      <c r="B17" s="511" t="s">
        <v>114</v>
      </c>
      <c r="C17" s="513">
        <v>9213369</v>
      </c>
      <c r="D17" s="515">
        <v>12062026</v>
      </c>
      <c r="E17" s="514">
        <f t="shared" si="0"/>
        <v>2848657</v>
      </c>
    </row>
    <row r="18" spans="1:5" s="506" customFormat="1" x14ac:dyDescent="0.2">
      <c r="A18" s="512">
        <v>5</v>
      </c>
      <c r="B18" s="511" t="s">
        <v>719</v>
      </c>
      <c r="C18" s="513">
        <v>2283988</v>
      </c>
      <c r="D18" s="515">
        <v>89344</v>
      </c>
      <c r="E18" s="514">
        <f t="shared" si="0"/>
        <v>-2194644</v>
      </c>
    </row>
    <row r="19" spans="1:5" s="506" customFormat="1" x14ac:dyDescent="0.2">
      <c r="A19" s="512">
        <v>6</v>
      </c>
      <c r="B19" s="511" t="s">
        <v>418</v>
      </c>
      <c r="C19" s="513">
        <v>675700</v>
      </c>
      <c r="D19" s="515">
        <v>436042</v>
      </c>
      <c r="E19" s="514">
        <f t="shared" si="0"/>
        <v>-239658</v>
      </c>
    </row>
    <row r="20" spans="1:5" s="506" customFormat="1" x14ac:dyDescent="0.2">
      <c r="A20" s="512">
        <v>7</v>
      </c>
      <c r="B20" s="511" t="s">
        <v>734</v>
      </c>
      <c r="C20" s="513">
        <v>1088411</v>
      </c>
      <c r="D20" s="515">
        <v>925266</v>
      </c>
      <c r="E20" s="514">
        <f t="shared" si="0"/>
        <v>-163145</v>
      </c>
    </row>
    <row r="21" spans="1:5" s="506" customFormat="1" x14ac:dyDescent="0.2">
      <c r="A21" s="512"/>
      <c r="B21" s="516" t="s">
        <v>753</v>
      </c>
      <c r="C21" s="517">
        <f>SUM(C15+C16+C19)</f>
        <v>60941315</v>
      </c>
      <c r="D21" s="517">
        <f>SUM(D15+D16+D19)</f>
        <v>65717235</v>
      </c>
      <c r="E21" s="517">
        <f t="shared" si="0"/>
        <v>4775920</v>
      </c>
    </row>
    <row r="22" spans="1:5" s="506" customFormat="1" x14ac:dyDescent="0.2">
      <c r="A22" s="512"/>
      <c r="B22" s="516" t="s">
        <v>693</v>
      </c>
      <c r="C22" s="517">
        <f>SUM(C14+C21)</f>
        <v>81079809</v>
      </c>
      <c r="D22" s="517">
        <f>SUM(D14+D21)</f>
        <v>87023589</v>
      </c>
      <c r="E22" s="517">
        <f t="shared" si="0"/>
        <v>5943780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754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627</v>
      </c>
      <c r="C25" s="513">
        <v>48868395</v>
      </c>
      <c r="D25" s="513">
        <v>53354049</v>
      </c>
      <c r="E25" s="514">
        <f t="shared" ref="E25:E33" si="1">D25-C25</f>
        <v>4485654</v>
      </c>
    </row>
    <row r="26" spans="1:5" s="506" customFormat="1" x14ac:dyDescent="0.2">
      <c r="A26" s="512">
        <v>2</v>
      </c>
      <c r="B26" s="511" t="s">
        <v>606</v>
      </c>
      <c r="C26" s="513">
        <v>35241741</v>
      </c>
      <c r="D26" s="515">
        <v>41186063</v>
      </c>
      <c r="E26" s="514">
        <f t="shared" si="1"/>
        <v>5944322</v>
      </c>
    </row>
    <row r="27" spans="1:5" s="506" customFormat="1" x14ac:dyDescent="0.2">
      <c r="A27" s="512">
        <v>3</v>
      </c>
      <c r="B27" s="511" t="s">
        <v>752</v>
      </c>
      <c r="C27" s="513">
        <v>22653367</v>
      </c>
      <c r="D27" s="515">
        <v>26623321</v>
      </c>
      <c r="E27" s="514">
        <f t="shared" si="1"/>
        <v>3969954</v>
      </c>
    </row>
    <row r="28" spans="1:5" s="506" customFormat="1" x14ac:dyDescent="0.2">
      <c r="A28" s="512">
        <v>4</v>
      </c>
      <c r="B28" s="511" t="s">
        <v>114</v>
      </c>
      <c r="C28" s="513">
        <v>18698664</v>
      </c>
      <c r="D28" s="515">
        <v>26479666</v>
      </c>
      <c r="E28" s="514">
        <f t="shared" si="1"/>
        <v>7781002</v>
      </c>
    </row>
    <row r="29" spans="1:5" s="506" customFormat="1" x14ac:dyDescent="0.2">
      <c r="A29" s="512">
        <v>5</v>
      </c>
      <c r="B29" s="511" t="s">
        <v>719</v>
      </c>
      <c r="C29" s="513">
        <v>3954703</v>
      </c>
      <c r="D29" s="515">
        <v>143655</v>
      </c>
      <c r="E29" s="514">
        <f t="shared" si="1"/>
        <v>-3811048</v>
      </c>
    </row>
    <row r="30" spans="1:5" s="506" customFormat="1" x14ac:dyDescent="0.2">
      <c r="A30" s="512">
        <v>6</v>
      </c>
      <c r="B30" s="511" t="s">
        <v>418</v>
      </c>
      <c r="C30" s="513">
        <v>379494</v>
      </c>
      <c r="D30" s="515">
        <v>442575</v>
      </c>
      <c r="E30" s="514">
        <f t="shared" si="1"/>
        <v>63081</v>
      </c>
    </row>
    <row r="31" spans="1:5" s="506" customFormat="1" x14ac:dyDescent="0.2">
      <c r="A31" s="512">
        <v>7</v>
      </c>
      <c r="B31" s="511" t="s">
        <v>734</v>
      </c>
      <c r="C31" s="514">
        <v>3745209</v>
      </c>
      <c r="D31" s="518">
        <v>4234743</v>
      </c>
      <c r="E31" s="514">
        <f t="shared" si="1"/>
        <v>489534</v>
      </c>
    </row>
    <row r="32" spans="1:5" s="506" customFormat="1" x14ac:dyDescent="0.2">
      <c r="A32" s="512"/>
      <c r="B32" s="516" t="s">
        <v>755</v>
      </c>
      <c r="C32" s="517">
        <f>SUM(C26+C27+C30)</f>
        <v>58274602</v>
      </c>
      <c r="D32" s="517">
        <f>SUM(D26+D27+D30)</f>
        <v>68251959</v>
      </c>
      <c r="E32" s="517">
        <f t="shared" si="1"/>
        <v>9977357</v>
      </c>
    </row>
    <row r="33" spans="1:5" s="506" customFormat="1" x14ac:dyDescent="0.2">
      <c r="A33" s="512"/>
      <c r="B33" s="516" t="s">
        <v>699</v>
      </c>
      <c r="C33" s="517">
        <f>SUM(C25+C32)</f>
        <v>107142997</v>
      </c>
      <c r="D33" s="517">
        <f>SUM(D25+D32)</f>
        <v>121606008</v>
      </c>
      <c r="E33" s="517">
        <f t="shared" si="1"/>
        <v>14463011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624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756</v>
      </c>
      <c r="C36" s="514">
        <f t="shared" ref="C36:D42" si="2">C14+C25</f>
        <v>69006889</v>
      </c>
      <c r="D36" s="514">
        <f t="shared" si="2"/>
        <v>74660403</v>
      </c>
      <c r="E36" s="514">
        <f t="shared" ref="E36:E44" si="3">D36-C36</f>
        <v>5653514</v>
      </c>
    </row>
    <row r="37" spans="1:5" s="506" customFormat="1" x14ac:dyDescent="0.2">
      <c r="A37" s="512">
        <v>2</v>
      </c>
      <c r="B37" s="511" t="s">
        <v>757</v>
      </c>
      <c r="C37" s="514">
        <f t="shared" si="2"/>
        <v>84009999</v>
      </c>
      <c r="D37" s="514">
        <f t="shared" si="2"/>
        <v>94315886</v>
      </c>
      <c r="E37" s="514">
        <f t="shared" si="3"/>
        <v>10305887</v>
      </c>
    </row>
    <row r="38" spans="1:5" s="506" customFormat="1" x14ac:dyDescent="0.2">
      <c r="A38" s="512">
        <v>3</v>
      </c>
      <c r="B38" s="511" t="s">
        <v>758</v>
      </c>
      <c r="C38" s="514">
        <f t="shared" si="2"/>
        <v>34150724</v>
      </c>
      <c r="D38" s="514">
        <f t="shared" si="2"/>
        <v>38774691</v>
      </c>
      <c r="E38" s="514">
        <f t="shared" si="3"/>
        <v>4623967</v>
      </c>
    </row>
    <row r="39" spans="1:5" s="506" customFormat="1" x14ac:dyDescent="0.2">
      <c r="A39" s="512">
        <v>4</v>
      </c>
      <c r="B39" s="511" t="s">
        <v>759</v>
      </c>
      <c r="C39" s="514">
        <f t="shared" si="2"/>
        <v>27912033</v>
      </c>
      <c r="D39" s="514">
        <f t="shared" si="2"/>
        <v>38541692</v>
      </c>
      <c r="E39" s="514">
        <f t="shared" si="3"/>
        <v>10629659</v>
      </c>
    </row>
    <row r="40" spans="1:5" s="506" customFormat="1" x14ac:dyDescent="0.2">
      <c r="A40" s="512">
        <v>5</v>
      </c>
      <c r="B40" s="511" t="s">
        <v>760</v>
      </c>
      <c r="C40" s="514">
        <f t="shared" si="2"/>
        <v>6238691</v>
      </c>
      <c r="D40" s="514">
        <f t="shared" si="2"/>
        <v>232999</v>
      </c>
      <c r="E40" s="514">
        <f t="shared" si="3"/>
        <v>-6005692</v>
      </c>
    </row>
    <row r="41" spans="1:5" s="506" customFormat="1" x14ac:dyDescent="0.2">
      <c r="A41" s="512">
        <v>6</v>
      </c>
      <c r="B41" s="511" t="s">
        <v>761</v>
      </c>
      <c r="C41" s="514">
        <f t="shared" si="2"/>
        <v>1055194</v>
      </c>
      <c r="D41" s="514">
        <f t="shared" si="2"/>
        <v>878617</v>
      </c>
      <c r="E41" s="514">
        <f t="shared" si="3"/>
        <v>-176577</v>
      </c>
    </row>
    <row r="42" spans="1:5" s="506" customFormat="1" x14ac:dyDescent="0.2">
      <c r="A42" s="512">
        <v>7</v>
      </c>
      <c r="B42" s="511" t="s">
        <v>762</v>
      </c>
      <c r="C42" s="514">
        <f t="shared" si="2"/>
        <v>4833620</v>
      </c>
      <c r="D42" s="514">
        <f t="shared" si="2"/>
        <v>5160009</v>
      </c>
      <c r="E42" s="514">
        <f t="shared" si="3"/>
        <v>326389</v>
      </c>
    </row>
    <row r="43" spans="1:5" s="506" customFormat="1" x14ac:dyDescent="0.2">
      <c r="A43" s="512"/>
      <c r="B43" s="516" t="s">
        <v>763</v>
      </c>
      <c r="C43" s="517">
        <f>SUM(C37+C38+C41)</f>
        <v>119215917</v>
      </c>
      <c r="D43" s="517">
        <f>SUM(D37+D38+D41)</f>
        <v>133969194</v>
      </c>
      <c r="E43" s="517">
        <f t="shared" si="3"/>
        <v>14753277</v>
      </c>
    </row>
    <row r="44" spans="1:5" s="506" customFormat="1" x14ac:dyDescent="0.2">
      <c r="A44" s="512"/>
      <c r="B44" s="516" t="s">
        <v>701</v>
      </c>
      <c r="C44" s="517">
        <f>SUM(C36+C43)</f>
        <v>188222806</v>
      </c>
      <c r="D44" s="517">
        <f>SUM(D36+D43)</f>
        <v>208629597</v>
      </c>
      <c r="E44" s="517">
        <f t="shared" si="3"/>
        <v>20406791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321</v>
      </c>
      <c r="B46" s="509" t="s">
        <v>764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627</v>
      </c>
      <c r="C47" s="513">
        <v>13808822</v>
      </c>
      <c r="D47" s="513">
        <v>14960400</v>
      </c>
      <c r="E47" s="514">
        <f t="shared" ref="E47:E55" si="4">D47-C47</f>
        <v>1151578</v>
      </c>
    </row>
    <row r="48" spans="1:5" s="506" customFormat="1" x14ac:dyDescent="0.2">
      <c r="A48" s="512">
        <v>2</v>
      </c>
      <c r="B48" s="511" t="s">
        <v>606</v>
      </c>
      <c r="C48" s="513">
        <v>33003580</v>
      </c>
      <c r="D48" s="515">
        <v>33689093</v>
      </c>
      <c r="E48" s="514">
        <f t="shared" si="4"/>
        <v>685513</v>
      </c>
    </row>
    <row r="49" spans="1:5" s="506" customFormat="1" x14ac:dyDescent="0.2">
      <c r="A49" s="512">
        <v>3</v>
      </c>
      <c r="B49" s="511" t="s">
        <v>752</v>
      </c>
      <c r="C49" s="513">
        <v>5384674</v>
      </c>
      <c r="D49" s="515">
        <v>5584649</v>
      </c>
      <c r="E49" s="514">
        <f t="shared" si="4"/>
        <v>199975</v>
      </c>
    </row>
    <row r="50" spans="1:5" s="506" customFormat="1" x14ac:dyDescent="0.2">
      <c r="A50" s="512">
        <v>4</v>
      </c>
      <c r="B50" s="511" t="s">
        <v>114</v>
      </c>
      <c r="C50" s="513">
        <v>4383899</v>
      </c>
      <c r="D50" s="515">
        <v>5550692</v>
      </c>
      <c r="E50" s="514">
        <f t="shared" si="4"/>
        <v>1166793</v>
      </c>
    </row>
    <row r="51" spans="1:5" s="506" customFormat="1" x14ac:dyDescent="0.2">
      <c r="A51" s="512">
        <v>5</v>
      </c>
      <c r="B51" s="511" t="s">
        <v>719</v>
      </c>
      <c r="C51" s="513">
        <v>1000775</v>
      </c>
      <c r="D51" s="515">
        <v>33957</v>
      </c>
      <c r="E51" s="514">
        <f t="shared" si="4"/>
        <v>-966818</v>
      </c>
    </row>
    <row r="52" spans="1:5" s="506" customFormat="1" x14ac:dyDescent="0.2">
      <c r="A52" s="512">
        <v>6</v>
      </c>
      <c r="B52" s="511" t="s">
        <v>418</v>
      </c>
      <c r="C52" s="513">
        <v>274836</v>
      </c>
      <c r="D52" s="515">
        <v>257522</v>
      </c>
      <c r="E52" s="514">
        <f t="shared" si="4"/>
        <v>-17314</v>
      </c>
    </row>
    <row r="53" spans="1:5" s="506" customFormat="1" x14ac:dyDescent="0.2">
      <c r="A53" s="512">
        <v>7</v>
      </c>
      <c r="B53" s="511" t="s">
        <v>734</v>
      </c>
      <c r="C53" s="513">
        <v>275446</v>
      </c>
      <c r="D53" s="515">
        <v>263226</v>
      </c>
      <c r="E53" s="514">
        <f t="shared" si="4"/>
        <v>-12220</v>
      </c>
    </row>
    <row r="54" spans="1:5" s="506" customFormat="1" x14ac:dyDescent="0.2">
      <c r="A54" s="512"/>
      <c r="B54" s="516" t="s">
        <v>765</v>
      </c>
      <c r="C54" s="517">
        <f>SUM(C48+C49+C52)</f>
        <v>38663090</v>
      </c>
      <c r="D54" s="517">
        <f>SUM(D48+D49+D52)</f>
        <v>39531264</v>
      </c>
      <c r="E54" s="517">
        <f t="shared" si="4"/>
        <v>868174</v>
      </c>
    </row>
    <row r="55" spans="1:5" s="506" customFormat="1" x14ac:dyDescent="0.2">
      <c r="A55" s="512"/>
      <c r="B55" s="516" t="s">
        <v>694</v>
      </c>
      <c r="C55" s="517">
        <f>SUM(C47+C54)</f>
        <v>52471912</v>
      </c>
      <c r="D55" s="517">
        <f>SUM(D47+D54)</f>
        <v>54491664</v>
      </c>
      <c r="E55" s="517">
        <f t="shared" si="4"/>
        <v>2019752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342</v>
      </c>
      <c r="B57" s="509" t="s">
        <v>766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627</v>
      </c>
      <c r="C58" s="513">
        <v>24661146</v>
      </c>
      <c r="D58" s="513">
        <v>26193455</v>
      </c>
      <c r="E58" s="514">
        <f t="shared" ref="E58:E66" si="5">D58-C58</f>
        <v>1532309</v>
      </c>
    </row>
    <row r="59" spans="1:5" s="506" customFormat="1" x14ac:dyDescent="0.2">
      <c r="A59" s="512">
        <v>2</v>
      </c>
      <c r="B59" s="511" t="s">
        <v>606</v>
      </c>
      <c r="C59" s="513">
        <v>15426549</v>
      </c>
      <c r="D59" s="515">
        <v>17053020</v>
      </c>
      <c r="E59" s="514">
        <f t="shared" si="5"/>
        <v>1626471</v>
      </c>
    </row>
    <row r="60" spans="1:5" s="506" customFormat="1" x14ac:dyDescent="0.2">
      <c r="A60" s="512">
        <v>3</v>
      </c>
      <c r="B60" s="511" t="s">
        <v>752</v>
      </c>
      <c r="C60" s="513">
        <f>C61+C62</f>
        <v>7832244</v>
      </c>
      <c r="D60" s="515">
        <f>D61+D62</f>
        <v>9335869</v>
      </c>
      <c r="E60" s="514">
        <f t="shared" si="5"/>
        <v>1503625</v>
      </c>
    </row>
    <row r="61" spans="1:5" s="506" customFormat="1" x14ac:dyDescent="0.2">
      <c r="A61" s="512">
        <v>4</v>
      </c>
      <c r="B61" s="511" t="s">
        <v>114</v>
      </c>
      <c r="C61" s="513">
        <v>6677053</v>
      </c>
      <c r="D61" s="515">
        <v>9301957</v>
      </c>
      <c r="E61" s="514">
        <f t="shared" si="5"/>
        <v>2624904</v>
      </c>
    </row>
    <row r="62" spans="1:5" s="506" customFormat="1" x14ac:dyDescent="0.2">
      <c r="A62" s="512">
        <v>5</v>
      </c>
      <c r="B62" s="511" t="s">
        <v>719</v>
      </c>
      <c r="C62" s="513">
        <v>1155191</v>
      </c>
      <c r="D62" s="515">
        <v>33912</v>
      </c>
      <c r="E62" s="514">
        <f t="shared" si="5"/>
        <v>-1121279</v>
      </c>
    </row>
    <row r="63" spans="1:5" s="506" customFormat="1" x14ac:dyDescent="0.2">
      <c r="A63" s="512">
        <v>6</v>
      </c>
      <c r="B63" s="511" t="s">
        <v>418</v>
      </c>
      <c r="C63" s="513">
        <v>156734</v>
      </c>
      <c r="D63" s="515">
        <v>201704</v>
      </c>
      <c r="E63" s="514">
        <f t="shared" si="5"/>
        <v>44970</v>
      </c>
    </row>
    <row r="64" spans="1:5" s="506" customFormat="1" x14ac:dyDescent="0.2">
      <c r="A64" s="512">
        <v>7</v>
      </c>
      <c r="B64" s="511" t="s">
        <v>734</v>
      </c>
      <c r="C64" s="513">
        <v>947806</v>
      </c>
      <c r="D64" s="515">
        <v>1204728</v>
      </c>
      <c r="E64" s="514">
        <f t="shared" si="5"/>
        <v>256922</v>
      </c>
    </row>
    <row r="65" spans="1:5" s="506" customFormat="1" x14ac:dyDescent="0.2">
      <c r="A65" s="512"/>
      <c r="B65" s="516" t="s">
        <v>767</v>
      </c>
      <c r="C65" s="517">
        <f>SUM(C59+C60+C63)</f>
        <v>23415527</v>
      </c>
      <c r="D65" s="517">
        <f>SUM(D59+D60+D63)</f>
        <v>26590593</v>
      </c>
      <c r="E65" s="517">
        <f t="shared" si="5"/>
        <v>3175066</v>
      </c>
    </row>
    <row r="66" spans="1:5" s="506" customFormat="1" x14ac:dyDescent="0.2">
      <c r="A66" s="512"/>
      <c r="B66" s="516" t="s">
        <v>700</v>
      </c>
      <c r="C66" s="517">
        <f>SUM(C58+C65)</f>
        <v>48076673</v>
      </c>
      <c r="D66" s="517">
        <f>SUM(D58+D65)</f>
        <v>52784048</v>
      </c>
      <c r="E66" s="517">
        <f t="shared" si="5"/>
        <v>4707375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354</v>
      </c>
      <c r="B68" s="521" t="s">
        <v>625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756</v>
      </c>
      <c r="C69" s="514">
        <f t="shared" ref="C69:D75" si="6">C47+C58</f>
        <v>38469968</v>
      </c>
      <c r="D69" s="514">
        <f t="shared" si="6"/>
        <v>41153855</v>
      </c>
      <c r="E69" s="514">
        <f t="shared" ref="E69:E77" si="7">D69-C69</f>
        <v>2683887</v>
      </c>
    </row>
    <row r="70" spans="1:5" s="506" customFormat="1" x14ac:dyDescent="0.2">
      <c r="A70" s="512">
        <v>2</v>
      </c>
      <c r="B70" s="511" t="s">
        <v>757</v>
      </c>
      <c r="C70" s="514">
        <f t="shared" si="6"/>
        <v>48430129</v>
      </c>
      <c r="D70" s="514">
        <f t="shared" si="6"/>
        <v>50742113</v>
      </c>
      <c r="E70" s="514">
        <f t="shared" si="7"/>
        <v>2311984</v>
      </c>
    </row>
    <row r="71" spans="1:5" s="506" customFormat="1" x14ac:dyDescent="0.2">
      <c r="A71" s="512">
        <v>3</v>
      </c>
      <c r="B71" s="511" t="s">
        <v>758</v>
      </c>
      <c r="C71" s="514">
        <f t="shared" si="6"/>
        <v>13216918</v>
      </c>
      <c r="D71" s="514">
        <f t="shared" si="6"/>
        <v>14920518</v>
      </c>
      <c r="E71" s="514">
        <f t="shared" si="7"/>
        <v>1703600</v>
      </c>
    </row>
    <row r="72" spans="1:5" s="506" customFormat="1" x14ac:dyDescent="0.2">
      <c r="A72" s="512">
        <v>4</v>
      </c>
      <c r="B72" s="511" t="s">
        <v>759</v>
      </c>
      <c r="C72" s="514">
        <f t="shared" si="6"/>
        <v>11060952</v>
      </c>
      <c r="D72" s="514">
        <f t="shared" si="6"/>
        <v>14852649</v>
      </c>
      <c r="E72" s="514">
        <f t="shared" si="7"/>
        <v>3791697</v>
      </c>
    </row>
    <row r="73" spans="1:5" s="506" customFormat="1" x14ac:dyDescent="0.2">
      <c r="A73" s="512">
        <v>5</v>
      </c>
      <c r="B73" s="511" t="s">
        <v>760</v>
      </c>
      <c r="C73" s="514">
        <f t="shared" si="6"/>
        <v>2155966</v>
      </c>
      <c r="D73" s="514">
        <f t="shared" si="6"/>
        <v>67869</v>
      </c>
      <c r="E73" s="514">
        <f t="shared" si="7"/>
        <v>-2088097</v>
      </c>
    </row>
    <row r="74" spans="1:5" s="506" customFormat="1" x14ac:dyDescent="0.2">
      <c r="A74" s="512">
        <v>6</v>
      </c>
      <c r="B74" s="511" t="s">
        <v>761</v>
      </c>
      <c r="C74" s="514">
        <f t="shared" si="6"/>
        <v>431570</v>
      </c>
      <c r="D74" s="514">
        <f t="shared" si="6"/>
        <v>459226</v>
      </c>
      <c r="E74" s="514">
        <f t="shared" si="7"/>
        <v>27656</v>
      </c>
    </row>
    <row r="75" spans="1:5" s="506" customFormat="1" x14ac:dyDescent="0.2">
      <c r="A75" s="512">
        <v>7</v>
      </c>
      <c r="B75" s="511" t="s">
        <v>762</v>
      </c>
      <c r="C75" s="514">
        <f t="shared" si="6"/>
        <v>1223252</v>
      </c>
      <c r="D75" s="514">
        <f t="shared" si="6"/>
        <v>1467954</v>
      </c>
      <c r="E75" s="514">
        <f t="shared" si="7"/>
        <v>244702</v>
      </c>
    </row>
    <row r="76" spans="1:5" s="506" customFormat="1" x14ac:dyDescent="0.2">
      <c r="A76" s="512"/>
      <c r="B76" s="516" t="s">
        <v>768</v>
      </c>
      <c r="C76" s="517">
        <f>SUM(C70+C71+C74)</f>
        <v>62078617</v>
      </c>
      <c r="D76" s="517">
        <f>SUM(D70+D71+D74)</f>
        <v>66121857</v>
      </c>
      <c r="E76" s="517">
        <f t="shared" si="7"/>
        <v>4043240</v>
      </c>
    </row>
    <row r="77" spans="1:5" s="506" customFormat="1" x14ac:dyDescent="0.2">
      <c r="A77" s="512"/>
      <c r="B77" s="516" t="s">
        <v>702</v>
      </c>
      <c r="C77" s="517">
        <f>SUM(C69+C76)</f>
        <v>100548585</v>
      </c>
      <c r="D77" s="517">
        <f>SUM(D69+D76)</f>
        <v>107275712</v>
      </c>
      <c r="E77" s="517">
        <f t="shared" si="7"/>
        <v>6727127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769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770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627</v>
      </c>
      <c r="C83" s="523">
        <f t="shared" ref="C83:D89" si="8">IF(C$44=0,0,C14/C$44)</f>
        <v>0.10699284761486341</v>
      </c>
      <c r="D83" s="523">
        <f t="shared" si="8"/>
        <v>0.10212527036612164</v>
      </c>
      <c r="E83" s="523">
        <f t="shared" ref="E83:E91" si="9">D83-C83</f>
        <v>-4.8675772487417751E-3</v>
      </c>
    </row>
    <row r="84" spans="1:5" s="506" customFormat="1" x14ac:dyDescent="0.2">
      <c r="A84" s="512">
        <v>2</v>
      </c>
      <c r="B84" s="511" t="s">
        <v>606</v>
      </c>
      <c r="C84" s="523">
        <f t="shared" si="8"/>
        <v>0.25909856003315562</v>
      </c>
      <c r="D84" s="523">
        <f t="shared" si="8"/>
        <v>0.25466100574406997</v>
      </c>
      <c r="E84" s="523">
        <f t="shared" si="9"/>
        <v>-4.4375542890856545E-3</v>
      </c>
    </row>
    <row r="85" spans="1:5" s="506" customFormat="1" x14ac:dyDescent="0.2">
      <c r="A85" s="512">
        <v>3</v>
      </c>
      <c r="B85" s="511" t="s">
        <v>752</v>
      </c>
      <c r="C85" s="523">
        <f t="shared" si="8"/>
        <v>6.1083761550127992E-2</v>
      </c>
      <c r="D85" s="523">
        <f t="shared" si="8"/>
        <v>5.8243749567325288E-2</v>
      </c>
      <c r="E85" s="523">
        <f t="shared" si="9"/>
        <v>-2.8400119828027037E-3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4.8949270260055522E-2</v>
      </c>
      <c r="D86" s="523">
        <f t="shared" si="8"/>
        <v>5.7815507355842712E-2</v>
      </c>
      <c r="E86" s="523">
        <f t="shared" si="9"/>
        <v>8.8662370957871897E-3</v>
      </c>
    </row>
    <row r="87" spans="1:5" s="506" customFormat="1" x14ac:dyDescent="0.2">
      <c r="A87" s="512">
        <v>5</v>
      </c>
      <c r="B87" s="511" t="s">
        <v>719</v>
      </c>
      <c r="C87" s="523">
        <f t="shared" si="8"/>
        <v>1.2134491290072469E-2</v>
      </c>
      <c r="D87" s="523">
        <f t="shared" si="8"/>
        <v>4.282422114825827E-4</v>
      </c>
      <c r="E87" s="523">
        <f t="shared" si="9"/>
        <v>-1.1706249078589887E-2</v>
      </c>
    </row>
    <row r="88" spans="1:5" s="506" customFormat="1" x14ac:dyDescent="0.2">
      <c r="A88" s="512">
        <v>6</v>
      </c>
      <c r="B88" s="511" t="s">
        <v>418</v>
      </c>
      <c r="C88" s="523">
        <f t="shared" si="8"/>
        <v>3.5898944148138987E-3</v>
      </c>
      <c r="D88" s="523">
        <f t="shared" si="8"/>
        <v>2.0900294410289254E-3</v>
      </c>
      <c r="E88" s="523">
        <f t="shared" si="9"/>
        <v>-1.4998649737849733E-3</v>
      </c>
    </row>
    <row r="89" spans="1:5" s="506" customFormat="1" x14ac:dyDescent="0.2">
      <c r="A89" s="512">
        <v>7</v>
      </c>
      <c r="B89" s="511" t="s">
        <v>734</v>
      </c>
      <c r="C89" s="523">
        <f t="shared" si="8"/>
        <v>5.7825670710700168E-3</v>
      </c>
      <c r="D89" s="523">
        <f t="shared" si="8"/>
        <v>4.434969981751918E-3</v>
      </c>
      <c r="E89" s="523">
        <f t="shared" si="9"/>
        <v>-1.3475970893180988E-3</v>
      </c>
    </row>
    <row r="90" spans="1:5" s="506" customFormat="1" x14ac:dyDescent="0.2">
      <c r="A90" s="512"/>
      <c r="B90" s="516" t="s">
        <v>771</v>
      </c>
      <c r="C90" s="524">
        <f>SUM(C84+C85+C88)</f>
        <v>0.32377221599809752</v>
      </c>
      <c r="D90" s="524">
        <f>SUM(D84+D85+D88)</f>
        <v>0.31499478475242421</v>
      </c>
      <c r="E90" s="525">
        <f t="shared" si="9"/>
        <v>-8.7774312456733172E-3</v>
      </c>
    </row>
    <row r="91" spans="1:5" s="506" customFormat="1" x14ac:dyDescent="0.2">
      <c r="A91" s="512"/>
      <c r="B91" s="516" t="s">
        <v>772</v>
      </c>
      <c r="C91" s="524">
        <f>SUM(C83+C90)</f>
        <v>0.43076506361296096</v>
      </c>
      <c r="D91" s="524">
        <f>SUM(D83+D90)</f>
        <v>0.41712005511854583</v>
      </c>
      <c r="E91" s="525">
        <f t="shared" si="9"/>
        <v>-1.3645008494415134E-2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773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627</v>
      </c>
      <c r="C95" s="523">
        <f t="shared" ref="C95:D101" si="10">IF(C$44=0,0,C25/C$44)</f>
        <v>0.25963057314106774</v>
      </c>
      <c r="D95" s="523">
        <f t="shared" si="10"/>
        <v>0.25573576216992838</v>
      </c>
      <c r="E95" s="523">
        <f t="shared" ref="E95:E103" si="11">D95-C95</f>
        <v>-3.8948109711393619E-3</v>
      </c>
    </row>
    <row r="96" spans="1:5" s="506" customFormat="1" x14ac:dyDescent="0.2">
      <c r="A96" s="512">
        <v>2</v>
      </c>
      <c r="B96" s="511" t="s">
        <v>606</v>
      </c>
      <c r="C96" s="523">
        <f t="shared" si="10"/>
        <v>0.18723417076249516</v>
      </c>
      <c r="D96" s="523">
        <f t="shared" si="10"/>
        <v>0.19741236906094392</v>
      </c>
      <c r="E96" s="523">
        <f t="shared" si="11"/>
        <v>1.0178198298448765E-2</v>
      </c>
    </row>
    <row r="97" spans="1:5" s="506" customFormat="1" x14ac:dyDescent="0.2">
      <c r="A97" s="512">
        <v>3</v>
      </c>
      <c r="B97" s="511" t="s">
        <v>752</v>
      </c>
      <c r="C97" s="523">
        <f t="shared" si="10"/>
        <v>0.12035399684775712</v>
      </c>
      <c r="D97" s="523">
        <f t="shared" si="10"/>
        <v>0.12761047033992975</v>
      </c>
      <c r="E97" s="523">
        <f t="shared" si="11"/>
        <v>7.2564734921726354E-3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9.9343243241204263E-2</v>
      </c>
      <c r="D98" s="523">
        <f t="shared" si="10"/>
        <v>0.12692190552426749</v>
      </c>
      <c r="E98" s="523">
        <f t="shared" si="11"/>
        <v>2.7578662283063229E-2</v>
      </c>
    </row>
    <row r="99" spans="1:5" s="506" customFormat="1" x14ac:dyDescent="0.2">
      <c r="A99" s="512">
        <v>5</v>
      </c>
      <c r="B99" s="511" t="s">
        <v>719</v>
      </c>
      <c r="C99" s="523">
        <f t="shared" si="10"/>
        <v>2.1010753606552864E-2</v>
      </c>
      <c r="D99" s="523">
        <f t="shared" si="10"/>
        <v>6.8856481566227634E-4</v>
      </c>
      <c r="E99" s="523">
        <f t="shared" si="11"/>
        <v>-2.0322188790890587E-2</v>
      </c>
    </row>
    <row r="100" spans="1:5" s="506" customFormat="1" x14ac:dyDescent="0.2">
      <c r="A100" s="512">
        <v>6</v>
      </c>
      <c r="B100" s="511" t="s">
        <v>418</v>
      </c>
      <c r="C100" s="523">
        <f t="shared" si="10"/>
        <v>2.0161956357190852E-3</v>
      </c>
      <c r="D100" s="523">
        <f t="shared" si="10"/>
        <v>2.1213433106521315E-3</v>
      </c>
      <c r="E100" s="523">
        <f t="shared" si="11"/>
        <v>1.051476749330464E-4</v>
      </c>
    </row>
    <row r="101" spans="1:5" s="506" customFormat="1" x14ac:dyDescent="0.2">
      <c r="A101" s="512">
        <v>7</v>
      </c>
      <c r="B101" s="511" t="s">
        <v>734</v>
      </c>
      <c r="C101" s="523">
        <f t="shared" si="10"/>
        <v>1.9897742890943832E-2</v>
      </c>
      <c r="D101" s="523">
        <f t="shared" si="10"/>
        <v>2.0297901452592079E-2</v>
      </c>
      <c r="E101" s="523">
        <f t="shared" si="11"/>
        <v>4.0015856164824642E-4</v>
      </c>
    </row>
    <row r="102" spans="1:5" s="506" customFormat="1" x14ac:dyDescent="0.2">
      <c r="A102" s="512"/>
      <c r="B102" s="516" t="s">
        <v>774</v>
      </c>
      <c r="C102" s="524">
        <f>SUM(C96+C97+C100)</f>
        <v>0.30960436324597135</v>
      </c>
      <c r="D102" s="524">
        <f>SUM(D96+D97+D100)</f>
        <v>0.32714418271152579</v>
      </c>
      <c r="E102" s="525">
        <f t="shared" si="11"/>
        <v>1.753981946555444E-2</v>
      </c>
    </row>
    <row r="103" spans="1:5" s="506" customFormat="1" x14ac:dyDescent="0.2">
      <c r="A103" s="512"/>
      <c r="B103" s="516" t="s">
        <v>775</v>
      </c>
      <c r="C103" s="524">
        <f>SUM(C95+C102)</f>
        <v>0.56923493638703904</v>
      </c>
      <c r="D103" s="524">
        <f>SUM(D95+D102)</f>
        <v>0.58287994488145412</v>
      </c>
      <c r="E103" s="525">
        <f t="shared" si="11"/>
        <v>1.3645008494415078E-2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776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777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627</v>
      </c>
      <c r="C109" s="523">
        <f t="shared" ref="C109:D115" si="12">IF(C$77=0,0,C47/C$77)</f>
        <v>0.13733482176800399</v>
      </c>
      <c r="D109" s="523">
        <f t="shared" si="12"/>
        <v>0.13945747570521835</v>
      </c>
      <c r="E109" s="523">
        <f t="shared" ref="E109:E117" si="13">D109-C109</f>
        <v>2.1226539372143638E-3</v>
      </c>
    </row>
    <row r="110" spans="1:5" s="506" customFormat="1" x14ac:dyDescent="0.2">
      <c r="A110" s="512">
        <v>2</v>
      </c>
      <c r="B110" s="511" t="s">
        <v>606</v>
      </c>
      <c r="C110" s="523">
        <f t="shared" si="12"/>
        <v>0.32823515119581242</v>
      </c>
      <c r="D110" s="523">
        <f t="shared" si="12"/>
        <v>0.31404212912611573</v>
      </c>
      <c r="E110" s="523">
        <f t="shared" si="13"/>
        <v>-1.4193022069696692E-2</v>
      </c>
    </row>
    <row r="111" spans="1:5" s="506" customFormat="1" x14ac:dyDescent="0.2">
      <c r="A111" s="512">
        <v>3</v>
      </c>
      <c r="B111" s="511" t="s">
        <v>752</v>
      </c>
      <c r="C111" s="523">
        <f t="shared" si="12"/>
        <v>5.3552956513510358E-2</v>
      </c>
      <c r="D111" s="523">
        <f t="shared" si="12"/>
        <v>5.2058838817121998E-2</v>
      </c>
      <c r="E111" s="523">
        <f t="shared" si="13"/>
        <v>-1.4941176963883598E-3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4.3599807993319847E-2</v>
      </c>
      <c r="D112" s="523">
        <f t="shared" si="12"/>
        <v>5.1742299319346395E-2</v>
      </c>
      <c r="E112" s="523">
        <f t="shared" si="13"/>
        <v>8.1424913260265477E-3</v>
      </c>
    </row>
    <row r="113" spans="1:5" s="506" customFormat="1" x14ac:dyDescent="0.2">
      <c r="A113" s="512">
        <v>5</v>
      </c>
      <c r="B113" s="511" t="s">
        <v>719</v>
      </c>
      <c r="C113" s="523">
        <f t="shared" si="12"/>
        <v>9.9531485201905124E-3</v>
      </c>
      <c r="D113" s="523">
        <f t="shared" si="12"/>
        <v>3.1653949777560086E-4</v>
      </c>
      <c r="E113" s="523">
        <f t="shared" si="13"/>
        <v>-9.636609022414911E-3</v>
      </c>
    </row>
    <row r="114" spans="1:5" s="506" customFormat="1" x14ac:dyDescent="0.2">
      <c r="A114" s="512">
        <v>6</v>
      </c>
      <c r="B114" s="511" t="s">
        <v>418</v>
      </c>
      <c r="C114" s="523">
        <f t="shared" si="12"/>
        <v>2.7333651686893457E-3</v>
      </c>
      <c r="D114" s="523">
        <f t="shared" si="12"/>
        <v>2.4005620209726504E-3</v>
      </c>
      <c r="E114" s="523">
        <f t="shared" si="13"/>
        <v>-3.3280314771669522E-4</v>
      </c>
    </row>
    <row r="115" spans="1:5" s="506" customFormat="1" x14ac:dyDescent="0.2">
      <c r="A115" s="512">
        <v>7</v>
      </c>
      <c r="B115" s="511" t="s">
        <v>734</v>
      </c>
      <c r="C115" s="523">
        <f t="shared" si="12"/>
        <v>2.7394318875795217E-3</v>
      </c>
      <c r="D115" s="523">
        <f t="shared" si="12"/>
        <v>2.4537334229019145E-3</v>
      </c>
      <c r="E115" s="523">
        <f t="shared" si="13"/>
        <v>-2.8569846467760718E-4</v>
      </c>
    </row>
    <row r="116" spans="1:5" s="506" customFormat="1" x14ac:dyDescent="0.2">
      <c r="A116" s="512"/>
      <c r="B116" s="516" t="s">
        <v>771</v>
      </c>
      <c r="C116" s="524">
        <f>SUM(C110+C111+C114)</f>
        <v>0.38452147287801214</v>
      </c>
      <c r="D116" s="524">
        <f>SUM(D110+D111+D114)</f>
        <v>0.36850152996421037</v>
      </c>
      <c r="E116" s="525">
        <f t="shared" si="13"/>
        <v>-1.6019942913801766E-2</v>
      </c>
    </row>
    <row r="117" spans="1:5" s="506" customFormat="1" x14ac:dyDescent="0.2">
      <c r="A117" s="512"/>
      <c r="B117" s="516" t="s">
        <v>772</v>
      </c>
      <c r="C117" s="524">
        <f>SUM(C109+C116)</f>
        <v>0.52185629464601613</v>
      </c>
      <c r="D117" s="524">
        <f>SUM(D109+D116)</f>
        <v>0.50795900566942875</v>
      </c>
      <c r="E117" s="525">
        <f t="shared" si="13"/>
        <v>-1.3897288976587374E-2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321</v>
      </c>
      <c r="B119" s="522" t="s">
        <v>778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627</v>
      </c>
      <c r="C121" s="523">
        <f t="shared" ref="C121:D127" si="14">IF(C$77=0,0,C58/C$77)</f>
        <v>0.24526596769114156</v>
      </c>
      <c r="D121" s="523">
        <f t="shared" si="14"/>
        <v>0.24416948171828493</v>
      </c>
      <c r="E121" s="523">
        <f t="shared" ref="E121:E129" si="15">D121-C121</f>
        <v>-1.0964859728566367E-3</v>
      </c>
    </row>
    <row r="122" spans="1:5" s="506" customFormat="1" x14ac:dyDescent="0.2">
      <c r="A122" s="512">
        <v>2</v>
      </c>
      <c r="B122" s="511" t="s">
        <v>606</v>
      </c>
      <c r="C122" s="523">
        <f t="shared" si="14"/>
        <v>0.15342382988283723</v>
      </c>
      <c r="D122" s="523">
        <f t="shared" si="14"/>
        <v>0.15896440752590857</v>
      </c>
      <c r="E122" s="523">
        <f t="shared" si="15"/>
        <v>5.5405776430713372E-3</v>
      </c>
    </row>
    <row r="123" spans="1:5" s="506" customFormat="1" x14ac:dyDescent="0.2">
      <c r="A123" s="512">
        <v>3</v>
      </c>
      <c r="B123" s="511" t="s">
        <v>752</v>
      </c>
      <c r="C123" s="523">
        <f t="shared" si="14"/>
        <v>7.7895119061098667E-2</v>
      </c>
      <c r="D123" s="523">
        <f t="shared" si="14"/>
        <v>8.7026865876219953E-2</v>
      </c>
      <c r="E123" s="523">
        <f t="shared" si="15"/>
        <v>9.1317468151212861E-3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6.640623535378444E-2</v>
      </c>
      <c r="D124" s="523">
        <f t="shared" si="14"/>
        <v>8.6710745858298285E-2</v>
      </c>
      <c r="E124" s="523">
        <f t="shared" si="15"/>
        <v>2.0304510504513845E-2</v>
      </c>
    </row>
    <row r="125" spans="1:5" s="506" customFormat="1" x14ac:dyDescent="0.2">
      <c r="A125" s="512">
        <v>5</v>
      </c>
      <c r="B125" s="511" t="s">
        <v>719</v>
      </c>
      <c r="C125" s="523">
        <f t="shared" si="14"/>
        <v>1.148888370731423E-2</v>
      </c>
      <c r="D125" s="523">
        <f t="shared" si="14"/>
        <v>3.1612001792167085E-4</v>
      </c>
      <c r="E125" s="523">
        <f t="shared" si="15"/>
        <v>-1.1172763689392559E-2</v>
      </c>
    </row>
    <row r="126" spans="1:5" s="506" customFormat="1" x14ac:dyDescent="0.2">
      <c r="A126" s="512">
        <v>6</v>
      </c>
      <c r="B126" s="511" t="s">
        <v>418</v>
      </c>
      <c r="C126" s="523">
        <f t="shared" si="14"/>
        <v>1.5587887189063873E-3</v>
      </c>
      <c r="D126" s="523">
        <f t="shared" si="14"/>
        <v>1.8802392101578407E-3</v>
      </c>
      <c r="E126" s="523">
        <f t="shared" si="15"/>
        <v>3.214504912514534E-4</v>
      </c>
    </row>
    <row r="127" spans="1:5" s="506" customFormat="1" x14ac:dyDescent="0.2">
      <c r="A127" s="512">
        <v>7</v>
      </c>
      <c r="B127" s="511" t="s">
        <v>734</v>
      </c>
      <c r="C127" s="523">
        <f t="shared" si="14"/>
        <v>9.4263484662663322E-3</v>
      </c>
      <c r="D127" s="523">
        <f t="shared" si="14"/>
        <v>1.123020278812039E-2</v>
      </c>
      <c r="E127" s="523">
        <f t="shared" si="15"/>
        <v>1.8038543218540579E-3</v>
      </c>
    </row>
    <row r="128" spans="1:5" s="506" customFormat="1" x14ac:dyDescent="0.2">
      <c r="A128" s="512"/>
      <c r="B128" s="516" t="s">
        <v>774</v>
      </c>
      <c r="C128" s="524">
        <f>SUM(C122+C123+C126)</f>
        <v>0.23287773766284228</v>
      </c>
      <c r="D128" s="524">
        <f>SUM(D122+D123+D126)</f>
        <v>0.24787151261228635</v>
      </c>
      <c r="E128" s="525">
        <f t="shared" si="15"/>
        <v>1.4993774949444066E-2</v>
      </c>
    </row>
    <row r="129" spans="1:5" s="506" customFormat="1" x14ac:dyDescent="0.2">
      <c r="A129" s="512"/>
      <c r="B129" s="516" t="s">
        <v>775</v>
      </c>
      <c r="C129" s="524">
        <f>SUM(C121+C128)</f>
        <v>0.47814370535398387</v>
      </c>
      <c r="D129" s="524">
        <f>SUM(D121+D128)</f>
        <v>0.49204099433057125</v>
      </c>
      <c r="E129" s="525">
        <f t="shared" si="15"/>
        <v>1.3897288976587374E-2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779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780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781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627</v>
      </c>
      <c r="C137" s="530">
        <v>1900</v>
      </c>
      <c r="D137" s="530">
        <v>1747</v>
      </c>
      <c r="E137" s="531">
        <f t="shared" ref="E137:E145" si="16">D137-C137</f>
        <v>-153</v>
      </c>
    </row>
    <row r="138" spans="1:5" s="506" customFormat="1" x14ac:dyDescent="0.2">
      <c r="A138" s="512">
        <v>2</v>
      </c>
      <c r="B138" s="511" t="s">
        <v>606</v>
      </c>
      <c r="C138" s="530">
        <v>3371</v>
      </c>
      <c r="D138" s="530">
        <v>3532</v>
      </c>
      <c r="E138" s="531">
        <f t="shared" si="16"/>
        <v>161</v>
      </c>
    </row>
    <row r="139" spans="1:5" s="506" customFormat="1" x14ac:dyDescent="0.2">
      <c r="A139" s="512">
        <v>3</v>
      </c>
      <c r="B139" s="511" t="s">
        <v>752</v>
      </c>
      <c r="C139" s="530">
        <f>C140+C141</f>
        <v>1133</v>
      </c>
      <c r="D139" s="530">
        <f>D140+D141</f>
        <v>1200</v>
      </c>
      <c r="E139" s="531">
        <f t="shared" si="16"/>
        <v>67</v>
      </c>
    </row>
    <row r="140" spans="1:5" s="506" customFormat="1" x14ac:dyDescent="0.2">
      <c r="A140" s="512">
        <v>4</v>
      </c>
      <c r="B140" s="511" t="s">
        <v>114</v>
      </c>
      <c r="C140" s="530">
        <v>935</v>
      </c>
      <c r="D140" s="530">
        <v>1192</v>
      </c>
      <c r="E140" s="531">
        <f t="shared" si="16"/>
        <v>257</v>
      </c>
    </row>
    <row r="141" spans="1:5" s="506" customFormat="1" x14ac:dyDescent="0.2">
      <c r="A141" s="512">
        <v>5</v>
      </c>
      <c r="B141" s="511" t="s">
        <v>719</v>
      </c>
      <c r="C141" s="530">
        <v>198</v>
      </c>
      <c r="D141" s="530">
        <v>8</v>
      </c>
      <c r="E141" s="531">
        <f t="shared" si="16"/>
        <v>-190</v>
      </c>
    </row>
    <row r="142" spans="1:5" s="506" customFormat="1" x14ac:dyDescent="0.2">
      <c r="A142" s="512">
        <v>6</v>
      </c>
      <c r="B142" s="511" t="s">
        <v>418</v>
      </c>
      <c r="C142" s="530">
        <v>34</v>
      </c>
      <c r="D142" s="530">
        <v>33</v>
      </c>
      <c r="E142" s="531">
        <f t="shared" si="16"/>
        <v>-1</v>
      </c>
    </row>
    <row r="143" spans="1:5" s="506" customFormat="1" x14ac:dyDescent="0.2">
      <c r="A143" s="512">
        <v>7</v>
      </c>
      <c r="B143" s="511" t="s">
        <v>734</v>
      </c>
      <c r="C143" s="530">
        <v>155</v>
      </c>
      <c r="D143" s="530">
        <v>90</v>
      </c>
      <c r="E143" s="531">
        <f t="shared" si="16"/>
        <v>-65</v>
      </c>
    </row>
    <row r="144" spans="1:5" s="506" customFormat="1" x14ac:dyDescent="0.2">
      <c r="A144" s="512"/>
      <c r="B144" s="516" t="s">
        <v>782</v>
      </c>
      <c r="C144" s="532">
        <f>SUM(C138+C139+C142)</f>
        <v>4538</v>
      </c>
      <c r="D144" s="532">
        <f>SUM(D138+D139+D142)</f>
        <v>4765</v>
      </c>
      <c r="E144" s="533">
        <f t="shared" si="16"/>
        <v>227</v>
      </c>
    </row>
    <row r="145" spans="1:5" s="506" customFormat="1" x14ac:dyDescent="0.2">
      <c r="A145" s="512"/>
      <c r="B145" s="516" t="s">
        <v>696</v>
      </c>
      <c r="C145" s="532">
        <f>SUM(C137+C144)</f>
        <v>6438</v>
      </c>
      <c r="D145" s="532">
        <f>SUM(D137+D144)</f>
        <v>6512</v>
      </c>
      <c r="E145" s="533">
        <f t="shared" si="16"/>
        <v>74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627</v>
      </c>
      <c r="C149" s="534">
        <v>6459</v>
      </c>
      <c r="D149" s="534">
        <v>5836</v>
      </c>
      <c r="E149" s="531">
        <f t="shared" ref="E149:E157" si="17">D149-C149</f>
        <v>-623</v>
      </c>
    </row>
    <row r="150" spans="1:5" s="506" customFormat="1" x14ac:dyDescent="0.2">
      <c r="A150" s="512">
        <v>2</v>
      </c>
      <c r="B150" s="511" t="s">
        <v>606</v>
      </c>
      <c r="C150" s="534">
        <v>16250</v>
      </c>
      <c r="D150" s="534">
        <v>16720</v>
      </c>
      <c r="E150" s="531">
        <f t="shared" si="17"/>
        <v>470</v>
      </c>
    </row>
    <row r="151" spans="1:5" s="506" customFormat="1" x14ac:dyDescent="0.2">
      <c r="A151" s="512">
        <v>3</v>
      </c>
      <c r="B151" s="511" t="s">
        <v>752</v>
      </c>
      <c r="C151" s="534">
        <f>C152+C153</f>
        <v>5057</v>
      </c>
      <c r="D151" s="534">
        <f>D152+D153</f>
        <v>4757</v>
      </c>
      <c r="E151" s="531">
        <f t="shared" si="17"/>
        <v>-300</v>
      </c>
    </row>
    <row r="152" spans="1:5" s="506" customFormat="1" x14ac:dyDescent="0.2">
      <c r="A152" s="512">
        <v>4</v>
      </c>
      <c r="B152" s="511" t="s">
        <v>114</v>
      </c>
      <c r="C152" s="534">
        <v>3996</v>
      </c>
      <c r="D152" s="534">
        <v>4733</v>
      </c>
      <c r="E152" s="531">
        <f t="shared" si="17"/>
        <v>737</v>
      </c>
    </row>
    <row r="153" spans="1:5" s="506" customFormat="1" x14ac:dyDescent="0.2">
      <c r="A153" s="512">
        <v>5</v>
      </c>
      <c r="B153" s="511" t="s">
        <v>719</v>
      </c>
      <c r="C153" s="535">
        <v>1061</v>
      </c>
      <c r="D153" s="534">
        <v>24</v>
      </c>
      <c r="E153" s="531">
        <f t="shared" si="17"/>
        <v>-1037</v>
      </c>
    </row>
    <row r="154" spans="1:5" s="506" customFormat="1" x14ac:dyDescent="0.2">
      <c r="A154" s="512">
        <v>6</v>
      </c>
      <c r="B154" s="511" t="s">
        <v>418</v>
      </c>
      <c r="C154" s="534">
        <v>213</v>
      </c>
      <c r="D154" s="534">
        <v>112</v>
      </c>
      <c r="E154" s="531">
        <f t="shared" si="17"/>
        <v>-101</v>
      </c>
    </row>
    <row r="155" spans="1:5" s="506" customFormat="1" x14ac:dyDescent="0.2">
      <c r="A155" s="512">
        <v>7</v>
      </c>
      <c r="B155" s="511" t="s">
        <v>734</v>
      </c>
      <c r="C155" s="534">
        <v>729</v>
      </c>
      <c r="D155" s="534">
        <v>352</v>
      </c>
      <c r="E155" s="531">
        <f t="shared" si="17"/>
        <v>-377</v>
      </c>
    </row>
    <row r="156" spans="1:5" s="506" customFormat="1" x14ac:dyDescent="0.2">
      <c r="A156" s="512"/>
      <c r="B156" s="516" t="s">
        <v>783</v>
      </c>
      <c r="C156" s="532">
        <f>SUM(C150+C151+C154)</f>
        <v>21520</v>
      </c>
      <c r="D156" s="532">
        <f>SUM(D150+D151+D154)</f>
        <v>21589</v>
      </c>
      <c r="E156" s="533">
        <f t="shared" si="17"/>
        <v>69</v>
      </c>
    </row>
    <row r="157" spans="1:5" s="506" customFormat="1" x14ac:dyDescent="0.2">
      <c r="A157" s="512"/>
      <c r="B157" s="516" t="s">
        <v>784</v>
      </c>
      <c r="C157" s="532">
        <f>SUM(C149+C156)</f>
        <v>27979</v>
      </c>
      <c r="D157" s="532">
        <f>SUM(D149+D156)</f>
        <v>27425</v>
      </c>
      <c r="E157" s="533">
        <f t="shared" si="17"/>
        <v>-554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785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627</v>
      </c>
      <c r="C161" s="536">
        <f t="shared" ref="C161:D169" si="18">IF(C137=0,0,C149/C137)</f>
        <v>3.3994736842105264</v>
      </c>
      <c r="D161" s="536">
        <f t="shared" si="18"/>
        <v>3.3405838580423581</v>
      </c>
      <c r="E161" s="537">
        <f t="shared" ref="E161:E169" si="19">D161-C161</f>
        <v>-5.8889826168168291E-2</v>
      </c>
    </row>
    <row r="162" spans="1:5" s="506" customFormat="1" x14ac:dyDescent="0.2">
      <c r="A162" s="512">
        <v>2</v>
      </c>
      <c r="B162" s="511" t="s">
        <v>606</v>
      </c>
      <c r="C162" s="536">
        <f t="shared" si="18"/>
        <v>4.8205280332245621</v>
      </c>
      <c r="D162" s="536">
        <f t="shared" si="18"/>
        <v>4.7338618346545864</v>
      </c>
      <c r="E162" s="537">
        <f t="shared" si="19"/>
        <v>-8.6666198569975705E-2</v>
      </c>
    </row>
    <row r="163" spans="1:5" s="506" customFormat="1" x14ac:dyDescent="0.2">
      <c r="A163" s="512">
        <v>3</v>
      </c>
      <c r="B163" s="511" t="s">
        <v>752</v>
      </c>
      <c r="C163" s="536">
        <f t="shared" si="18"/>
        <v>4.4633715798764344</v>
      </c>
      <c r="D163" s="536">
        <f t="shared" si="18"/>
        <v>3.9641666666666668</v>
      </c>
      <c r="E163" s="537">
        <f t="shared" si="19"/>
        <v>-0.49920491320976756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4.2737967914438499</v>
      </c>
      <c r="D164" s="536">
        <f t="shared" si="18"/>
        <v>3.9706375838926173</v>
      </c>
      <c r="E164" s="537">
        <f t="shared" si="19"/>
        <v>-0.3031592075512326</v>
      </c>
    </row>
    <row r="165" spans="1:5" s="506" customFormat="1" x14ac:dyDescent="0.2">
      <c r="A165" s="512">
        <v>5</v>
      </c>
      <c r="B165" s="511" t="s">
        <v>719</v>
      </c>
      <c r="C165" s="536">
        <f t="shared" si="18"/>
        <v>5.358585858585859</v>
      </c>
      <c r="D165" s="536">
        <f t="shared" si="18"/>
        <v>3</v>
      </c>
      <c r="E165" s="537">
        <f t="shared" si="19"/>
        <v>-2.358585858585859</v>
      </c>
    </row>
    <row r="166" spans="1:5" s="506" customFormat="1" x14ac:dyDescent="0.2">
      <c r="A166" s="512">
        <v>6</v>
      </c>
      <c r="B166" s="511" t="s">
        <v>418</v>
      </c>
      <c r="C166" s="536">
        <f t="shared" si="18"/>
        <v>6.2647058823529411</v>
      </c>
      <c r="D166" s="536">
        <f t="shared" si="18"/>
        <v>3.393939393939394</v>
      </c>
      <c r="E166" s="537">
        <f t="shared" si="19"/>
        <v>-2.8707664884135471</v>
      </c>
    </row>
    <row r="167" spans="1:5" s="506" customFormat="1" x14ac:dyDescent="0.2">
      <c r="A167" s="512">
        <v>7</v>
      </c>
      <c r="B167" s="511" t="s">
        <v>734</v>
      </c>
      <c r="C167" s="536">
        <f t="shared" si="18"/>
        <v>4.7032258064516128</v>
      </c>
      <c r="D167" s="536">
        <f t="shared" si="18"/>
        <v>3.911111111111111</v>
      </c>
      <c r="E167" s="537">
        <f t="shared" si="19"/>
        <v>-0.79211469534050183</v>
      </c>
    </row>
    <row r="168" spans="1:5" s="506" customFormat="1" x14ac:dyDescent="0.2">
      <c r="A168" s="512"/>
      <c r="B168" s="516" t="s">
        <v>786</v>
      </c>
      <c r="C168" s="538">
        <f t="shared" si="18"/>
        <v>4.7421771705597182</v>
      </c>
      <c r="D168" s="538">
        <f t="shared" si="18"/>
        <v>4.5307450157397691</v>
      </c>
      <c r="E168" s="539">
        <f t="shared" si="19"/>
        <v>-0.21143215481994915</v>
      </c>
    </row>
    <row r="169" spans="1:5" s="506" customFormat="1" x14ac:dyDescent="0.2">
      <c r="A169" s="512"/>
      <c r="B169" s="516" t="s">
        <v>720</v>
      </c>
      <c r="C169" s="538">
        <f t="shared" si="18"/>
        <v>4.3459148803976388</v>
      </c>
      <c r="D169" s="538">
        <f t="shared" si="18"/>
        <v>4.2114557739557741</v>
      </c>
      <c r="E169" s="539">
        <f t="shared" si="19"/>
        <v>-0.13445910644186476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321</v>
      </c>
      <c r="B171" s="509" t="s">
        <v>787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627</v>
      </c>
      <c r="C173" s="541">
        <f t="shared" ref="C173:D181" si="20">IF(C137=0,0,C203/C137)</f>
        <v>1.1143000000000001</v>
      </c>
      <c r="D173" s="541">
        <f t="shared" si="20"/>
        <v>1.1544000000000001</v>
      </c>
      <c r="E173" s="542">
        <f t="shared" ref="E173:E181" si="21">D173-C173</f>
        <v>4.0100000000000025E-2</v>
      </c>
    </row>
    <row r="174" spans="1:5" s="506" customFormat="1" x14ac:dyDescent="0.2">
      <c r="A174" s="512">
        <v>2</v>
      </c>
      <c r="B174" s="511" t="s">
        <v>606</v>
      </c>
      <c r="C174" s="541">
        <f t="shared" si="20"/>
        <v>1.4221999999999999</v>
      </c>
      <c r="D174" s="541">
        <f t="shared" si="20"/>
        <v>1.4061999999999999</v>
      </c>
      <c r="E174" s="542">
        <f t="shared" si="21"/>
        <v>-1.6000000000000014E-2</v>
      </c>
    </row>
    <row r="175" spans="1:5" s="506" customFormat="1" x14ac:dyDescent="0.2">
      <c r="A175" s="512">
        <v>0</v>
      </c>
      <c r="B175" s="511" t="s">
        <v>752</v>
      </c>
      <c r="C175" s="541">
        <f t="shared" si="20"/>
        <v>0.88289805825242718</v>
      </c>
      <c r="D175" s="541">
        <f t="shared" si="20"/>
        <v>0.9732293333333335</v>
      </c>
      <c r="E175" s="542">
        <f t="shared" si="21"/>
        <v>9.0331275080906326E-2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0.8599</v>
      </c>
      <c r="D176" s="541">
        <f t="shared" si="20"/>
        <v>0.97260000000000013</v>
      </c>
      <c r="E176" s="542">
        <f t="shared" si="21"/>
        <v>0.11270000000000013</v>
      </c>
    </row>
    <row r="177" spans="1:5" s="506" customFormat="1" x14ac:dyDescent="0.2">
      <c r="A177" s="512">
        <v>5</v>
      </c>
      <c r="B177" s="511" t="s">
        <v>719</v>
      </c>
      <c r="C177" s="541">
        <f t="shared" si="20"/>
        <v>0.99150000000000005</v>
      </c>
      <c r="D177" s="541">
        <f t="shared" si="20"/>
        <v>1.0669999999999999</v>
      </c>
      <c r="E177" s="542">
        <f t="shared" si="21"/>
        <v>7.5499999999999901E-2</v>
      </c>
    </row>
    <row r="178" spans="1:5" s="506" customFormat="1" x14ac:dyDescent="0.2">
      <c r="A178" s="512">
        <v>6</v>
      </c>
      <c r="B178" s="511" t="s">
        <v>418</v>
      </c>
      <c r="C178" s="541">
        <f t="shared" si="20"/>
        <v>1.2007000000000001</v>
      </c>
      <c r="D178" s="541">
        <f t="shared" si="20"/>
        <v>1.1505000000000001</v>
      </c>
      <c r="E178" s="542">
        <f t="shared" si="21"/>
        <v>-5.0200000000000022E-2</v>
      </c>
    </row>
    <row r="179" spans="1:5" s="506" customFormat="1" x14ac:dyDescent="0.2">
      <c r="A179" s="512">
        <v>7</v>
      </c>
      <c r="B179" s="511" t="s">
        <v>734</v>
      </c>
      <c r="C179" s="541">
        <f t="shared" si="20"/>
        <v>0.97220000000000006</v>
      </c>
      <c r="D179" s="541">
        <f t="shared" si="20"/>
        <v>0.97450000000000003</v>
      </c>
      <c r="E179" s="542">
        <f t="shared" si="21"/>
        <v>2.2999999999999687E-3</v>
      </c>
    </row>
    <row r="180" spans="1:5" s="506" customFormat="1" x14ac:dyDescent="0.2">
      <c r="A180" s="512"/>
      <c r="B180" s="516" t="s">
        <v>788</v>
      </c>
      <c r="C180" s="543">
        <f t="shared" si="20"/>
        <v>1.2858932349052445</v>
      </c>
      <c r="D180" s="543">
        <f t="shared" si="20"/>
        <v>1.2953914165792235</v>
      </c>
      <c r="E180" s="544">
        <f t="shared" si="21"/>
        <v>9.4981816739789782E-3</v>
      </c>
    </row>
    <row r="181" spans="1:5" s="506" customFormat="1" x14ac:dyDescent="0.2">
      <c r="A181" s="512"/>
      <c r="B181" s="516" t="s">
        <v>697</v>
      </c>
      <c r="C181" s="543">
        <f t="shared" si="20"/>
        <v>1.2352521745883815</v>
      </c>
      <c r="D181" s="543">
        <f t="shared" si="20"/>
        <v>1.2575670915233417</v>
      </c>
      <c r="E181" s="544">
        <f t="shared" si="21"/>
        <v>2.2314916934960127E-2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342</v>
      </c>
      <c r="B183" s="509" t="s">
        <v>789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790</v>
      </c>
      <c r="C185" s="513">
        <v>69006889</v>
      </c>
      <c r="D185" s="513">
        <v>74660403</v>
      </c>
      <c r="E185" s="514">
        <f>D185-C185</f>
        <v>5653514</v>
      </c>
    </row>
    <row r="186" spans="1:5" s="506" customFormat="1" ht="25.5" x14ac:dyDescent="0.2">
      <c r="A186" s="512">
        <v>2</v>
      </c>
      <c r="B186" s="511" t="s">
        <v>791</v>
      </c>
      <c r="C186" s="513">
        <v>42222944</v>
      </c>
      <c r="D186" s="513">
        <v>44992732</v>
      </c>
      <c r="E186" s="514">
        <f>D186-C186</f>
        <v>2769788</v>
      </c>
    </row>
    <row r="187" spans="1:5" s="506" customFormat="1" x14ac:dyDescent="0.2">
      <c r="A187" s="512"/>
      <c r="B187" s="511" t="s">
        <v>639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723</v>
      </c>
      <c r="C188" s="546">
        <f>+C185-C186</f>
        <v>26783945</v>
      </c>
      <c r="D188" s="546">
        <f>+D185-D186</f>
        <v>29667671</v>
      </c>
      <c r="E188" s="514">
        <f t="shared" ref="E188:E197" si="22">D188-C188</f>
        <v>2883726</v>
      </c>
    </row>
    <row r="189" spans="1:5" s="506" customFormat="1" x14ac:dyDescent="0.2">
      <c r="A189" s="512">
        <v>4</v>
      </c>
      <c r="B189" s="511" t="s">
        <v>641</v>
      </c>
      <c r="C189" s="547">
        <f>IF(C185=0,0,+C188/C185)</f>
        <v>0.38813436438208365</v>
      </c>
      <c r="D189" s="547">
        <f>IF(D185=0,0,+D188/D185)</f>
        <v>0.39736821404513445</v>
      </c>
      <c r="E189" s="523">
        <f t="shared" si="22"/>
        <v>9.2338496630507971E-3</v>
      </c>
    </row>
    <row r="190" spans="1:5" s="506" customFormat="1" x14ac:dyDescent="0.2">
      <c r="A190" s="512">
        <v>5</v>
      </c>
      <c r="B190" s="511" t="s">
        <v>738</v>
      </c>
      <c r="C190" s="513">
        <v>0</v>
      </c>
      <c r="D190" s="513">
        <v>0</v>
      </c>
      <c r="E190" s="546">
        <f t="shared" si="22"/>
        <v>0</v>
      </c>
    </row>
    <row r="191" spans="1:5" s="506" customFormat="1" x14ac:dyDescent="0.2">
      <c r="A191" s="512">
        <v>6</v>
      </c>
      <c r="B191" s="511" t="s">
        <v>724</v>
      </c>
      <c r="C191" s="513">
        <v>0</v>
      </c>
      <c r="D191" s="513">
        <v>0</v>
      </c>
      <c r="E191" s="546">
        <f t="shared" si="22"/>
        <v>0</v>
      </c>
    </row>
    <row r="192" spans="1:5" ht="29.25" x14ac:dyDescent="0.2">
      <c r="A192" s="512">
        <v>7</v>
      </c>
      <c r="B192" s="548" t="s">
        <v>792</v>
      </c>
      <c r="C192" s="513">
        <v>616056</v>
      </c>
      <c r="D192" s="513">
        <v>0</v>
      </c>
      <c r="E192" s="546">
        <f t="shared" si="22"/>
        <v>-616056</v>
      </c>
    </row>
    <row r="193" spans="1:5" s="506" customFormat="1" x14ac:dyDescent="0.2">
      <c r="A193" s="512">
        <v>8</v>
      </c>
      <c r="B193" s="511" t="s">
        <v>793</v>
      </c>
      <c r="C193" s="513">
        <v>1421695</v>
      </c>
      <c r="D193" s="513">
        <v>1726098</v>
      </c>
      <c r="E193" s="546">
        <f t="shared" si="22"/>
        <v>304403</v>
      </c>
    </row>
    <row r="194" spans="1:5" s="506" customFormat="1" x14ac:dyDescent="0.2">
      <c r="A194" s="512">
        <v>9</v>
      </c>
      <c r="B194" s="511" t="s">
        <v>794</v>
      </c>
      <c r="C194" s="513">
        <v>2413649</v>
      </c>
      <c r="D194" s="513">
        <v>2129955</v>
      </c>
      <c r="E194" s="546">
        <f t="shared" si="22"/>
        <v>-283694</v>
      </c>
    </row>
    <row r="195" spans="1:5" s="506" customFormat="1" x14ac:dyDescent="0.2">
      <c r="A195" s="512">
        <v>10</v>
      </c>
      <c r="B195" s="511" t="s">
        <v>795</v>
      </c>
      <c r="C195" s="513">
        <f>+C193+C194</f>
        <v>3835344</v>
      </c>
      <c r="D195" s="513">
        <f>+D193+D194</f>
        <v>3856053</v>
      </c>
      <c r="E195" s="549">
        <f t="shared" si="22"/>
        <v>20709</v>
      </c>
    </row>
    <row r="196" spans="1:5" s="506" customFormat="1" x14ac:dyDescent="0.2">
      <c r="A196" s="512">
        <v>11</v>
      </c>
      <c r="B196" s="511" t="s">
        <v>796</v>
      </c>
      <c r="C196" s="513">
        <v>69006889</v>
      </c>
      <c r="D196" s="513">
        <v>74660403</v>
      </c>
      <c r="E196" s="546">
        <f t="shared" si="22"/>
        <v>5653514</v>
      </c>
    </row>
    <row r="197" spans="1:5" s="506" customFormat="1" x14ac:dyDescent="0.2">
      <c r="A197" s="512">
        <v>12</v>
      </c>
      <c r="B197" s="511" t="s">
        <v>681</v>
      </c>
      <c r="C197" s="513">
        <v>108897163</v>
      </c>
      <c r="D197" s="513">
        <v>113880767</v>
      </c>
      <c r="E197" s="546">
        <f t="shared" si="22"/>
        <v>4983604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797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798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627</v>
      </c>
      <c r="C203" s="553">
        <v>2117.17</v>
      </c>
      <c r="D203" s="553">
        <v>2016.7368000000001</v>
      </c>
      <c r="E203" s="554">
        <f t="shared" ref="E203:E211" si="23">D203-C203</f>
        <v>-100.43319999999994</v>
      </c>
    </row>
    <row r="204" spans="1:5" s="506" customFormat="1" x14ac:dyDescent="0.2">
      <c r="A204" s="512">
        <v>2</v>
      </c>
      <c r="B204" s="511" t="s">
        <v>606</v>
      </c>
      <c r="C204" s="553">
        <v>4794.2361999999994</v>
      </c>
      <c r="D204" s="553">
        <v>4966.6983999999993</v>
      </c>
      <c r="E204" s="554">
        <f t="shared" si="23"/>
        <v>172.46219999999994</v>
      </c>
    </row>
    <row r="205" spans="1:5" s="506" customFormat="1" x14ac:dyDescent="0.2">
      <c r="A205" s="512">
        <v>3</v>
      </c>
      <c r="B205" s="511" t="s">
        <v>752</v>
      </c>
      <c r="C205" s="553">
        <f>C206+C207</f>
        <v>1000.3235</v>
      </c>
      <c r="D205" s="553">
        <f>D206+D207</f>
        <v>1167.8752000000002</v>
      </c>
      <c r="E205" s="554">
        <f t="shared" si="23"/>
        <v>167.55170000000021</v>
      </c>
    </row>
    <row r="206" spans="1:5" s="506" customFormat="1" x14ac:dyDescent="0.2">
      <c r="A206" s="512">
        <v>4</v>
      </c>
      <c r="B206" s="511" t="s">
        <v>114</v>
      </c>
      <c r="C206" s="553">
        <v>804.00649999999996</v>
      </c>
      <c r="D206" s="553">
        <v>1159.3392000000001</v>
      </c>
      <c r="E206" s="554">
        <f t="shared" si="23"/>
        <v>355.33270000000016</v>
      </c>
    </row>
    <row r="207" spans="1:5" s="506" customFormat="1" x14ac:dyDescent="0.2">
      <c r="A207" s="512">
        <v>5</v>
      </c>
      <c r="B207" s="511" t="s">
        <v>719</v>
      </c>
      <c r="C207" s="553">
        <v>196.31700000000001</v>
      </c>
      <c r="D207" s="553">
        <v>8.5359999999999996</v>
      </c>
      <c r="E207" s="554">
        <f t="shared" si="23"/>
        <v>-187.78100000000001</v>
      </c>
    </row>
    <row r="208" spans="1:5" s="506" customFormat="1" x14ac:dyDescent="0.2">
      <c r="A208" s="512">
        <v>6</v>
      </c>
      <c r="B208" s="511" t="s">
        <v>418</v>
      </c>
      <c r="C208" s="553">
        <v>40.823800000000006</v>
      </c>
      <c r="D208" s="553">
        <v>37.966500000000003</v>
      </c>
      <c r="E208" s="554">
        <f t="shared" si="23"/>
        <v>-2.8573000000000022</v>
      </c>
    </row>
    <row r="209" spans="1:5" s="506" customFormat="1" x14ac:dyDescent="0.2">
      <c r="A209" s="512">
        <v>7</v>
      </c>
      <c r="B209" s="511" t="s">
        <v>734</v>
      </c>
      <c r="C209" s="553">
        <v>150.691</v>
      </c>
      <c r="D209" s="553">
        <v>87.704999999999998</v>
      </c>
      <c r="E209" s="554">
        <f t="shared" si="23"/>
        <v>-62.986000000000004</v>
      </c>
    </row>
    <row r="210" spans="1:5" s="506" customFormat="1" x14ac:dyDescent="0.2">
      <c r="A210" s="512"/>
      <c r="B210" s="516" t="s">
        <v>799</v>
      </c>
      <c r="C210" s="555">
        <f>C204+C205+C208</f>
        <v>5835.3834999999999</v>
      </c>
      <c r="D210" s="555">
        <f>D204+D205+D208</f>
        <v>6172.5401000000002</v>
      </c>
      <c r="E210" s="556">
        <f t="shared" si="23"/>
        <v>337.15660000000025</v>
      </c>
    </row>
    <row r="211" spans="1:5" s="506" customFormat="1" x14ac:dyDescent="0.2">
      <c r="A211" s="512"/>
      <c r="B211" s="516" t="s">
        <v>698</v>
      </c>
      <c r="C211" s="555">
        <f>C210+C203</f>
        <v>7952.5535</v>
      </c>
      <c r="D211" s="555">
        <f>D210+D203</f>
        <v>8189.2769000000008</v>
      </c>
      <c r="E211" s="556">
        <f t="shared" si="23"/>
        <v>236.72340000000077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800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627</v>
      </c>
      <c r="C215" s="557">
        <f>IF(C14*C137=0,0,C25/C14*C137)</f>
        <v>4610.5707060319401</v>
      </c>
      <c r="D215" s="557">
        <f>IF(D14*D137=0,0,D25/D14*D137)</f>
        <v>4374.728947195752</v>
      </c>
      <c r="E215" s="557">
        <f t="shared" ref="E215:E223" si="24">D215-C215</f>
        <v>-235.84175883618809</v>
      </c>
    </row>
    <row r="216" spans="1:5" s="506" customFormat="1" x14ac:dyDescent="0.2">
      <c r="A216" s="512">
        <v>2</v>
      </c>
      <c r="B216" s="511" t="s">
        <v>606</v>
      </c>
      <c r="C216" s="557">
        <f>IF(C15*C138=0,0,C26/C15*C138)</f>
        <v>2436.0088668945282</v>
      </c>
      <c r="D216" s="557">
        <f>IF(D15*D138=0,0,D26/D15*D138)</f>
        <v>2737.9947137410941</v>
      </c>
      <c r="E216" s="557">
        <f t="shared" si="24"/>
        <v>301.98584684656589</v>
      </c>
    </row>
    <row r="217" spans="1:5" s="506" customFormat="1" x14ac:dyDescent="0.2">
      <c r="A217" s="512">
        <v>3</v>
      </c>
      <c r="B217" s="511" t="s">
        <v>752</v>
      </c>
      <c r="C217" s="557">
        <f>C218+C219</f>
        <v>2240.4309301939525</v>
      </c>
      <c r="D217" s="557">
        <f>D218+D219</f>
        <v>2629.6508405612217</v>
      </c>
      <c r="E217" s="557">
        <f t="shared" si="24"/>
        <v>389.21991036726922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1897.5958566296431</v>
      </c>
      <c r="D218" s="557">
        <f t="shared" si="25"/>
        <v>2616.7877495870098</v>
      </c>
      <c r="E218" s="557">
        <f t="shared" si="24"/>
        <v>719.19189295736669</v>
      </c>
    </row>
    <row r="219" spans="1:5" s="506" customFormat="1" x14ac:dyDescent="0.2">
      <c r="A219" s="512">
        <v>5</v>
      </c>
      <c r="B219" s="511" t="s">
        <v>719</v>
      </c>
      <c r="C219" s="557">
        <f t="shared" si="25"/>
        <v>342.83507356430943</v>
      </c>
      <c r="D219" s="557">
        <f t="shared" si="25"/>
        <v>12.863090974212035</v>
      </c>
      <c r="E219" s="557">
        <f t="shared" si="24"/>
        <v>-329.97198259009741</v>
      </c>
    </row>
    <row r="220" spans="1:5" s="506" customFormat="1" x14ac:dyDescent="0.2">
      <c r="A220" s="512">
        <v>6</v>
      </c>
      <c r="B220" s="511" t="s">
        <v>418</v>
      </c>
      <c r="C220" s="557">
        <f t="shared" si="25"/>
        <v>19.095450643776825</v>
      </c>
      <c r="D220" s="557">
        <f t="shared" si="25"/>
        <v>33.494422555625377</v>
      </c>
      <c r="E220" s="557">
        <f t="shared" si="24"/>
        <v>14.398971911848552</v>
      </c>
    </row>
    <row r="221" spans="1:5" s="506" customFormat="1" x14ac:dyDescent="0.2">
      <c r="A221" s="512">
        <v>7</v>
      </c>
      <c r="B221" s="511" t="s">
        <v>734</v>
      </c>
      <c r="C221" s="557">
        <f t="shared" si="25"/>
        <v>533.35311293252278</v>
      </c>
      <c r="D221" s="557">
        <f t="shared" si="25"/>
        <v>411.91059652035204</v>
      </c>
      <c r="E221" s="557">
        <f t="shared" si="24"/>
        <v>-121.44251641217073</v>
      </c>
    </row>
    <row r="222" spans="1:5" s="506" customFormat="1" x14ac:dyDescent="0.2">
      <c r="A222" s="512"/>
      <c r="B222" s="516" t="s">
        <v>801</v>
      </c>
      <c r="C222" s="558">
        <f>C216+C218+C219+C220</f>
        <v>4695.5352477322576</v>
      </c>
      <c r="D222" s="558">
        <f>D216+D218+D219+D220</f>
        <v>5401.1399768579413</v>
      </c>
      <c r="E222" s="558">
        <f t="shared" si="24"/>
        <v>705.60472912568366</v>
      </c>
    </row>
    <row r="223" spans="1:5" s="506" customFormat="1" x14ac:dyDescent="0.2">
      <c r="A223" s="512"/>
      <c r="B223" s="516" t="s">
        <v>802</v>
      </c>
      <c r="C223" s="558">
        <f>C215+C222</f>
        <v>9306.1059537641977</v>
      </c>
      <c r="D223" s="558">
        <f>D215+D222</f>
        <v>9775.8689240536933</v>
      </c>
      <c r="E223" s="558">
        <f t="shared" si="24"/>
        <v>469.76297028949557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803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627</v>
      </c>
      <c r="C227" s="560">
        <f t="shared" ref="C227:D235" si="26">IF(C203=0,0,C47/C203)</f>
        <v>6522.3019407983293</v>
      </c>
      <c r="D227" s="560">
        <f t="shared" si="26"/>
        <v>7418.1221862961984</v>
      </c>
      <c r="E227" s="560">
        <f t="shared" ref="E227:E235" si="27">D227-C227</f>
        <v>895.82024549786911</v>
      </c>
    </row>
    <row r="228" spans="1:5" s="506" customFormat="1" x14ac:dyDescent="0.2">
      <c r="A228" s="512">
        <v>2</v>
      </c>
      <c r="B228" s="511" t="s">
        <v>606</v>
      </c>
      <c r="C228" s="560">
        <f t="shared" si="26"/>
        <v>6884.0120976934768</v>
      </c>
      <c r="D228" s="560">
        <f t="shared" si="26"/>
        <v>6782.9955207266066</v>
      </c>
      <c r="E228" s="560">
        <f t="shared" si="27"/>
        <v>-101.01657696687016</v>
      </c>
    </row>
    <row r="229" spans="1:5" s="506" customFormat="1" x14ac:dyDescent="0.2">
      <c r="A229" s="512">
        <v>3</v>
      </c>
      <c r="B229" s="511" t="s">
        <v>752</v>
      </c>
      <c r="C229" s="560">
        <f t="shared" si="26"/>
        <v>5382.9326212970109</v>
      </c>
      <c r="D229" s="560">
        <f t="shared" si="26"/>
        <v>4781.8885100051775</v>
      </c>
      <c r="E229" s="560">
        <f t="shared" si="27"/>
        <v>-601.04411129183336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5452.5666148221444</v>
      </c>
      <c r="D230" s="560">
        <f t="shared" si="26"/>
        <v>4787.8067092012407</v>
      </c>
      <c r="E230" s="560">
        <f t="shared" si="27"/>
        <v>-664.75990562090374</v>
      </c>
    </row>
    <row r="231" spans="1:5" s="506" customFormat="1" x14ac:dyDescent="0.2">
      <c r="A231" s="512">
        <v>5</v>
      </c>
      <c r="B231" s="511" t="s">
        <v>719</v>
      </c>
      <c r="C231" s="560">
        <f t="shared" si="26"/>
        <v>5097.7500674928815</v>
      </c>
      <c r="D231" s="560">
        <f t="shared" si="26"/>
        <v>3978.0927835051548</v>
      </c>
      <c r="E231" s="560">
        <f t="shared" si="27"/>
        <v>-1119.6572839877267</v>
      </c>
    </row>
    <row r="232" spans="1:5" s="506" customFormat="1" x14ac:dyDescent="0.2">
      <c r="A232" s="512">
        <v>6</v>
      </c>
      <c r="B232" s="511" t="s">
        <v>418</v>
      </c>
      <c r="C232" s="560">
        <f t="shared" si="26"/>
        <v>6732.2493251485648</v>
      </c>
      <c r="D232" s="560">
        <f t="shared" si="26"/>
        <v>6782.8743760947145</v>
      </c>
      <c r="E232" s="560">
        <f t="shared" si="27"/>
        <v>50.625050946149713</v>
      </c>
    </row>
    <row r="233" spans="1:5" s="506" customFormat="1" x14ac:dyDescent="0.2">
      <c r="A233" s="512">
        <v>7</v>
      </c>
      <c r="B233" s="511" t="s">
        <v>734</v>
      </c>
      <c r="C233" s="560">
        <f t="shared" si="26"/>
        <v>1827.88620421923</v>
      </c>
      <c r="D233" s="560">
        <f t="shared" si="26"/>
        <v>3001.2656062938258</v>
      </c>
      <c r="E233" s="560">
        <f t="shared" si="27"/>
        <v>1173.3794020745959</v>
      </c>
    </row>
    <row r="234" spans="1:5" x14ac:dyDescent="0.2">
      <c r="A234" s="512"/>
      <c r="B234" s="516" t="s">
        <v>804</v>
      </c>
      <c r="C234" s="561">
        <f t="shared" si="26"/>
        <v>6625.6296608440562</v>
      </c>
      <c r="D234" s="561">
        <f t="shared" si="26"/>
        <v>6404.3754045437463</v>
      </c>
      <c r="E234" s="561">
        <f t="shared" si="27"/>
        <v>-221.25425630030986</v>
      </c>
    </row>
    <row r="235" spans="1:5" s="506" customFormat="1" x14ac:dyDescent="0.2">
      <c r="A235" s="512"/>
      <c r="B235" s="516" t="s">
        <v>805</v>
      </c>
      <c r="C235" s="561">
        <f t="shared" si="26"/>
        <v>6598.1212198069461</v>
      </c>
      <c r="D235" s="561">
        <f t="shared" si="26"/>
        <v>6654.0263158032913</v>
      </c>
      <c r="E235" s="561">
        <f t="shared" si="27"/>
        <v>55.905095996345153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321</v>
      </c>
      <c r="B237" s="509" t="s">
        <v>806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627</v>
      </c>
      <c r="C239" s="560">
        <f t="shared" ref="C239:D247" si="28">IF(C215=0,0,C58/C215)</f>
        <v>5348.8272000115285</v>
      </c>
      <c r="D239" s="560">
        <f t="shared" si="28"/>
        <v>5987.4463803729568</v>
      </c>
      <c r="E239" s="562">
        <f t="shared" ref="E239:E247" si="29">D239-C239</f>
        <v>638.61918036142833</v>
      </c>
    </row>
    <row r="240" spans="1:5" s="506" customFormat="1" x14ac:dyDescent="0.2">
      <c r="A240" s="512">
        <v>2</v>
      </c>
      <c r="B240" s="511" t="s">
        <v>606</v>
      </c>
      <c r="C240" s="560">
        <f t="shared" si="28"/>
        <v>6332.7146340259696</v>
      </c>
      <c r="D240" s="560">
        <f t="shared" si="28"/>
        <v>6228.2881389129452</v>
      </c>
      <c r="E240" s="562">
        <f t="shared" si="29"/>
        <v>-104.42649511302443</v>
      </c>
    </row>
    <row r="241" spans="1:5" x14ac:dyDescent="0.2">
      <c r="A241" s="512">
        <v>3</v>
      </c>
      <c r="B241" s="511" t="s">
        <v>752</v>
      </c>
      <c r="C241" s="560">
        <f t="shared" si="28"/>
        <v>3495.8649670677278</v>
      </c>
      <c r="D241" s="560">
        <f t="shared" si="28"/>
        <v>3550.2314056293244</v>
      </c>
      <c r="E241" s="562">
        <f t="shared" si="29"/>
        <v>54.366438561596624</v>
      </c>
    </row>
    <row r="242" spans="1:5" x14ac:dyDescent="0.2">
      <c r="A242" s="512">
        <v>4</v>
      </c>
      <c r="B242" s="511" t="s">
        <v>114</v>
      </c>
      <c r="C242" s="560">
        <f t="shared" si="28"/>
        <v>3518.6907563443165</v>
      </c>
      <c r="D242" s="560">
        <f t="shared" si="28"/>
        <v>3554.723535169433</v>
      </c>
      <c r="E242" s="562">
        <f t="shared" si="29"/>
        <v>36.032778825116566</v>
      </c>
    </row>
    <row r="243" spans="1:5" x14ac:dyDescent="0.2">
      <c r="A243" s="512">
        <v>5</v>
      </c>
      <c r="B243" s="511" t="s">
        <v>719</v>
      </c>
      <c r="C243" s="560">
        <f t="shared" si="28"/>
        <v>3369.5239754496934</v>
      </c>
      <c r="D243" s="560">
        <f t="shared" si="28"/>
        <v>2636.3803278688524</v>
      </c>
      <c r="E243" s="562">
        <f t="shared" si="29"/>
        <v>-733.14364758084093</v>
      </c>
    </row>
    <row r="244" spans="1:5" x14ac:dyDescent="0.2">
      <c r="A244" s="512">
        <v>6</v>
      </c>
      <c r="B244" s="511" t="s">
        <v>418</v>
      </c>
      <c r="C244" s="560">
        <f t="shared" si="28"/>
        <v>8207.9236004351296</v>
      </c>
      <c r="D244" s="560">
        <f t="shared" si="28"/>
        <v>6022.0175363531944</v>
      </c>
      <c r="E244" s="562">
        <f t="shared" si="29"/>
        <v>-2185.9060640819353</v>
      </c>
    </row>
    <row r="245" spans="1:5" x14ac:dyDescent="0.2">
      <c r="A245" s="512">
        <v>7</v>
      </c>
      <c r="B245" s="511" t="s">
        <v>734</v>
      </c>
      <c r="C245" s="560">
        <f t="shared" si="28"/>
        <v>1777.0703442391116</v>
      </c>
      <c r="D245" s="560">
        <f t="shared" si="28"/>
        <v>2924.7317504745856</v>
      </c>
      <c r="E245" s="562">
        <f t="shared" si="29"/>
        <v>1147.661406235474</v>
      </c>
    </row>
    <row r="246" spans="1:5" ht="25.5" x14ac:dyDescent="0.2">
      <c r="A246" s="512"/>
      <c r="B246" s="516" t="s">
        <v>807</v>
      </c>
      <c r="C246" s="561">
        <f t="shared" si="28"/>
        <v>4986.764184404472</v>
      </c>
      <c r="D246" s="561">
        <f t="shared" si="28"/>
        <v>4923.1445794650208</v>
      </c>
      <c r="E246" s="563">
        <f t="shared" si="29"/>
        <v>-63.619604939451165</v>
      </c>
    </row>
    <row r="247" spans="1:5" x14ac:dyDescent="0.2">
      <c r="A247" s="512"/>
      <c r="B247" s="516" t="s">
        <v>808</v>
      </c>
      <c r="C247" s="561">
        <f t="shared" si="28"/>
        <v>5166.1428785424068</v>
      </c>
      <c r="D247" s="561">
        <f t="shared" si="28"/>
        <v>5399.4226405924846</v>
      </c>
      <c r="E247" s="563">
        <f t="shared" si="29"/>
        <v>233.27976205007781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736</v>
      </c>
      <c r="B249" s="550" t="s">
        <v>733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5339880.0507455869</v>
      </c>
      <c r="D251" s="546">
        <f>((IF((IF(D15=0,0,D26/D15)*D138)=0,0,D59/(IF(D15=0,0,D26/D15)*D138)))-(IF((IF(D17=0,0,D28/D17)*D140)=0,0,D61/(IF(D17=0,0,D28/D17)*D140))))*(IF(D17=0,0,D28/D17)*D140)</f>
        <v>6996151.102805471</v>
      </c>
      <c r="E251" s="546">
        <f>D251-C251</f>
        <v>1656271.0520598842</v>
      </c>
    </row>
    <row r="252" spans="1:5" x14ac:dyDescent="0.2">
      <c r="A252" s="512">
        <v>2</v>
      </c>
      <c r="B252" s="511" t="s">
        <v>719</v>
      </c>
      <c r="C252" s="546">
        <f>IF(C231=0,0,(C228-C231)*C207)+IF(C243=0,0,(C240-C243)*C219)</f>
        <v>1366559.2904009623</v>
      </c>
      <c r="D252" s="546">
        <f>IF(D231=0,0,(D228-D231)*D207)+IF(D243=0,0,(D240-D243)*D219)</f>
        <v>70145.686709365298</v>
      </c>
      <c r="E252" s="546">
        <f>D252-C252</f>
        <v>-1296413.603691597</v>
      </c>
    </row>
    <row r="253" spans="1:5" x14ac:dyDescent="0.2">
      <c r="A253" s="512">
        <v>3</v>
      </c>
      <c r="B253" s="511" t="s">
        <v>734</v>
      </c>
      <c r="C253" s="546">
        <f>IF(C233=0,0,(C228-C233)*C209+IF(C221=0,0,(C240-C245)*C221))</f>
        <v>3191679.7303846204</v>
      </c>
      <c r="D253" s="546">
        <f>IF(D233=0,0,(D228-D233)*D209+IF(D221=0,0,(D240-D245)*D221))</f>
        <v>1692446.5047455917</v>
      </c>
      <c r="E253" s="546">
        <f>D253-C253</f>
        <v>-1499233.2256390287</v>
      </c>
    </row>
    <row r="254" spans="1:5" ht="15" customHeight="1" x14ac:dyDescent="0.2">
      <c r="A254" s="512"/>
      <c r="B254" s="516" t="s">
        <v>735</v>
      </c>
      <c r="C254" s="564">
        <f>+C251+C252+C253</f>
        <v>9898119.0715311691</v>
      </c>
      <c r="D254" s="564">
        <f>+D251+D252+D253</f>
        <v>8758743.2942604274</v>
      </c>
      <c r="E254" s="564">
        <f>D254-C254</f>
        <v>-1139375.7772707418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809</v>
      </c>
      <c r="B256" s="550" t="s">
        <v>810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701</v>
      </c>
      <c r="C258" s="546">
        <f>+C44</f>
        <v>188222806</v>
      </c>
      <c r="D258" s="549">
        <f>+D44</f>
        <v>208629597</v>
      </c>
      <c r="E258" s="546">
        <f t="shared" ref="E258:E271" si="30">D258-C258</f>
        <v>20406791</v>
      </c>
    </row>
    <row r="259" spans="1:5" x14ac:dyDescent="0.2">
      <c r="A259" s="512">
        <v>2</v>
      </c>
      <c r="B259" s="511" t="s">
        <v>718</v>
      </c>
      <c r="C259" s="546">
        <f>+(C43-C76)</f>
        <v>57137300</v>
      </c>
      <c r="D259" s="549">
        <f>+(D43-D76)</f>
        <v>67847337</v>
      </c>
      <c r="E259" s="546">
        <f t="shared" si="30"/>
        <v>10710037</v>
      </c>
    </row>
    <row r="260" spans="1:5" x14ac:dyDescent="0.2">
      <c r="A260" s="512">
        <v>3</v>
      </c>
      <c r="B260" s="511" t="s">
        <v>722</v>
      </c>
      <c r="C260" s="546">
        <f>C195</f>
        <v>3835344</v>
      </c>
      <c r="D260" s="546">
        <f>D195</f>
        <v>3856053</v>
      </c>
      <c r="E260" s="546">
        <f t="shared" si="30"/>
        <v>20709</v>
      </c>
    </row>
    <row r="261" spans="1:5" x14ac:dyDescent="0.2">
      <c r="A261" s="512">
        <v>4</v>
      </c>
      <c r="B261" s="511" t="s">
        <v>723</v>
      </c>
      <c r="C261" s="546">
        <f>C188</f>
        <v>26783945</v>
      </c>
      <c r="D261" s="546">
        <f>D188</f>
        <v>29667671</v>
      </c>
      <c r="E261" s="546">
        <f t="shared" si="30"/>
        <v>2883726</v>
      </c>
    </row>
    <row r="262" spans="1:5" x14ac:dyDescent="0.2">
      <c r="A262" s="512">
        <v>5</v>
      </c>
      <c r="B262" s="511" t="s">
        <v>724</v>
      </c>
      <c r="C262" s="546">
        <f>C191</f>
        <v>0</v>
      </c>
      <c r="D262" s="546">
        <f>D191</f>
        <v>0</v>
      </c>
      <c r="E262" s="546">
        <f t="shared" si="30"/>
        <v>0</v>
      </c>
    </row>
    <row r="263" spans="1:5" x14ac:dyDescent="0.2">
      <c r="A263" s="512">
        <v>6</v>
      </c>
      <c r="B263" s="511" t="s">
        <v>725</v>
      </c>
      <c r="C263" s="546">
        <f>+C259+C260+C261+C262</f>
        <v>87756589</v>
      </c>
      <c r="D263" s="546">
        <f>+D259+D260+D261+D262</f>
        <v>101371061</v>
      </c>
      <c r="E263" s="546">
        <f t="shared" si="30"/>
        <v>13614472</v>
      </c>
    </row>
    <row r="264" spans="1:5" x14ac:dyDescent="0.2">
      <c r="A264" s="512">
        <v>7</v>
      </c>
      <c r="B264" s="511" t="s">
        <v>625</v>
      </c>
      <c r="C264" s="546">
        <f>+C258-C263</f>
        <v>100466217</v>
      </c>
      <c r="D264" s="546">
        <f>+D258-D263</f>
        <v>107258536</v>
      </c>
      <c r="E264" s="546">
        <f t="shared" si="30"/>
        <v>6792319</v>
      </c>
    </row>
    <row r="265" spans="1:5" x14ac:dyDescent="0.2">
      <c r="A265" s="512">
        <v>8</v>
      </c>
      <c r="B265" s="511" t="s">
        <v>811</v>
      </c>
      <c r="C265" s="565">
        <f>C192</f>
        <v>616056</v>
      </c>
      <c r="D265" s="565">
        <f>D192</f>
        <v>0</v>
      </c>
      <c r="E265" s="546">
        <f t="shared" si="30"/>
        <v>-616056</v>
      </c>
    </row>
    <row r="266" spans="1:5" x14ac:dyDescent="0.2">
      <c r="A266" s="512">
        <v>9</v>
      </c>
      <c r="B266" s="511" t="s">
        <v>812</v>
      </c>
      <c r="C266" s="546">
        <f>+C264+C265</f>
        <v>101082273</v>
      </c>
      <c r="D266" s="546">
        <f>+D264+D265</f>
        <v>107258536</v>
      </c>
      <c r="E266" s="565">
        <f t="shared" si="30"/>
        <v>6176263</v>
      </c>
    </row>
    <row r="267" spans="1:5" x14ac:dyDescent="0.2">
      <c r="A267" s="512">
        <v>10</v>
      </c>
      <c r="B267" s="511" t="s">
        <v>813</v>
      </c>
      <c r="C267" s="566">
        <f>IF(C258=0,0,C266/C258)</f>
        <v>0.53703520390616211</v>
      </c>
      <c r="D267" s="566">
        <f>IF(D258=0,0,D266/D258)</f>
        <v>0.51410987483238058</v>
      </c>
      <c r="E267" s="567">
        <f t="shared" si="30"/>
        <v>-2.2925329073781531E-2</v>
      </c>
    </row>
    <row r="268" spans="1:5" x14ac:dyDescent="0.2">
      <c r="A268" s="512">
        <v>11</v>
      </c>
      <c r="B268" s="511" t="s">
        <v>687</v>
      </c>
      <c r="C268" s="546">
        <f>+C260*C267</f>
        <v>2059714.7470902754</v>
      </c>
      <c r="D268" s="568">
        <f>+D260*D267</f>
        <v>1982434.9251770256</v>
      </c>
      <c r="E268" s="546">
        <f t="shared" si="30"/>
        <v>-77279.821913249791</v>
      </c>
    </row>
    <row r="269" spans="1:5" x14ac:dyDescent="0.2">
      <c r="A269" s="512">
        <v>12</v>
      </c>
      <c r="B269" s="511" t="s">
        <v>814</v>
      </c>
      <c r="C269" s="546">
        <f>((C17+C18+C28+C29)*C267)-(C50+C51+C61+C62)</f>
        <v>5123223.0268830657</v>
      </c>
      <c r="D269" s="568">
        <f>((D17+D18+D28+D29)*D267)-(D50+D51+D61+D62)</f>
        <v>5013933.536674235</v>
      </c>
      <c r="E269" s="546">
        <f t="shared" si="30"/>
        <v>-109289.49020883068</v>
      </c>
    </row>
    <row r="270" spans="1:5" s="569" customFormat="1" x14ac:dyDescent="0.2">
      <c r="A270" s="570">
        <v>13</v>
      </c>
      <c r="B270" s="571" t="s">
        <v>815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816</v>
      </c>
      <c r="C271" s="546">
        <f>+C268+C269+C270</f>
        <v>7182937.7739733411</v>
      </c>
      <c r="D271" s="546">
        <f>+D268+D269+D270</f>
        <v>6996368.4618512606</v>
      </c>
      <c r="E271" s="549">
        <f t="shared" si="30"/>
        <v>-186569.31212208048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817</v>
      </c>
      <c r="B273" s="550" t="s">
        <v>818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819</v>
      </c>
      <c r="C275" s="340"/>
      <c r="D275" s="340"/>
      <c r="E275" s="520"/>
    </row>
    <row r="276" spans="1:5" x14ac:dyDescent="0.2">
      <c r="A276" s="512">
        <v>1</v>
      </c>
      <c r="B276" s="511" t="s">
        <v>627</v>
      </c>
      <c r="C276" s="547">
        <f t="shared" ref="C276:D284" si="31">IF(C14=0,0,+C47/C14)</f>
        <v>0.68569288249657601</v>
      </c>
      <c r="D276" s="547">
        <f t="shared" si="31"/>
        <v>0.70215673690580749</v>
      </c>
      <c r="E276" s="574">
        <f t="shared" ref="E276:E284" si="32">D276-C276</f>
        <v>1.6463854409231482E-2</v>
      </c>
    </row>
    <row r="277" spans="1:5" x14ac:dyDescent="0.2">
      <c r="A277" s="512">
        <v>2</v>
      </c>
      <c r="B277" s="511" t="s">
        <v>606</v>
      </c>
      <c r="C277" s="547">
        <f t="shared" si="31"/>
        <v>0.67674305692854564</v>
      </c>
      <c r="D277" s="547">
        <f t="shared" si="31"/>
        <v>0.63409006651499666</v>
      </c>
      <c r="E277" s="574">
        <f t="shared" si="32"/>
        <v>-4.2652990413548975E-2</v>
      </c>
    </row>
    <row r="278" spans="1:5" x14ac:dyDescent="0.2">
      <c r="A278" s="512">
        <v>3</v>
      </c>
      <c r="B278" s="511" t="s">
        <v>752</v>
      </c>
      <c r="C278" s="547">
        <f t="shared" si="31"/>
        <v>0.46834015852512884</v>
      </c>
      <c r="D278" s="547">
        <f t="shared" si="31"/>
        <v>0.45959007091381465</v>
      </c>
      <c r="E278" s="574">
        <f t="shared" si="32"/>
        <v>-8.7500876113141834E-3</v>
      </c>
    </row>
    <row r="279" spans="1:5" x14ac:dyDescent="0.2">
      <c r="A279" s="512">
        <v>4</v>
      </c>
      <c r="B279" s="511" t="s">
        <v>114</v>
      </c>
      <c r="C279" s="547">
        <f t="shared" si="31"/>
        <v>0.47581932298597829</v>
      </c>
      <c r="D279" s="547">
        <f t="shared" si="31"/>
        <v>0.4601790777104941</v>
      </c>
      <c r="E279" s="574">
        <f t="shared" si="32"/>
        <v>-1.5640245275484188E-2</v>
      </c>
    </row>
    <row r="280" spans="1:5" x14ac:dyDescent="0.2">
      <c r="A280" s="512">
        <v>5</v>
      </c>
      <c r="B280" s="511" t="s">
        <v>719</v>
      </c>
      <c r="C280" s="547">
        <f t="shared" si="31"/>
        <v>0.43816999038523846</v>
      </c>
      <c r="D280" s="547">
        <f t="shared" si="31"/>
        <v>0.38007029011461319</v>
      </c>
      <c r="E280" s="574">
        <f t="shared" si="32"/>
        <v>-5.8099700270625276E-2</v>
      </c>
    </row>
    <row r="281" spans="1:5" x14ac:dyDescent="0.2">
      <c r="A281" s="512">
        <v>6</v>
      </c>
      <c r="B281" s="511" t="s">
        <v>418</v>
      </c>
      <c r="C281" s="547">
        <f t="shared" si="31"/>
        <v>0.40674263726505844</v>
      </c>
      <c r="D281" s="547">
        <f t="shared" si="31"/>
        <v>0.59058989730347078</v>
      </c>
      <c r="E281" s="574">
        <f t="shared" si="32"/>
        <v>0.18384726003841234</v>
      </c>
    </row>
    <row r="282" spans="1:5" x14ac:dyDescent="0.2">
      <c r="A282" s="512">
        <v>7</v>
      </c>
      <c r="B282" s="511" t="s">
        <v>734</v>
      </c>
      <c r="C282" s="547">
        <f t="shared" si="31"/>
        <v>0.2530716797239278</v>
      </c>
      <c r="D282" s="547">
        <f t="shared" si="31"/>
        <v>0.28448683946022008</v>
      </c>
      <c r="E282" s="574">
        <f t="shared" si="32"/>
        <v>3.1415159736292275E-2</v>
      </c>
    </row>
    <row r="283" spans="1:5" ht="29.25" customHeight="1" x14ac:dyDescent="0.2">
      <c r="A283" s="512"/>
      <c r="B283" s="516" t="s">
        <v>820</v>
      </c>
      <c r="C283" s="575">
        <f t="shared" si="31"/>
        <v>0.63443150184731001</v>
      </c>
      <c r="D283" s="575">
        <f t="shared" si="31"/>
        <v>0.60153571585901322</v>
      </c>
      <c r="E283" s="576">
        <f t="shared" si="32"/>
        <v>-3.2895785988296788E-2</v>
      </c>
    </row>
    <row r="284" spans="1:5" x14ac:dyDescent="0.2">
      <c r="A284" s="512"/>
      <c r="B284" s="516" t="s">
        <v>821</v>
      </c>
      <c r="C284" s="575">
        <f t="shared" si="31"/>
        <v>0.64716373468516686</v>
      </c>
      <c r="D284" s="575">
        <f t="shared" si="31"/>
        <v>0.62617118675719063</v>
      </c>
      <c r="E284" s="576">
        <f t="shared" si="32"/>
        <v>-2.0992547927976224E-2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822</v>
      </c>
      <c r="C286" s="520"/>
      <c r="D286" s="520"/>
      <c r="E286" s="520"/>
    </row>
    <row r="287" spans="1:5" x14ac:dyDescent="0.2">
      <c r="A287" s="512">
        <v>1</v>
      </c>
      <c r="B287" s="511" t="s">
        <v>627</v>
      </c>
      <c r="C287" s="547">
        <f t="shared" ref="C287:D295" si="33">IF(C25=0,0,+C58/C25)</f>
        <v>0.50464407517373955</v>
      </c>
      <c r="D287" s="547">
        <f t="shared" si="33"/>
        <v>0.49093659227250025</v>
      </c>
      <c r="E287" s="574">
        <f t="shared" ref="E287:E295" si="34">D287-C287</f>
        <v>-1.3707482901239298E-2</v>
      </c>
    </row>
    <row r="288" spans="1:5" x14ac:dyDescent="0.2">
      <c r="A288" s="512">
        <v>2</v>
      </c>
      <c r="B288" s="511" t="s">
        <v>606</v>
      </c>
      <c r="C288" s="547">
        <f t="shared" si="33"/>
        <v>0.43773515616041786</v>
      </c>
      <c r="D288" s="547">
        <f t="shared" si="33"/>
        <v>0.41404831532453101</v>
      </c>
      <c r="E288" s="574">
        <f t="shared" si="34"/>
        <v>-2.3686840835886847E-2</v>
      </c>
    </row>
    <row r="289" spans="1:5" x14ac:dyDescent="0.2">
      <c r="A289" s="512">
        <v>3</v>
      </c>
      <c r="B289" s="511" t="s">
        <v>752</v>
      </c>
      <c r="C289" s="547">
        <f t="shared" si="33"/>
        <v>0.34574304120001237</v>
      </c>
      <c r="D289" s="547">
        <f t="shared" si="33"/>
        <v>0.35066508043831196</v>
      </c>
      <c r="E289" s="574">
        <f t="shared" si="34"/>
        <v>4.9220392382995914E-3</v>
      </c>
    </row>
    <row r="290" spans="1:5" x14ac:dyDescent="0.2">
      <c r="A290" s="512">
        <v>4</v>
      </c>
      <c r="B290" s="511" t="s">
        <v>114</v>
      </c>
      <c r="C290" s="547">
        <f t="shared" si="33"/>
        <v>0.35708716943627633</v>
      </c>
      <c r="D290" s="547">
        <f t="shared" si="33"/>
        <v>0.3512867949316279</v>
      </c>
      <c r="E290" s="574">
        <f t="shared" si="34"/>
        <v>-5.8003745046484312E-3</v>
      </c>
    </row>
    <row r="291" spans="1:5" x14ac:dyDescent="0.2">
      <c r="A291" s="512">
        <v>5</v>
      </c>
      <c r="B291" s="511" t="s">
        <v>719</v>
      </c>
      <c r="C291" s="547">
        <f t="shared" si="33"/>
        <v>0.2921056271482334</v>
      </c>
      <c r="D291" s="547">
        <f t="shared" si="33"/>
        <v>0.23606557377049181</v>
      </c>
      <c r="E291" s="574">
        <f t="shared" si="34"/>
        <v>-5.6040053377741594E-2</v>
      </c>
    </row>
    <row r="292" spans="1:5" x14ac:dyDescent="0.2">
      <c r="A292" s="512">
        <v>6</v>
      </c>
      <c r="B292" s="511" t="s">
        <v>418</v>
      </c>
      <c r="C292" s="547">
        <f t="shared" si="33"/>
        <v>0.41300784729139328</v>
      </c>
      <c r="D292" s="547">
        <f t="shared" si="33"/>
        <v>0.45575100265491725</v>
      </c>
      <c r="E292" s="574">
        <f t="shared" si="34"/>
        <v>4.2743155363523966E-2</v>
      </c>
    </row>
    <row r="293" spans="1:5" x14ac:dyDescent="0.2">
      <c r="A293" s="512">
        <v>7</v>
      </c>
      <c r="B293" s="511" t="s">
        <v>734</v>
      </c>
      <c r="C293" s="547">
        <f t="shared" si="33"/>
        <v>0.25307159093124043</v>
      </c>
      <c r="D293" s="547">
        <f t="shared" si="33"/>
        <v>0.28448668549661693</v>
      </c>
      <c r="E293" s="574">
        <f t="shared" si="34"/>
        <v>3.14150945653765E-2</v>
      </c>
    </row>
    <row r="294" spans="1:5" ht="29.25" customHeight="1" x14ac:dyDescent="0.2">
      <c r="A294" s="512"/>
      <c r="B294" s="516" t="s">
        <v>823</v>
      </c>
      <c r="C294" s="575">
        <f t="shared" si="33"/>
        <v>0.4018135893918246</v>
      </c>
      <c r="D294" s="575">
        <f t="shared" si="33"/>
        <v>0.38959457559306099</v>
      </c>
      <c r="E294" s="576">
        <f t="shared" si="34"/>
        <v>-1.2219013798763612E-2</v>
      </c>
    </row>
    <row r="295" spans="1:5" x14ac:dyDescent="0.2">
      <c r="A295" s="512"/>
      <c r="B295" s="516" t="s">
        <v>824</v>
      </c>
      <c r="C295" s="575">
        <f t="shared" si="33"/>
        <v>0.44871502894398224</v>
      </c>
      <c r="D295" s="575">
        <f t="shared" si="33"/>
        <v>0.43405789621841712</v>
      </c>
      <c r="E295" s="576">
        <f t="shared" si="34"/>
        <v>-1.4657132725565125E-2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825</v>
      </c>
      <c r="B297" s="501" t="s">
        <v>826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827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625</v>
      </c>
      <c r="C301" s="514">
        <f>+C48+C47+C50+C51+C52+C59+C58+C61+C62+C63</f>
        <v>100548585</v>
      </c>
      <c r="D301" s="514">
        <f>+D48+D47+D50+D51+D52+D59+D58+D61+D62+D63</f>
        <v>107275712</v>
      </c>
      <c r="E301" s="514">
        <f>D301-C301</f>
        <v>6727127</v>
      </c>
    </row>
    <row r="302" spans="1:5" ht="25.5" x14ac:dyDescent="0.2">
      <c r="A302" s="512">
        <v>2</v>
      </c>
      <c r="B302" s="511" t="s">
        <v>828</v>
      </c>
      <c r="C302" s="546">
        <f>C265</f>
        <v>616056</v>
      </c>
      <c r="D302" s="546">
        <f>D265</f>
        <v>0</v>
      </c>
      <c r="E302" s="514">
        <f>D302-C302</f>
        <v>-616056</v>
      </c>
    </row>
    <row r="303" spans="1:5" x14ac:dyDescent="0.2">
      <c r="A303" s="512"/>
      <c r="B303" s="516" t="s">
        <v>829</v>
      </c>
      <c r="C303" s="517">
        <f>+C301+C302</f>
        <v>101164641</v>
      </c>
      <c r="D303" s="517">
        <f>+D301+D302</f>
        <v>107275712</v>
      </c>
      <c r="E303" s="517">
        <f>D303-C303</f>
        <v>6111071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830</v>
      </c>
      <c r="C305" s="513">
        <v>2029009</v>
      </c>
      <c r="D305" s="578">
        <v>2304005</v>
      </c>
      <c r="E305" s="579">
        <f>D305-C305</f>
        <v>274996</v>
      </c>
    </row>
    <row r="306" spans="1:5" x14ac:dyDescent="0.2">
      <c r="A306" s="512">
        <v>4</v>
      </c>
      <c r="B306" s="516" t="s">
        <v>831</v>
      </c>
      <c r="C306" s="580">
        <f>+C303+C305</f>
        <v>103193650</v>
      </c>
      <c r="D306" s="580">
        <f>+D303+D305</f>
        <v>109579717</v>
      </c>
      <c r="E306" s="580">
        <f>D306-C306</f>
        <v>6386067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832</v>
      </c>
      <c r="C308" s="513">
        <v>103193652</v>
      </c>
      <c r="D308" s="513">
        <v>109579717</v>
      </c>
      <c r="E308" s="514">
        <f>D308-C308</f>
        <v>6386065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833</v>
      </c>
      <c r="C310" s="581">
        <f>C306-C308</f>
        <v>-2</v>
      </c>
      <c r="D310" s="582">
        <f>D306-D308</f>
        <v>0</v>
      </c>
      <c r="E310" s="580">
        <f>D310-C310</f>
        <v>2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834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835</v>
      </c>
      <c r="C314" s="514">
        <f>+C14+C15+C16+C19+C25+C26+C27+C30</f>
        <v>188222806</v>
      </c>
      <c r="D314" s="514">
        <f>+D14+D15+D16+D19+D25+D26+D27+D30</f>
        <v>208629597</v>
      </c>
      <c r="E314" s="514">
        <f>D314-C314</f>
        <v>20406791</v>
      </c>
    </row>
    <row r="315" spans="1:5" x14ac:dyDescent="0.2">
      <c r="A315" s="512">
        <v>2</v>
      </c>
      <c r="B315" s="583" t="s">
        <v>836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837</v>
      </c>
      <c r="C316" s="581">
        <f>C314+C315</f>
        <v>188222806</v>
      </c>
      <c r="D316" s="581">
        <f>D314+D315</f>
        <v>208629597</v>
      </c>
      <c r="E316" s="517">
        <f>D316-C316</f>
        <v>20406791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838</v>
      </c>
      <c r="C318" s="513">
        <v>188222806</v>
      </c>
      <c r="D318" s="513">
        <v>208629597</v>
      </c>
      <c r="E318" s="514">
        <f>D318-C318</f>
        <v>20406791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833</v>
      </c>
      <c r="C320" s="581">
        <f>C316-C318</f>
        <v>0</v>
      </c>
      <c r="D320" s="581">
        <f>D316-D318</f>
        <v>0</v>
      </c>
      <c r="E320" s="517">
        <f>D320-C320</f>
        <v>0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839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840</v>
      </c>
      <c r="C324" s="513">
        <f>+C193+C194</f>
        <v>3835344</v>
      </c>
      <c r="D324" s="513">
        <f>+D193+D194</f>
        <v>3856053</v>
      </c>
      <c r="E324" s="514">
        <f>D324-C324</f>
        <v>20709</v>
      </c>
    </row>
    <row r="325" spans="1:5" x14ac:dyDescent="0.2">
      <c r="A325" s="512">
        <v>2</v>
      </c>
      <c r="B325" s="511" t="s">
        <v>841</v>
      </c>
      <c r="C325" s="513">
        <v>0</v>
      </c>
      <c r="D325" s="513">
        <v>0</v>
      </c>
      <c r="E325" s="514">
        <f>D325-C325</f>
        <v>0</v>
      </c>
    </row>
    <row r="326" spans="1:5" x14ac:dyDescent="0.2">
      <c r="A326" s="512"/>
      <c r="B326" s="516" t="s">
        <v>842</v>
      </c>
      <c r="C326" s="581">
        <f>C324+C325</f>
        <v>3835344</v>
      </c>
      <c r="D326" s="581">
        <f>D324+D325</f>
        <v>3856053</v>
      </c>
      <c r="E326" s="517">
        <f>D326-C326</f>
        <v>20709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843</v>
      </c>
      <c r="C328" s="513">
        <v>3835344</v>
      </c>
      <c r="D328" s="513">
        <v>3856053</v>
      </c>
      <c r="E328" s="514">
        <f>D328-C328</f>
        <v>20709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844</v>
      </c>
      <c r="C330" s="581">
        <f>C326-C328</f>
        <v>0</v>
      </c>
      <c r="D330" s="581">
        <f>D326-D328</f>
        <v>0</v>
      </c>
      <c r="E330" s="517">
        <f>D330-C330</f>
        <v>0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horizontalDpi="1200" verticalDpi="1200"/>
  <headerFooter>
    <oddHeader>&amp;LOFFICE OF HEALTH CARE ACCESS&amp;CTWELVE MONTHS ACTUAL FILING&amp;RCHARLOTTE HUNGERFORD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SheetLayoutView="75" workbookViewId="0"/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597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845</v>
      </c>
      <c r="B5" s="696"/>
      <c r="C5" s="697"/>
      <c r="D5" s="585"/>
    </row>
    <row r="6" spans="1:58" s="338" customFormat="1" ht="15.75" customHeight="1" x14ac:dyDescent="0.25">
      <c r="A6" s="695" t="s">
        <v>846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847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848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751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627</v>
      </c>
      <c r="C14" s="513">
        <v>21306354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606</v>
      </c>
      <c r="C15" s="515">
        <v>53129823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752</v>
      </c>
      <c r="C16" s="515">
        <v>12151370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12062026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719</v>
      </c>
      <c r="C18" s="515">
        <v>89344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418</v>
      </c>
      <c r="C19" s="515">
        <v>436042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734</v>
      </c>
      <c r="C20" s="515">
        <v>925266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753</v>
      </c>
      <c r="C21" s="517">
        <f>SUM(C15+C16+C19)</f>
        <v>65717235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693</v>
      </c>
      <c r="C22" s="517">
        <f>SUM(C14+C21)</f>
        <v>87023589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754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627</v>
      </c>
      <c r="C25" s="513">
        <v>53354049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606</v>
      </c>
      <c r="C26" s="515">
        <v>41186063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752</v>
      </c>
      <c r="C27" s="515">
        <v>26623321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26479666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719</v>
      </c>
      <c r="C29" s="515">
        <v>143655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418</v>
      </c>
      <c r="C30" s="515">
        <v>442575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734</v>
      </c>
      <c r="C31" s="518">
        <v>4234743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755</v>
      </c>
      <c r="C32" s="517">
        <f>SUM(C26+C27+C30)</f>
        <v>68251959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699</v>
      </c>
      <c r="C33" s="517">
        <f>SUM(C25+C32)</f>
        <v>121606008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624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849</v>
      </c>
      <c r="C36" s="514">
        <f>SUM(C14+C25)</f>
        <v>74660403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850</v>
      </c>
      <c r="C37" s="518">
        <f>SUM(C21+C32)</f>
        <v>133969194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624</v>
      </c>
      <c r="C38" s="517">
        <f>SUM(+C36+C37)</f>
        <v>208629597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321</v>
      </c>
      <c r="B40" s="509" t="s">
        <v>764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627</v>
      </c>
      <c r="C41" s="513">
        <v>14960400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606</v>
      </c>
      <c r="C42" s="515">
        <v>33689093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752</v>
      </c>
      <c r="C43" s="515">
        <v>5584649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5550692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719</v>
      </c>
      <c r="C45" s="515">
        <v>33957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418</v>
      </c>
      <c r="C46" s="515">
        <v>257522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734</v>
      </c>
      <c r="C47" s="515">
        <v>263226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765</v>
      </c>
      <c r="C48" s="517">
        <f>SUM(C42+C43+C46)</f>
        <v>39531264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694</v>
      </c>
      <c r="C49" s="517">
        <f>SUM(C41+C48)</f>
        <v>54491664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342</v>
      </c>
      <c r="B51" s="509" t="s">
        <v>766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627</v>
      </c>
      <c r="C52" s="513">
        <v>26193455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606</v>
      </c>
      <c r="C53" s="515">
        <v>17053020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752</v>
      </c>
      <c r="C54" s="515">
        <v>9335869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9301957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719</v>
      </c>
      <c r="C56" s="515">
        <v>33912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418</v>
      </c>
      <c r="C57" s="515">
        <v>201704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734</v>
      </c>
      <c r="C58" s="515">
        <v>1204728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767</v>
      </c>
      <c r="C59" s="517">
        <f>SUM(C53+C54+C57)</f>
        <v>26590593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700</v>
      </c>
      <c r="C60" s="517">
        <f>SUM(C52+C59)</f>
        <v>52784048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354</v>
      </c>
      <c r="B62" s="521" t="s">
        <v>625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851</v>
      </c>
      <c r="C63" s="514">
        <f>SUM(C41+C52)</f>
        <v>41153855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852</v>
      </c>
      <c r="C64" s="518">
        <f>SUM(C48+C59)</f>
        <v>66121857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625</v>
      </c>
      <c r="C65" s="517">
        <f>SUM(+C63+C64)</f>
        <v>107275712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853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854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627</v>
      </c>
      <c r="C70" s="530">
        <v>1747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606</v>
      </c>
      <c r="C71" s="530">
        <v>3532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752</v>
      </c>
      <c r="C72" s="530">
        <v>1200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1192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719</v>
      </c>
      <c r="C74" s="530">
        <v>8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418</v>
      </c>
      <c r="C75" s="545">
        <v>33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734</v>
      </c>
      <c r="C76" s="545">
        <v>90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782</v>
      </c>
      <c r="C77" s="532">
        <f>SUM(C71+C72+C75)</f>
        <v>4765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696</v>
      </c>
      <c r="C78" s="596">
        <f>SUM(C70+C77)</f>
        <v>6512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787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627</v>
      </c>
      <c r="C81" s="541">
        <v>1.1544000000000001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606</v>
      </c>
      <c r="C82" s="541">
        <v>1.4061999999999999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752</v>
      </c>
      <c r="C83" s="541">
        <f>((C73*C84)+(C74*C85))/(C73+C74)</f>
        <v>0.9732293333333335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0.97260000000000002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719</v>
      </c>
      <c r="C85" s="541">
        <v>1.0669999999999999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418</v>
      </c>
      <c r="C86" s="541">
        <v>1.1505000000000001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734</v>
      </c>
      <c r="C87" s="541">
        <v>0.97450000000000003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788</v>
      </c>
      <c r="C88" s="543">
        <f>((C71*C82)+(C73*C84)+(C74*C85)+(C75*C86))/(C71+C73+C74+C75)</f>
        <v>1.2953914165792235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697</v>
      </c>
      <c r="C89" s="543">
        <f>((C70*C81)+(C71*C82)+(C73*C84)+(C74*C85)+(C75*C86))/(C70+C71+C73+C74+C75)</f>
        <v>1.2575670915233417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789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790</v>
      </c>
      <c r="C92" s="513">
        <v>74660403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791</v>
      </c>
      <c r="C93" s="546">
        <v>44992732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639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723</v>
      </c>
      <c r="C95" s="513">
        <f>+C92-C93</f>
        <v>29667671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641</v>
      </c>
      <c r="C96" s="597">
        <f>(+C92-C93)/C92</f>
        <v>0.39736821404513445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738</v>
      </c>
      <c r="C98" s="513">
        <v>0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724</v>
      </c>
      <c r="C99" s="513">
        <v>0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855</v>
      </c>
      <c r="C101" s="513">
        <v>0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793</v>
      </c>
      <c r="C103" s="513">
        <v>1726098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794</v>
      </c>
      <c r="C104" s="513">
        <v>2129955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795</v>
      </c>
      <c r="C105" s="578">
        <f>+C103+C104</f>
        <v>3856053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796</v>
      </c>
      <c r="C107" s="513">
        <v>4949386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681</v>
      </c>
      <c r="C108" s="513">
        <v>113880767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826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827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625</v>
      </c>
      <c r="C114" s="514">
        <f>+C65</f>
        <v>107275712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828</v>
      </c>
      <c r="C115" s="546">
        <f>+C101</f>
        <v>0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829</v>
      </c>
      <c r="C116" s="517">
        <f>+C114+C115</f>
        <v>107275712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830</v>
      </c>
      <c r="C118" s="578">
        <v>2304005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831</v>
      </c>
      <c r="C119" s="580">
        <f>+C116+C118</f>
        <v>109579717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832</v>
      </c>
      <c r="C121" s="513">
        <v>109579717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833</v>
      </c>
      <c r="C123" s="582">
        <f>C119-C121</f>
        <v>0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834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835</v>
      </c>
      <c r="C127" s="514">
        <f>+C38</f>
        <v>208629597</v>
      </c>
      <c r="D127" s="588"/>
      <c r="AR127" s="507"/>
    </row>
    <row r="128" spans="1:58" s="506" customFormat="1" x14ac:dyDescent="0.2">
      <c r="A128" s="512">
        <v>2</v>
      </c>
      <c r="B128" s="583" t="s">
        <v>836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837</v>
      </c>
      <c r="C129" s="581">
        <f>C127+C128</f>
        <v>208629597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838</v>
      </c>
      <c r="C131" s="513">
        <v>208629597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833</v>
      </c>
      <c r="C133" s="581">
        <f>C129-C131</f>
        <v>0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839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840</v>
      </c>
      <c r="C137" s="513">
        <f>C105</f>
        <v>3856053</v>
      </c>
      <c r="D137" s="588"/>
      <c r="AR137" s="507"/>
    </row>
    <row r="138" spans="1:44" s="506" customFormat="1" x14ac:dyDescent="0.2">
      <c r="A138" s="512">
        <v>2</v>
      </c>
      <c r="B138" s="511" t="s">
        <v>856</v>
      </c>
      <c r="C138" s="513">
        <v>0</v>
      </c>
      <c r="D138" s="588"/>
      <c r="AR138" s="507"/>
    </row>
    <row r="139" spans="1:44" s="506" customFormat="1" x14ac:dyDescent="0.2">
      <c r="A139" s="512"/>
      <c r="B139" s="516" t="s">
        <v>842</v>
      </c>
      <c r="C139" s="581">
        <f>C137+C138</f>
        <v>3856053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857</v>
      </c>
      <c r="C141" s="513">
        <v>3856053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844</v>
      </c>
      <c r="C143" s="581">
        <f>C139-C141</f>
        <v>0</v>
      </c>
      <c r="D143" s="588"/>
      <c r="AR143" s="507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74" orientation="portrait" horizontalDpi="1200" verticalDpi="1200"/>
  <headerFooter>
    <oddHeader>&amp;LOFFICE OF HEALTH CARE ACCESS&amp;CTWELVE MONTHS ACTUAL FILING&amp;RCHARLOTTE HUNGERFORD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597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598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858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601</v>
      </c>
      <c r="D8" s="35" t="s">
        <v>601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603</v>
      </c>
      <c r="D9" s="607" t="s">
        <v>604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859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860</v>
      </c>
      <c r="C12" s="49">
        <v>1386</v>
      </c>
      <c r="D12" s="49">
        <v>1814</v>
      </c>
      <c r="E12" s="49">
        <f>+D12-C12</f>
        <v>428</v>
      </c>
      <c r="F12" s="70">
        <f>IF(C12=0,0,+E12/C12)</f>
        <v>0.3088023088023088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861</v>
      </c>
      <c r="C13" s="49">
        <v>1372</v>
      </c>
      <c r="D13" s="49">
        <v>1798</v>
      </c>
      <c r="E13" s="49">
        <f>+D13-C13</f>
        <v>426</v>
      </c>
      <c r="F13" s="70">
        <f>IF(C13=0,0,+E13/C13)</f>
        <v>0.31049562682215742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862</v>
      </c>
      <c r="C15" s="51">
        <v>1421695</v>
      </c>
      <c r="D15" s="51">
        <v>1726098</v>
      </c>
      <c r="E15" s="51">
        <f>+D15-C15</f>
        <v>304403</v>
      </c>
      <c r="F15" s="70">
        <f>IF(C15=0,0,+E15/C15)</f>
        <v>0.21411273163371891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863</v>
      </c>
      <c r="C16" s="27">
        <f>IF(C13=0,0,+C15/+C13)</f>
        <v>1036.2208454810495</v>
      </c>
      <c r="D16" s="27">
        <f>IF(D13=0,0,+D15/+D13)</f>
        <v>960.01001112347058</v>
      </c>
      <c r="E16" s="27">
        <f>+D16-C16</f>
        <v>-76.21083435757896</v>
      </c>
      <c r="F16" s="28">
        <f>IF(C16=0,0,+E16/C16)</f>
        <v>-7.3546903336227765E-2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864</v>
      </c>
      <c r="C18" s="210">
        <v>0.55176599999999998</v>
      </c>
      <c r="D18" s="210">
        <v>0.562774</v>
      </c>
      <c r="E18" s="210">
        <f>+D18-C18</f>
        <v>1.1008000000000018E-2</v>
      </c>
      <c r="F18" s="70">
        <f>IF(C18=0,0,+E18/C18)</f>
        <v>1.9950486256855294E-2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865</v>
      </c>
      <c r="C19" s="27">
        <f>+C15*C18</f>
        <v>784442.96337000001</v>
      </c>
      <c r="D19" s="27">
        <f>+D15*D18</f>
        <v>971403.07585200004</v>
      </c>
      <c r="E19" s="27">
        <f>+D19-C19</f>
        <v>186960.11248200003</v>
      </c>
      <c r="F19" s="28">
        <f>IF(C19=0,0,+E19/C19)</f>
        <v>0.23833487100045045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866</v>
      </c>
      <c r="C20" s="27">
        <f>IF(C13=0,0,+C19/C13)</f>
        <v>571.75143102769675</v>
      </c>
      <c r="D20" s="27">
        <f>IF(D13=0,0,+D19/D13)</f>
        <v>540.26867400000003</v>
      </c>
      <c r="E20" s="27">
        <f>+D20-C20</f>
        <v>-31.482757027696721</v>
      </c>
      <c r="F20" s="28">
        <f>IF(C20=0,0,+E20/C20)</f>
        <v>-5.5063713563616133E-2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867</v>
      </c>
      <c r="C22" s="51">
        <v>505854</v>
      </c>
      <c r="D22" s="51">
        <v>505905</v>
      </c>
      <c r="E22" s="51">
        <f>+D22-C22</f>
        <v>51</v>
      </c>
      <c r="F22" s="70">
        <f>IF(C22=0,0,+E22/C22)</f>
        <v>1.0081960407548423E-4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868</v>
      </c>
      <c r="C23" s="49">
        <v>610378</v>
      </c>
      <c r="D23" s="49">
        <v>566888</v>
      </c>
      <c r="E23" s="49">
        <f>+D23-C23</f>
        <v>-43490</v>
      </c>
      <c r="F23" s="70">
        <f>IF(C23=0,0,+E23/C23)</f>
        <v>-7.1250929751727615E-2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869</v>
      </c>
      <c r="C24" s="49">
        <v>305463</v>
      </c>
      <c r="D24" s="49">
        <v>653305</v>
      </c>
      <c r="E24" s="49">
        <f>+D24-C24</f>
        <v>347842</v>
      </c>
      <c r="F24" s="70">
        <f>IF(C24=0,0,+E24/C24)</f>
        <v>1.1387369337693927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862</v>
      </c>
      <c r="C25" s="27">
        <f>+C22+C23+C24</f>
        <v>1421695</v>
      </c>
      <c r="D25" s="27">
        <f>+D22+D23+D24</f>
        <v>1726098</v>
      </c>
      <c r="E25" s="27">
        <f>+E22+E23+E24</f>
        <v>304403</v>
      </c>
      <c r="F25" s="28">
        <f>IF(C25=0,0,+E25/C25)</f>
        <v>0.21411273163371891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870</v>
      </c>
      <c r="C27" s="49">
        <v>233</v>
      </c>
      <c r="D27" s="49">
        <v>191</v>
      </c>
      <c r="E27" s="49">
        <f>+D27-C27</f>
        <v>-42</v>
      </c>
      <c r="F27" s="70">
        <f>IF(C27=0,0,+E27/C27)</f>
        <v>-0.18025751072961374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871</v>
      </c>
      <c r="C28" s="49">
        <v>40</v>
      </c>
      <c r="D28" s="49">
        <v>55</v>
      </c>
      <c r="E28" s="49">
        <f>+D28-C28</f>
        <v>15</v>
      </c>
      <c r="F28" s="70">
        <f>IF(C28=0,0,+E28/C28)</f>
        <v>0.375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872</v>
      </c>
      <c r="C29" s="49">
        <v>726</v>
      </c>
      <c r="D29" s="49">
        <v>955</v>
      </c>
      <c r="E29" s="49">
        <f>+D29-C29</f>
        <v>229</v>
      </c>
      <c r="F29" s="70">
        <f>IF(C29=0,0,+E29/C29)</f>
        <v>0.31542699724517909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873</v>
      </c>
      <c r="C30" s="49">
        <v>2375</v>
      </c>
      <c r="D30" s="49">
        <v>2419</v>
      </c>
      <c r="E30" s="49">
        <f>+D30-C30</f>
        <v>44</v>
      </c>
      <c r="F30" s="70">
        <f>IF(C30=0,0,+E30/C30)</f>
        <v>1.8526315789473686E-2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874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875</v>
      </c>
      <c r="C33" s="51">
        <v>545318</v>
      </c>
      <c r="D33" s="51">
        <v>413452</v>
      </c>
      <c r="E33" s="51">
        <f>+D33-C33</f>
        <v>-131866</v>
      </c>
      <c r="F33" s="70">
        <f>IF(C33=0,0,+E33/C33)</f>
        <v>-0.24181486765520302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876</v>
      </c>
      <c r="C34" s="49">
        <v>715603</v>
      </c>
      <c r="D34" s="49">
        <v>664078</v>
      </c>
      <c r="E34" s="49">
        <f>+D34-C34</f>
        <v>-51525</v>
      </c>
      <c r="F34" s="70">
        <f>IF(C34=0,0,+E34/C34)</f>
        <v>-7.2002213517830413E-2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877</v>
      </c>
      <c r="C35" s="49">
        <v>1152728</v>
      </c>
      <c r="D35" s="49">
        <v>1052425</v>
      </c>
      <c r="E35" s="49">
        <f>+D35-C35</f>
        <v>-100303</v>
      </c>
      <c r="F35" s="70">
        <f>IF(C35=0,0,+E35/C35)</f>
        <v>-8.7013588634959851E-2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878</v>
      </c>
      <c r="C36" s="27">
        <f>+C33+C34+C35</f>
        <v>2413649</v>
      </c>
      <c r="D36" s="27">
        <f>+D33+D34+D35</f>
        <v>2129955</v>
      </c>
      <c r="E36" s="27">
        <f>+E33+E34+E35</f>
        <v>-283694</v>
      </c>
      <c r="F36" s="28">
        <f>IF(C36=0,0,+E36/C36)</f>
        <v>-0.11753738841065954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879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880</v>
      </c>
      <c r="C39" s="51">
        <f>+C25</f>
        <v>1421695</v>
      </c>
      <c r="D39" s="51">
        <f>+D25</f>
        <v>1726098</v>
      </c>
      <c r="E39" s="51">
        <f>+D39-C39</f>
        <v>304403</v>
      </c>
      <c r="F39" s="70">
        <f>IF(C39=0,0,+E39/C39)</f>
        <v>0.21411273163371891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881</v>
      </c>
      <c r="C40" s="49">
        <f>+C36</f>
        <v>2413649</v>
      </c>
      <c r="D40" s="49">
        <f>+D36</f>
        <v>2129955</v>
      </c>
      <c r="E40" s="49">
        <f>+D40-C40</f>
        <v>-283694</v>
      </c>
      <c r="F40" s="70">
        <f>IF(C40=0,0,+E40/C40)</f>
        <v>-0.11753738841065954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882</v>
      </c>
      <c r="C41" s="27">
        <f>+C39+C40</f>
        <v>3835344</v>
      </c>
      <c r="D41" s="27">
        <f>+D39+D40</f>
        <v>3856053</v>
      </c>
      <c r="E41" s="27">
        <f>+E39+E40</f>
        <v>20709</v>
      </c>
      <c r="F41" s="28">
        <f>IF(C41=0,0,+E41/C41)</f>
        <v>5.3995156627410735E-3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883</v>
      </c>
      <c r="C43" s="51">
        <f t="shared" ref="C43:D45" si="0">+C22+C33</f>
        <v>1051172</v>
      </c>
      <c r="D43" s="51">
        <f t="shared" si="0"/>
        <v>919357</v>
      </c>
      <c r="E43" s="51">
        <f>+D43-C43</f>
        <v>-131815</v>
      </c>
      <c r="F43" s="70">
        <f>IF(C43=0,0,+E43/C43)</f>
        <v>-0.12539812704295777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884</v>
      </c>
      <c r="C44" s="49">
        <f t="shared" si="0"/>
        <v>1325981</v>
      </c>
      <c r="D44" s="49">
        <f t="shared" si="0"/>
        <v>1230966</v>
      </c>
      <c r="E44" s="49">
        <f>+D44-C44</f>
        <v>-95015</v>
      </c>
      <c r="F44" s="70">
        <f>IF(C44=0,0,+E44/C44)</f>
        <v>-7.1656381200032274E-2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885</v>
      </c>
      <c r="C45" s="49">
        <f t="shared" si="0"/>
        <v>1458191</v>
      </c>
      <c r="D45" s="49">
        <f t="shared" si="0"/>
        <v>1705730</v>
      </c>
      <c r="E45" s="49">
        <f>+D45-C45</f>
        <v>247539</v>
      </c>
      <c r="F45" s="70">
        <f>IF(C45=0,0,+E45/C45)</f>
        <v>0.16975759691288728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882</v>
      </c>
      <c r="C46" s="27">
        <f>+C43+C44+C45</f>
        <v>3835344</v>
      </c>
      <c r="D46" s="27">
        <f>+D43+D44+D45</f>
        <v>3856053</v>
      </c>
      <c r="E46" s="27">
        <f>+E43+E44+E45</f>
        <v>20709</v>
      </c>
      <c r="F46" s="28">
        <f>IF(C46=0,0,+E46/C46)</f>
        <v>5.3995156627410735E-3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886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70" orientation="portrait" horizontalDpi="1200" verticalDpi="1200"/>
  <headerFooter>
    <oddHeader>&amp;LOFFICE OF HEALTH CARE ACCESS&amp;CTWELVE MONTHS ACTUAL FILING&amp;RCHARLOTTE HUNGERFORD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597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598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887</v>
      </c>
      <c r="B5" s="712"/>
      <c r="C5" s="712"/>
      <c r="D5" s="712"/>
      <c r="E5" s="712"/>
      <c r="F5" s="713"/>
    </row>
    <row r="6" spans="1:14" ht="15.75" customHeight="1" x14ac:dyDescent="0.25">
      <c r="A6" s="711" t="s">
        <v>888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603</v>
      </c>
      <c r="D9" s="35" t="s">
        <v>604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889</v>
      </c>
      <c r="D10" s="35" t="s">
        <v>889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890</v>
      </c>
      <c r="D11" s="605" t="s">
        <v>890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891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325</v>
      </c>
      <c r="C15" s="51">
        <v>69006889</v>
      </c>
      <c r="D15" s="51">
        <v>74660403</v>
      </c>
      <c r="E15" s="51">
        <f>+D15-C15</f>
        <v>5653514</v>
      </c>
      <c r="F15" s="70">
        <f>+E15/C15</f>
        <v>8.1926805887452769E-2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507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892</v>
      </c>
      <c r="C17" s="51">
        <v>26783945</v>
      </c>
      <c r="D17" s="51">
        <v>29667671</v>
      </c>
      <c r="E17" s="51">
        <f>+D17-C17</f>
        <v>2883726</v>
      </c>
      <c r="F17" s="70">
        <f>+E17/C17</f>
        <v>0.10766621571243519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893</v>
      </c>
      <c r="C19" s="27">
        <f>+C15-C17</f>
        <v>42222944</v>
      </c>
      <c r="D19" s="27">
        <f>+D15-D17</f>
        <v>44992732</v>
      </c>
      <c r="E19" s="27">
        <f>+D19-C19</f>
        <v>2769788</v>
      </c>
      <c r="F19" s="28">
        <f>+E19/C19</f>
        <v>6.5599120705557623E-2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894</v>
      </c>
      <c r="C21" s="628">
        <f>+C17/C15</f>
        <v>0.38813436438208365</v>
      </c>
      <c r="D21" s="628">
        <f>+D17/D15</f>
        <v>0.39736821404513445</v>
      </c>
      <c r="E21" s="628">
        <f>+D21-C21</f>
        <v>9.2338496630507971E-3</v>
      </c>
      <c r="F21" s="28">
        <f>+E21/C21</f>
        <v>2.3790343011114819E-2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507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507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507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507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895</v>
      </c>
      <c r="B26" s="715"/>
      <c r="C26" s="715"/>
      <c r="D26" s="715"/>
      <c r="E26" s="715"/>
      <c r="F26" s="716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90" orientation="landscape" horizontalDpi="1200" verticalDpi="1200"/>
  <headerFooter>
    <oddHeader>&amp;L&amp;12OFFICE OF HEALTH CARE ACCESS&amp;C&amp;12TWELVE MONTHS ACTUAL FILING&amp;R&amp;12CHARLOTTE HUNGERFORD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workbookViewId="0">
      <selection sqref="A1:E1"/>
    </sheetView>
  </sheetViews>
  <sheetFormatPr defaultRowHeight="12.75" x14ac:dyDescent="0.2"/>
  <cols>
    <col min="1" max="1" width="9.42578125" customWidth="1"/>
    <col min="2" max="2" width="83.5703125" customWidth="1"/>
    <col min="3" max="5" width="18.28515625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896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897</v>
      </c>
      <c r="B6" s="632" t="s">
        <v>898</v>
      </c>
      <c r="C6" s="632" t="s">
        <v>899</v>
      </c>
      <c r="D6" s="632" t="s">
        <v>900</v>
      </c>
      <c r="E6" s="632" t="s">
        <v>901</v>
      </c>
    </row>
    <row r="7" spans="1:6" ht="37.5" customHeight="1" x14ac:dyDescent="0.25">
      <c r="A7" s="633" t="s">
        <v>8</v>
      </c>
      <c r="B7" s="634" t="s">
        <v>902</v>
      </c>
      <c r="C7" s="631" t="s">
        <v>903</v>
      </c>
      <c r="D7" s="631" t="s">
        <v>904</v>
      </c>
      <c r="E7" s="631" t="s">
        <v>905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906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907</v>
      </c>
      <c r="C10" s="641">
        <v>79078482</v>
      </c>
      <c r="D10" s="641">
        <v>81079809</v>
      </c>
      <c r="E10" s="641">
        <v>87023589</v>
      </c>
    </row>
    <row r="11" spans="1:6" ht="26.1" customHeight="1" x14ac:dyDescent="0.25">
      <c r="A11" s="639">
        <v>2</v>
      </c>
      <c r="B11" s="640" t="s">
        <v>908</v>
      </c>
      <c r="C11" s="641">
        <v>97313323</v>
      </c>
      <c r="D11" s="641">
        <v>107142997</v>
      </c>
      <c r="E11" s="641">
        <v>121606008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176391805</v>
      </c>
      <c r="D12" s="641">
        <f>+D11+D10</f>
        <v>188222806</v>
      </c>
      <c r="E12" s="641">
        <f>+E11+E10</f>
        <v>208629597</v>
      </c>
    </row>
    <row r="13" spans="1:6" ht="26.1" customHeight="1" x14ac:dyDescent="0.25">
      <c r="A13" s="639">
        <v>4</v>
      </c>
      <c r="B13" s="640" t="s">
        <v>484</v>
      </c>
      <c r="C13" s="641">
        <v>95678590</v>
      </c>
      <c r="D13" s="641">
        <v>103193652</v>
      </c>
      <c r="E13" s="641">
        <v>109579717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324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909</v>
      </c>
      <c r="C16" s="641">
        <v>100402359</v>
      </c>
      <c r="D16" s="641">
        <v>108897163</v>
      </c>
      <c r="E16" s="641">
        <v>113880767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910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372</v>
      </c>
      <c r="C19" s="644">
        <v>28581</v>
      </c>
      <c r="D19" s="644">
        <v>27979</v>
      </c>
      <c r="E19" s="644">
        <v>27425</v>
      </c>
    </row>
    <row r="20" spans="1:5" ht="26.1" customHeight="1" x14ac:dyDescent="0.25">
      <c r="A20" s="639">
        <v>2</v>
      </c>
      <c r="B20" s="640" t="s">
        <v>373</v>
      </c>
      <c r="C20" s="645">
        <v>6320</v>
      </c>
      <c r="D20" s="645">
        <v>6438</v>
      </c>
      <c r="E20" s="645">
        <v>6512</v>
      </c>
    </row>
    <row r="21" spans="1:5" ht="26.1" customHeight="1" x14ac:dyDescent="0.25">
      <c r="A21" s="639">
        <v>3</v>
      </c>
      <c r="B21" s="640" t="s">
        <v>911</v>
      </c>
      <c r="C21" s="646">
        <f>IF(C20=0,0,+C19/C20)</f>
        <v>4.522310126582278</v>
      </c>
      <c r="D21" s="646">
        <f>IF(D20=0,0,+D19/D20)</f>
        <v>4.3459148803976388</v>
      </c>
      <c r="E21" s="646">
        <f>IF(E20=0,0,+E19/E20)</f>
        <v>4.2114557739557741</v>
      </c>
    </row>
    <row r="22" spans="1:5" ht="26.1" customHeight="1" x14ac:dyDescent="0.25">
      <c r="A22" s="639">
        <v>4</v>
      </c>
      <c r="B22" s="640" t="s">
        <v>912</v>
      </c>
      <c r="C22" s="645">
        <f>IF(C10=0,0,C19*(C12/C10))</f>
        <v>63752.5411616399</v>
      </c>
      <c r="D22" s="645">
        <f>IF(D10=0,0,D19*(D12/D10))</f>
        <v>64951.878328598425</v>
      </c>
      <c r="E22" s="645">
        <f>IF(E10=0,0,E19*(E12/E10))</f>
        <v>65748.456981301933</v>
      </c>
    </row>
    <row r="23" spans="1:5" ht="26.1" customHeight="1" x14ac:dyDescent="0.25">
      <c r="A23" s="639">
        <v>0</v>
      </c>
      <c r="B23" s="640" t="s">
        <v>913</v>
      </c>
      <c r="C23" s="645">
        <f>IF(C10=0,0,C20*(C12/C10))</f>
        <v>14097.339496223511</v>
      </c>
      <c r="D23" s="645">
        <f>IF(D10=0,0,D20*(D12/D10))</f>
        <v>14945.501721988516</v>
      </c>
      <c r="E23" s="645">
        <f>IF(E10=0,0,E20*(E12/E10))</f>
        <v>15611.812283035119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321</v>
      </c>
      <c r="B25" s="642" t="s">
        <v>914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422</v>
      </c>
      <c r="C26" s="647">
        <v>1.2196949050632913</v>
      </c>
      <c r="D26" s="647">
        <v>1.2352521745883815</v>
      </c>
      <c r="E26" s="647">
        <v>1.2575670915233417</v>
      </c>
    </row>
    <row r="27" spans="1:5" ht="26.1" customHeight="1" x14ac:dyDescent="0.25">
      <c r="A27" s="639">
        <v>2</v>
      </c>
      <c r="B27" s="640" t="s">
        <v>915</v>
      </c>
      <c r="C27" s="645">
        <f>C19*C26</f>
        <v>34860.100081613928</v>
      </c>
      <c r="D27" s="645">
        <f>D19*D26</f>
        <v>34561.120592808329</v>
      </c>
      <c r="E27" s="645">
        <f>E19*E26</f>
        <v>34488.777485027647</v>
      </c>
    </row>
    <row r="28" spans="1:5" ht="26.1" customHeight="1" x14ac:dyDescent="0.25">
      <c r="A28" s="639">
        <v>3</v>
      </c>
      <c r="B28" s="640" t="s">
        <v>916</v>
      </c>
      <c r="C28" s="645">
        <f>C20*C26</f>
        <v>7708.4718000000012</v>
      </c>
      <c r="D28" s="645">
        <f>D20*D26</f>
        <v>7952.5535</v>
      </c>
      <c r="E28" s="645">
        <f>E20*E26</f>
        <v>8189.2769000000008</v>
      </c>
    </row>
    <row r="29" spans="1:5" ht="26.1" customHeight="1" x14ac:dyDescent="0.25">
      <c r="A29" s="639">
        <v>4</v>
      </c>
      <c r="B29" s="640" t="s">
        <v>917</v>
      </c>
      <c r="C29" s="645">
        <f>C22*C26</f>
        <v>77758.649639689946</v>
      </c>
      <c r="D29" s="645">
        <f>D22*D26</f>
        <v>80231.948949001177</v>
      </c>
      <c r="E29" s="645">
        <f>E22*E26</f>
        <v>82683.095818123416</v>
      </c>
    </row>
    <row r="30" spans="1:5" ht="26.1" customHeight="1" x14ac:dyDescent="0.25">
      <c r="A30" s="639">
        <v>5</v>
      </c>
      <c r="B30" s="640" t="s">
        <v>918</v>
      </c>
      <c r="C30" s="645">
        <f>C23*C26</f>
        <v>17194.45315849132</v>
      </c>
      <c r="D30" s="645">
        <f>D23*D26</f>
        <v>18461.463502400715</v>
      </c>
      <c r="E30" s="645">
        <f>E23*E26</f>
        <v>19632.901366184855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342</v>
      </c>
      <c r="B32" s="634" t="s">
        <v>919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920</v>
      </c>
      <c r="C33" s="641">
        <f>IF(C19=0,0,C12/C19)</f>
        <v>6171.6456736993105</v>
      </c>
      <c r="D33" s="641">
        <f>IF(D19=0,0,D12/D19)</f>
        <v>6727.2885378319452</v>
      </c>
      <c r="E33" s="641">
        <f>IF(E19=0,0,E12/E19)</f>
        <v>7607.2779216043755</v>
      </c>
    </row>
    <row r="34" spans="1:5" ht="26.1" customHeight="1" x14ac:dyDescent="0.25">
      <c r="A34" s="639">
        <v>2</v>
      </c>
      <c r="B34" s="640" t="s">
        <v>921</v>
      </c>
      <c r="C34" s="641">
        <f>IF(C20=0,0,C12/C20)</f>
        <v>27910.0957278481</v>
      </c>
      <c r="D34" s="641">
        <f>IF(D20=0,0,D12/D20)</f>
        <v>29236.223361292326</v>
      </c>
      <c r="E34" s="641">
        <f>IF(E20=0,0,E12/E20)</f>
        <v>32037.714527027027</v>
      </c>
    </row>
    <row r="35" spans="1:5" ht="26.1" customHeight="1" x14ac:dyDescent="0.25">
      <c r="A35" s="639">
        <v>3</v>
      </c>
      <c r="B35" s="640" t="s">
        <v>922</v>
      </c>
      <c r="C35" s="641">
        <f>IF(C22=0,0,C12/C22)</f>
        <v>2766.8199853049227</v>
      </c>
      <c r="D35" s="641">
        <f>IF(D22=0,0,D12/D22)</f>
        <v>2897.8808749419209</v>
      </c>
      <c r="E35" s="641">
        <f>IF(E22=0,0,E12/E22)</f>
        <v>3173.1481859617138</v>
      </c>
    </row>
    <row r="36" spans="1:5" ht="26.1" customHeight="1" x14ac:dyDescent="0.25">
      <c r="A36" s="639">
        <v>4</v>
      </c>
      <c r="B36" s="640" t="s">
        <v>923</v>
      </c>
      <c r="C36" s="641">
        <f>IF(C23=0,0,C12/C23)</f>
        <v>12512.418037974685</v>
      </c>
      <c r="D36" s="641">
        <f>IF(D23=0,0,D12/D23)</f>
        <v>12593.943616029823</v>
      </c>
      <c r="E36" s="641">
        <f>IF(E23=0,0,E12/E23)</f>
        <v>13363.57324938575</v>
      </c>
    </row>
    <row r="37" spans="1:5" ht="26.1" customHeight="1" x14ac:dyDescent="0.25">
      <c r="A37" s="639">
        <v>5</v>
      </c>
      <c r="B37" s="640" t="s">
        <v>924</v>
      </c>
      <c r="C37" s="641">
        <f>IF(C29=0,0,C12/C29)</f>
        <v>2268.4525235114838</v>
      </c>
      <c r="D37" s="641">
        <f>IF(D29=0,0,D12/D29)</f>
        <v>2345.9832207197455</v>
      </c>
      <c r="E37" s="641">
        <f>IF(E29=0,0,E12/E29)</f>
        <v>2523.2436562235034</v>
      </c>
    </row>
    <row r="38" spans="1:5" ht="26.1" customHeight="1" x14ac:dyDescent="0.25">
      <c r="A38" s="639">
        <v>6</v>
      </c>
      <c r="B38" s="640" t="s">
        <v>925</v>
      </c>
      <c r="C38" s="641">
        <f>IF(C30=0,0,C12/C30)</f>
        <v>10258.645818747109</v>
      </c>
      <c r="D38" s="641">
        <f>IF(D30=0,0,D12/D30)</f>
        <v>10195.443388089121</v>
      </c>
      <c r="E38" s="641">
        <f>IF(E30=0,0,E12/E30)</f>
        <v>10626.529065099752</v>
      </c>
    </row>
    <row r="39" spans="1:5" ht="26.1" customHeight="1" x14ac:dyDescent="0.25">
      <c r="A39" s="639">
        <v>7</v>
      </c>
      <c r="B39" s="640" t="s">
        <v>926</v>
      </c>
      <c r="C39" s="641">
        <f>IF(C22=0,0,C10/C22)</f>
        <v>1240.397332547142</v>
      </c>
      <c r="D39" s="641">
        <f>IF(D22=0,0,D10/D22)</f>
        <v>1248.3058394371394</v>
      </c>
      <c r="E39" s="641">
        <f>IF(E22=0,0,E10/E22)</f>
        <v>1323.5837462276636</v>
      </c>
    </row>
    <row r="40" spans="1:5" ht="26.1" customHeight="1" x14ac:dyDescent="0.25">
      <c r="A40" s="639">
        <v>8</v>
      </c>
      <c r="B40" s="640" t="s">
        <v>927</v>
      </c>
      <c r="C40" s="641">
        <f>IF(C23=0,0,C10/C23)</f>
        <v>5609.4614179635864</v>
      </c>
      <c r="D40" s="641">
        <f>IF(D23=0,0,D10/D23)</f>
        <v>5425.03092289713</v>
      </c>
      <c r="E40" s="641">
        <f>IF(E23=0,0,E10/E23)</f>
        <v>5574.2144103645087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354</v>
      </c>
      <c r="B42" s="634" t="s">
        <v>928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929</v>
      </c>
      <c r="C43" s="641">
        <f>IF(C19=0,0,C13/C19)</f>
        <v>3347.6291942199364</v>
      </c>
      <c r="D43" s="641">
        <f>IF(D19=0,0,D13/D19)</f>
        <v>3688.2537617498838</v>
      </c>
      <c r="E43" s="641">
        <f>IF(E19=0,0,E13/E19)</f>
        <v>3995.6141112123973</v>
      </c>
    </row>
    <row r="44" spans="1:5" ht="26.1" customHeight="1" x14ac:dyDescent="0.25">
      <c r="A44" s="639">
        <v>2</v>
      </c>
      <c r="B44" s="640" t="s">
        <v>930</v>
      </c>
      <c r="C44" s="641">
        <f>IF(C20=0,0,C13/C20)</f>
        <v>15139.01740506329</v>
      </c>
      <c r="D44" s="641">
        <f>IF(D20=0,0,D13/D20)</f>
        <v>16028.836905871389</v>
      </c>
      <c r="E44" s="641">
        <f>IF(E20=0,0,E13/E20)</f>
        <v>16827.352119164618</v>
      </c>
    </row>
    <row r="45" spans="1:5" ht="26.1" customHeight="1" x14ac:dyDescent="0.25">
      <c r="A45" s="639">
        <v>3</v>
      </c>
      <c r="B45" s="640" t="s">
        <v>931</v>
      </c>
      <c r="C45" s="641">
        <f>IF(C22=0,0,C13/C22)</f>
        <v>1500.7808042884744</v>
      </c>
      <c r="D45" s="641">
        <f>IF(D22=0,0,D13/D22)</f>
        <v>1588.7708663009312</v>
      </c>
      <c r="E45" s="641">
        <f>IF(E22=0,0,E13/E22)</f>
        <v>1666.6507783013546</v>
      </c>
    </row>
    <row r="46" spans="1:5" ht="26.1" customHeight="1" x14ac:dyDescent="0.25">
      <c r="A46" s="639">
        <v>4</v>
      </c>
      <c r="B46" s="640" t="s">
        <v>932</v>
      </c>
      <c r="C46" s="641">
        <f>IF(C23=0,0,C13/C23)</f>
        <v>6786.9962290140647</v>
      </c>
      <c r="D46" s="641">
        <f>IF(D23=0,0,D13/D23)</f>
        <v>6904.6629493994642</v>
      </c>
      <c r="E46" s="641">
        <f>IF(E23=0,0,E13/E23)</f>
        <v>7019.0260434451257</v>
      </c>
    </row>
    <row r="47" spans="1:5" ht="26.1" customHeight="1" x14ac:dyDescent="0.25">
      <c r="A47" s="639">
        <v>5</v>
      </c>
      <c r="B47" s="640" t="s">
        <v>933</v>
      </c>
      <c r="C47" s="641">
        <f>IF(C29=0,0,C13/C29)</f>
        <v>1230.4559099643016</v>
      </c>
      <c r="D47" s="641">
        <f>IF(D29=0,0,D13/D29)</f>
        <v>1286.1915153724392</v>
      </c>
      <c r="E47" s="641">
        <f>IF(E29=0,0,E13/E29)</f>
        <v>1325.297703427078</v>
      </c>
    </row>
    <row r="48" spans="1:5" ht="26.1" customHeight="1" x14ac:dyDescent="0.25">
      <c r="A48" s="639">
        <v>6</v>
      </c>
      <c r="B48" s="640" t="s">
        <v>934</v>
      </c>
      <c r="C48" s="641">
        <f>IF(C30=0,0,C13/C30)</f>
        <v>5564.5032219445739</v>
      </c>
      <c r="D48" s="641">
        <f>IF(D30=0,0,D13/D30)</f>
        <v>5589.6788456982713</v>
      </c>
      <c r="E48" s="641">
        <f>IF(E30=0,0,E13/E30)</f>
        <v>5581.4326653082953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366</v>
      </c>
      <c r="B50" s="634" t="s">
        <v>935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936</v>
      </c>
      <c r="C51" s="641">
        <f>IF(C19=0,0,C16/C19)</f>
        <v>3512.9057415765719</v>
      </c>
      <c r="D51" s="641">
        <f>IF(D19=0,0,D16/D19)</f>
        <v>3892.1034704599879</v>
      </c>
      <c r="E51" s="641">
        <f>IF(E19=0,0,E16/E19)</f>
        <v>4152.4436463081129</v>
      </c>
    </row>
    <row r="52" spans="1:6" ht="26.1" customHeight="1" x14ac:dyDescent="0.25">
      <c r="A52" s="639">
        <v>2</v>
      </c>
      <c r="B52" s="640" t="s">
        <v>937</v>
      </c>
      <c r="C52" s="641">
        <f>IF(C20=0,0,C16/C20)</f>
        <v>15886.44920886076</v>
      </c>
      <c r="D52" s="641">
        <f>IF(D20=0,0,D16/D20)</f>
        <v>16914.750388319353</v>
      </c>
      <c r="E52" s="641">
        <f>IF(E20=0,0,E16/E20)</f>
        <v>17487.83277027027</v>
      </c>
    </row>
    <row r="53" spans="1:6" ht="26.1" customHeight="1" x14ac:dyDescent="0.25">
      <c r="A53" s="639">
        <v>3</v>
      </c>
      <c r="B53" s="640" t="s">
        <v>938</v>
      </c>
      <c r="C53" s="641">
        <f>IF(C22=0,0,C16/C22)</f>
        <v>1574.8761880006819</v>
      </c>
      <c r="D53" s="641">
        <f>IF(D22=0,0,D16/D22)</f>
        <v>1676.5821990409227</v>
      </c>
      <c r="E53" s="641">
        <f>IF(E22=0,0,E16/E22)</f>
        <v>1732.0675226246954</v>
      </c>
    </row>
    <row r="54" spans="1:6" ht="26.1" customHeight="1" x14ac:dyDescent="0.25">
      <c r="A54" s="639">
        <v>4</v>
      </c>
      <c r="B54" s="640" t="s">
        <v>939</v>
      </c>
      <c r="C54" s="641">
        <f>IF(C23=0,0,C16/C23)</f>
        <v>7122.0785331087791</v>
      </c>
      <c r="D54" s="641">
        <f>IF(D23=0,0,D16/D23)</f>
        <v>7286.283527021742</v>
      </c>
      <c r="E54" s="641">
        <f>IF(E23=0,0,E16/E23)</f>
        <v>7294.5257690390481</v>
      </c>
    </row>
    <row r="55" spans="1:6" ht="26.1" customHeight="1" x14ac:dyDescent="0.25">
      <c r="A55" s="639">
        <v>5</v>
      </c>
      <c r="B55" s="640" t="s">
        <v>940</v>
      </c>
      <c r="C55" s="641">
        <f>IF(C29=0,0,C16/C29)</f>
        <v>1291.2050230454638</v>
      </c>
      <c r="D55" s="641">
        <f>IF(D29=0,0,D16/D29)</f>
        <v>1357.2792936791259</v>
      </c>
      <c r="E55" s="641">
        <f>IF(E29=0,0,E16/E29)</f>
        <v>1377.316195930805</v>
      </c>
    </row>
    <row r="56" spans="1:6" ht="26.1" customHeight="1" x14ac:dyDescent="0.25">
      <c r="A56" s="639">
        <v>6</v>
      </c>
      <c r="B56" s="640" t="s">
        <v>941</v>
      </c>
      <c r="C56" s="641">
        <f>IF(C30=0,0,C16/C30)</f>
        <v>5839.2295512124056</v>
      </c>
      <c r="D56" s="641">
        <f>IF(D30=0,0,D16/D30)</f>
        <v>5898.6202792557096</v>
      </c>
      <c r="E56" s="641">
        <f>IF(E30=0,0,E16/E30)</f>
        <v>5800.5062459155915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370</v>
      </c>
      <c r="B58" s="642" t="s">
        <v>942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943</v>
      </c>
      <c r="C59" s="649">
        <v>18901408</v>
      </c>
      <c r="D59" s="649">
        <v>18853887</v>
      </c>
      <c r="E59" s="649">
        <v>18727261</v>
      </c>
    </row>
    <row r="60" spans="1:6" ht="26.1" customHeight="1" x14ac:dyDescent="0.25">
      <c r="A60" s="639">
        <v>2</v>
      </c>
      <c r="B60" s="640" t="s">
        <v>944</v>
      </c>
      <c r="C60" s="649">
        <v>5169877</v>
      </c>
      <c r="D60" s="649">
        <v>6041586</v>
      </c>
      <c r="E60" s="649">
        <v>5724690</v>
      </c>
    </row>
    <row r="61" spans="1:6" ht="26.1" customHeight="1" x14ac:dyDescent="0.25">
      <c r="A61" s="650">
        <v>3</v>
      </c>
      <c r="B61" s="651" t="s">
        <v>945</v>
      </c>
      <c r="C61" s="652">
        <f>C59+C60</f>
        <v>24071285</v>
      </c>
      <c r="D61" s="652">
        <f>D59+D60</f>
        <v>24895473</v>
      </c>
      <c r="E61" s="652">
        <f>E59+E60</f>
        <v>24451951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946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947</v>
      </c>
      <c r="C64" s="641">
        <v>3537716</v>
      </c>
      <c r="D64" s="641">
        <v>5186232</v>
      </c>
      <c r="E64" s="649">
        <v>5949173</v>
      </c>
      <c r="F64" s="653"/>
    </row>
    <row r="65" spans="1:6" ht="26.1" customHeight="1" x14ac:dyDescent="0.25">
      <c r="A65" s="639">
        <v>2</v>
      </c>
      <c r="B65" s="640" t="s">
        <v>948</v>
      </c>
      <c r="C65" s="649">
        <v>967629</v>
      </c>
      <c r="D65" s="649">
        <v>1661889</v>
      </c>
      <c r="E65" s="649">
        <v>1818588</v>
      </c>
      <c r="F65" s="653"/>
    </row>
    <row r="66" spans="1:6" ht="26.1" customHeight="1" x14ac:dyDescent="0.25">
      <c r="A66" s="650">
        <v>3</v>
      </c>
      <c r="B66" s="651" t="s">
        <v>949</v>
      </c>
      <c r="C66" s="654">
        <f>C64+C65</f>
        <v>4505345</v>
      </c>
      <c r="D66" s="654">
        <f>D64+D65</f>
        <v>6848121</v>
      </c>
      <c r="E66" s="654">
        <f>E64+E65</f>
        <v>7767761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396</v>
      </c>
      <c r="B68" s="642" t="s">
        <v>950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951</v>
      </c>
      <c r="C69" s="649">
        <v>23798919</v>
      </c>
      <c r="D69" s="649">
        <v>24620510</v>
      </c>
      <c r="E69" s="649">
        <v>27051759</v>
      </c>
    </row>
    <row r="70" spans="1:6" ht="26.1" customHeight="1" x14ac:dyDescent="0.25">
      <c r="A70" s="639">
        <v>2</v>
      </c>
      <c r="B70" s="640" t="s">
        <v>952</v>
      </c>
      <c r="C70" s="649">
        <v>6509436</v>
      </c>
      <c r="D70" s="649">
        <v>7889458</v>
      </c>
      <c r="E70" s="649">
        <v>8269386</v>
      </c>
    </row>
    <row r="71" spans="1:6" ht="26.1" customHeight="1" x14ac:dyDescent="0.25">
      <c r="A71" s="650">
        <v>3</v>
      </c>
      <c r="B71" s="651" t="s">
        <v>953</v>
      </c>
      <c r="C71" s="652">
        <f>C69+C70</f>
        <v>30308355</v>
      </c>
      <c r="D71" s="652">
        <f>D69+D70</f>
        <v>32509968</v>
      </c>
      <c r="E71" s="652">
        <f>E69+E70</f>
        <v>35321145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412</v>
      </c>
      <c r="B74" s="642" t="s">
        <v>954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955</v>
      </c>
      <c r="C75" s="641">
        <f t="shared" ref="C75:E76" si="0">+C59+C64+C69</f>
        <v>46238043</v>
      </c>
      <c r="D75" s="641">
        <f t="shared" si="0"/>
        <v>48660629</v>
      </c>
      <c r="E75" s="641">
        <f t="shared" si="0"/>
        <v>51728193</v>
      </c>
    </row>
    <row r="76" spans="1:6" ht="26.1" customHeight="1" x14ac:dyDescent="0.25">
      <c r="A76" s="639">
        <v>2</v>
      </c>
      <c r="B76" s="640" t="s">
        <v>956</v>
      </c>
      <c r="C76" s="641">
        <f t="shared" si="0"/>
        <v>12646942</v>
      </c>
      <c r="D76" s="641">
        <f t="shared" si="0"/>
        <v>15592933</v>
      </c>
      <c r="E76" s="641">
        <f t="shared" si="0"/>
        <v>15812664</v>
      </c>
    </row>
    <row r="77" spans="1:6" ht="26.1" customHeight="1" x14ac:dyDescent="0.25">
      <c r="A77" s="650">
        <v>3</v>
      </c>
      <c r="B77" s="651" t="s">
        <v>954</v>
      </c>
      <c r="C77" s="654">
        <f>C75+C76</f>
        <v>58884985</v>
      </c>
      <c r="D77" s="654">
        <f>D75+D76</f>
        <v>64253562</v>
      </c>
      <c r="E77" s="654">
        <f>E75+E76</f>
        <v>67540857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421</v>
      </c>
      <c r="B79" s="642" t="s">
        <v>957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583</v>
      </c>
      <c r="C80" s="646">
        <v>276.8</v>
      </c>
      <c r="D80" s="646">
        <v>286.89999999999998</v>
      </c>
      <c r="E80" s="646">
        <v>295.3</v>
      </c>
    </row>
    <row r="81" spans="1:5" ht="26.1" customHeight="1" x14ac:dyDescent="0.25">
      <c r="A81" s="639">
        <v>2</v>
      </c>
      <c r="B81" s="640" t="s">
        <v>584</v>
      </c>
      <c r="C81" s="646">
        <v>18</v>
      </c>
      <c r="D81" s="646">
        <v>24.1</v>
      </c>
      <c r="E81" s="646">
        <v>26.3</v>
      </c>
    </row>
    <row r="82" spans="1:5" ht="26.1" customHeight="1" x14ac:dyDescent="0.25">
      <c r="A82" s="639">
        <v>3</v>
      </c>
      <c r="B82" s="640" t="s">
        <v>958</v>
      </c>
      <c r="C82" s="646">
        <v>390</v>
      </c>
      <c r="D82" s="646">
        <v>402.2</v>
      </c>
      <c r="E82" s="646">
        <v>422.7</v>
      </c>
    </row>
    <row r="83" spans="1:5" ht="26.1" customHeight="1" x14ac:dyDescent="0.25">
      <c r="A83" s="650">
        <v>4</v>
      </c>
      <c r="B83" s="651" t="s">
        <v>957</v>
      </c>
      <c r="C83" s="656">
        <f>C80+C81+C82</f>
        <v>684.8</v>
      </c>
      <c r="D83" s="656">
        <f>D80+D81+D82</f>
        <v>713.2</v>
      </c>
      <c r="E83" s="656">
        <f>E80+E81+E82</f>
        <v>744.3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424</v>
      </c>
      <c r="B85" s="642" t="s">
        <v>959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960</v>
      </c>
      <c r="C86" s="649">
        <f>IF(C80=0,0,C59/C80)</f>
        <v>68285.433526011562</v>
      </c>
      <c r="D86" s="649">
        <f>IF(D80=0,0,D59/D80)</f>
        <v>65715.883583130009</v>
      </c>
      <c r="E86" s="649">
        <f>IF(E80=0,0,E59/E80)</f>
        <v>63417.748052827628</v>
      </c>
    </row>
    <row r="87" spans="1:5" ht="26.1" customHeight="1" x14ac:dyDescent="0.25">
      <c r="A87" s="639">
        <v>2</v>
      </c>
      <c r="B87" s="640" t="s">
        <v>961</v>
      </c>
      <c r="C87" s="649">
        <f>IF(C80=0,0,C60/C80)</f>
        <v>18677.301300578034</v>
      </c>
      <c r="D87" s="649">
        <f>IF(D80=0,0,D60/D80)</f>
        <v>21058.159637504359</v>
      </c>
      <c r="E87" s="649">
        <f>IF(E80=0,0,E60/E80)</f>
        <v>19386.014222824248</v>
      </c>
    </row>
    <row r="88" spans="1:5" ht="26.1" customHeight="1" x14ac:dyDescent="0.25">
      <c r="A88" s="650">
        <v>3</v>
      </c>
      <c r="B88" s="651" t="s">
        <v>962</v>
      </c>
      <c r="C88" s="652">
        <f>+C86+C87</f>
        <v>86962.7348265896</v>
      </c>
      <c r="D88" s="652">
        <f>+D86+D87</f>
        <v>86774.043220634368</v>
      </c>
      <c r="E88" s="652">
        <f>+E86+E87</f>
        <v>82803.762275651883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581</v>
      </c>
      <c r="B90" s="642" t="s">
        <v>963</v>
      </c>
    </row>
    <row r="91" spans="1:5" ht="26.1" customHeight="1" x14ac:dyDescent="0.25">
      <c r="A91" s="639">
        <v>1</v>
      </c>
      <c r="B91" s="640" t="s">
        <v>964</v>
      </c>
      <c r="C91" s="641">
        <f>IF(C81=0,0,C64/C81)</f>
        <v>196539.77777777778</v>
      </c>
      <c r="D91" s="641">
        <f>IF(D81=0,0,D64/D81)</f>
        <v>215196.34854771782</v>
      </c>
      <c r="E91" s="641">
        <f>IF(E81=0,0,E64/E81)</f>
        <v>226204.29657794675</v>
      </c>
    </row>
    <row r="92" spans="1:5" ht="26.1" customHeight="1" x14ac:dyDescent="0.25">
      <c r="A92" s="639">
        <v>2</v>
      </c>
      <c r="B92" s="640" t="s">
        <v>965</v>
      </c>
      <c r="C92" s="641">
        <f>IF(C81=0,0,C65/C81)</f>
        <v>53757.166666666664</v>
      </c>
      <c r="D92" s="641">
        <f>IF(D81=0,0,D65/D81)</f>
        <v>68958.049792531121</v>
      </c>
      <c r="E92" s="641">
        <f>IF(E81=0,0,E65/E81)</f>
        <v>69147.832699619772</v>
      </c>
    </row>
    <row r="93" spans="1:5" ht="26.1" customHeight="1" x14ac:dyDescent="0.25">
      <c r="A93" s="650">
        <v>3</v>
      </c>
      <c r="B93" s="651" t="s">
        <v>966</v>
      </c>
      <c r="C93" s="654">
        <f>+C91+C92</f>
        <v>250296.94444444444</v>
      </c>
      <c r="D93" s="654">
        <f>+D91+D92</f>
        <v>284154.39834024897</v>
      </c>
      <c r="E93" s="654">
        <f>+E91+E92</f>
        <v>295352.12927756651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967</v>
      </c>
      <c r="B95" s="642" t="s">
        <v>968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969</v>
      </c>
      <c r="C96" s="649">
        <f>IF(C82=0,0,C69/C82)</f>
        <v>61022.869230769233</v>
      </c>
      <c r="D96" s="649">
        <f>IF(D82=0,0,D69/D82)</f>
        <v>61214.594728990553</v>
      </c>
      <c r="E96" s="649">
        <f>IF(E82=0,0,E69/E82)</f>
        <v>63997.537260468416</v>
      </c>
    </row>
    <row r="97" spans="1:5" ht="26.1" customHeight="1" x14ac:dyDescent="0.25">
      <c r="A97" s="639">
        <v>2</v>
      </c>
      <c r="B97" s="640" t="s">
        <v>970</v>
      </c>
      <c r="C97" s="649">
        <f>IF(C82=0,0,C70/C82)</f>
        <v>16690.861538461537</v>
      </c>
      <c r="D97" s="649">
        <f>IF(D82=0,0,D70/D82)</f>
        <v>19615.758329189459</v>
      </c>
      <c r="E97" s="649">
        <f>IF(E82=0,0,E70/E82)</f>
        <v>19563.250532292408</v>
      </c>
    </row>
    <row r="98" spans="1:5" ht="26.1" customHeight="1" x14ac:dyDescent="0.25">
      <c r="A98" s="650">
        <v>3</v>
      </c>
      <c r="B98" s="651" t="s">
        <v>971</v>
      </c>
      <c r="C98" s="654">
        <f>+C96+C97</f>
        <v>77713.730769230766</v>
      </c>
      <c r="D98" s="654">
        <f>+D96+D97</f>
        <v>80830.353058180015</v>
      </c>
      <c r="E98" s="654">
        <f>+E96+E97</f>
        <v>83560.787792760821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972</v>
      </c>
      <c r="B100" s="642" t="s">
        <v>973</v>
      </c>
    </row>
    <row r="101" spans="1:5" ht="26.1" customHeight="1" x14ac:dyDescent="0.25">
      <c r="A101" s="639">
        <v>1</v>
      </c>
      <c r="B101" s="640" t="s">
        <v>974</v>
      </c>
      <c r="C101" s="641">
        <f>IF(C83=0,0,C75/C83)</f>
        <v>67520.506717289725</v>
      </c>
      <c r="D101" s="641">
        <f>IF(D83=0,0,D75/D83)</f>
        <v>68228.588053841842</v>
      </c>
      <c r="E101" s="641">
        <f>IF(E83=0,0,E75/E83)</f>
        <v>69499.117291414761</v>
      </c>
    </row>
    <row r="102" spans="1:5" ht="26.1" customHeight="1" x14ac:dyDescent="0.25">
      <c r="A102" s="639">
        <v>2</v>
      </c>
      <c r="B102" s="640" t="s">
        <v>975</v>
      </c>
      <c r="C102" s="658">
        <f>IF(C83=0,0,C76/C83)</f>
        <v>18468.081191588786</v>
      </c>
      <c r="D102" s="658">
        <f>IF(D83=0,0,D76/D83)</f>
        <v>21863.33847448121</v>
      </c>
      <c r="E102" s="658">
        <f>IF(E83=0,0,E76/E83)</f>
        <v>21245.014107214833</v>
      </c>
    </row>
    <row r="103" spans="1:5" ht="26.1" customHeight="1" x14ac:dyDescent="0.25">
      <c r="A103" s="650">
        <v>3</v>
      </c>
      <c r="B103" s="651" t="s">
        <v>973</v>
      </c>
      <c r="C103" s="654">
        <f>+C101+C102</f>
        <v>85988.587908878515</v>
      </c>
      <c r="D103" s="654">
        <f>+D101+D102</f>
        <v>90091.926528323049</v>
      </c>
      <c r="E103" s="654">
        <f>+E101+E102</f>
        <v>90744.131398629601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976</v>
      </c>
      <c r="B107" s="634" t="s">
        <v>977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978</v>
      </c>
      <c r="C108" s="641">
        <f>IF(C19=0,0,C77/C19)</f>
        <v>2060.2842797662784</v>
      </c>
      <c r="D108" s="641">
        <f>IF(D19=0,0,D77/D19)</f>
        <v>2296.4924407591407</v>
      </c>
      <c r="E108" s="641">
        <f>IF(E19=0,0,E77/E19)</f>
        <v>2462.7477484047404</v>
      </c>
    </row>
    <row r="109" spans="1:5" ht="26.1" customHeight="1" x14ac:dyDescent="0.25">
      <c r="A109" s="639">
        <v>2</v>
      </c>
      <c r="B109" s="640" t="s">
        <v>979</v>
      </c>
      <c r="C109" s="641">
        <f>IF(C20=0,0,C77/C20)</f>
        <v>9317.2444620253173</v>
      </c>
      <c r="D109" s="641">
        <f>IF(D20=0,0,D77/D20)</f>
        <v>9980.3606710158438</v>
      </c>
      <c r="E109" s="641">
        <f>IF(E20=0,0,E77/E20)</f>
        <v>10371.753224815724</v>
      </c>
    </row>
    <row r="110" spans="1:5" ht="26.1" customHeight="1" x14ac:dyDescent="0.25">
      <c r="A110" s="639">
        <v>3</v>
      </c>
      <c r="B110" s="640" t="s">
        <v>980</v>
      </c>
      <c r="C110" s="641">
        <f>IF(C22=0,0,C77/C22)</f>
        <v>923.64922130243303</v>
      </c>
      <c r="D110" s="641">
        <f>IF(D22=0,0,D77/D22)</f>
        <v>989.24871233029523</v>
      </c>
      <c r="E110" s="641">
        <f>IF(E22=0,0,E77/E22)</f>
        <v>1027.2614765576598</v>
      </c>
    </row>
    <row r="111" spans="1:5" ht="26.1" customHeight="1" x14ac:dyDescent="0.25">
      <c r="A111" s="639">
        <v>4</v>
      </c>
      <c r="B111" s="640" t="s">
        <v>981</v>
      </c>
      <c r="C111" s="641">
        <f>IF(C23=0,0,C77/C23)</f>
        <v>4177.0282269058289</v>
      </c>
      <c r="D111" s="641">
        <f>IF(D23=0,0,D77/D23)</f>
        <v>4299.1906993304328</v>
      </c>
      <c r="E111" s="641">
        <f>IF(E23=0,0,E77/E23)</f>
        <v>4326.2662768110913</v>
      </c>
    </row>
    <row r="112" spans="1:5" ht="26.1" customHeight="1" x14ac:dyDescent="0.25">
      <c r="A112" s="639">
        <v>5</v>
      </c>
      <c r="B112" s="640" t="s">
        <v>982</v>
      </c>
      <c r="C112" s="641">
        <f>IF(C29=0,0,C77/C29)</f>
        <v>757.27890431296328</v>
      </c>
      <c r="D112" s="641">
        <f>IF(D29=0,0,D77/D29)</f>
        <v>800.84757807444373</v>
      </c>
      <c r="E112" s="641">
        <f>IF(E29=0,0,E77/E29)</f>
        <v>816.86415260222554</v>
      </c>
    </row>
    <row r="113" spans="1:7" ht="25.5" customHeight="1" x14ac:dyDescent="0.25">
      <c r="A113" s="639">
        <v>6</v>
      </c>
      <c r="B113" s="640" t="s">
        <v>983</v>
      </c>
      <c r="C113" s="641">
        <f>IF(C30=0,0,C77/C30)</f>
        <v>3424.6500576216463</v>
      </c>
      <c r="D113" s="641">
        <f>IF(D30=0,0,D77/D30)</f>
        <v>3480.4154064841346</v>
      </c>
      <c r="E113" s="641">
        <f>IF(E30=0,0,E77/E30)</f>
        <v>3440.1872520141333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/>
  <headerFooter>
    <oddHeader>&amp;L&amp;12OFFICE OF HEALTH CARE ACCESS&amp;C&amp;12TWELVE MONTHS ACTUAL FILING&amp;R&amp;12CHARLOTTE HUNGERFORD HOSPITAL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/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188222806</v>
      </c>
      <c r="D12" s="51">
        <v>208629597</v>
      </c>
      <c r="E12" s="51">
        <f t="shared" ref="E12:E19" si="0">D12-C12</f>
        <v>20406791</v>
      </c>
      <c r="F12" s="70">
        <f t="shared" ref="F12:F19" si="1">IF(C12=0,0,E12/C12)</f>
        <v>0.10841826999433851</v>
      </c>
    </row>
    <row r="13" spans="1:8" ht="23.1" customHeight="1" x14ac:dyDescent="0.2">
      <c r="A13" s="25">
        <v>2</v>
      </c>
      <c r="B13" s="48" t="s">
        <v>72</v>
      </c>
      <c r="C13" s="51">
        <v>83689827</v>
      </c>
      <c r="D13" s="51">
        <v>97340958</v>
      </c>
      <c r="E13" s="51">
        <f t="shared" si="0"/>
        <v>13651131</v>
      </c>
      <c r="F13" s="70">
        <f t="shared" si="1"/>
        <v>0.16311577511087458</v>
      </c>
    </row>
    <row r="14" spans="1:8" ht="23.1" customHeight="1" x14ac:dyDescent="0.2">
      <c r="A14" s="25">
        <v>3</v>
      </c>
      <c r="B14" s="48" t="s">
        <v>73</v>
      </c>
      <c r="C14" s="51">
        <v>1339327</v>
      </c>
      <c r="D14" s="51">
        <v>1708922</v>
      </c>
      <c r="E14" s="51">
        <f t="shared" si="0"/>
        <v>369595</v>
      </c>
      <c r="F14" s="70">
        <f t="shared" si="1"/>
        <v>0.27595575987044241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103193652</v>
      </c>
      <c r="D16" s="27">
        <f>D12-D13-D14-D15</f>
        <v>109579717</v>
      </c>
      <c r="E16" s="27">
        <f t="shared" si="0"/>
        <v>6386065</v>
      </c>
      <c r="F16" s="28">
        <f t="shared" si="1"/>
        <v>6.1884281409092877E-2</v>
      </c>
    </row>
    <row r="17" spans="1:7" ht="23.1" customHeight="1" x14ac:dyDescent="0.2">
      <c r="A17" s="25">
        <v>5</v>
      </c>
      <c r="B17" s="48" t="s">
        <v>76</v>
      </c>
      <c r="C17" s="51">
        <v>5277783</v>
      </c>
      <c r="D17" s="51">
        <v>4949386</v>
      </c>
      <c r="E17" s="51">
        <f t="shared" si="0"/>
        <v>-328397</v>
      </c>
      <c r="F17" s="70">
        <f t="shared" si="1"/>
        <v>-6.2222527906130282E-2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0</v>
      </c>
      <c r="D18" s="51">
        <v>0</v>
      </c>
      <c r="E18" s="51">
        <f t="shared" si="0"/>
        <v>0</v>
      </c>
      <c r="F18" s="70">
        <f t="shared" si="1"/>
        <v>0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108471435</v>
      </c>
      <c r="D19" s="27">
        <f>SUM(D16:D18)</f>
        <v>114529103</v>
      </c>
      <c r="E19" s="27">
        <f t="shared" si="0"/>
        <v>6057668</v>
      </c>
      <c r="F19" s="28">
        <f t="shared" si="1"/>
        <v>5.5845744089215749E-2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48660629</v>
      </c>
      <c r="D22" s="51">
        <v>51728193</v>
      </c>
      <c r="E22" s="51">
        <f t="shared" ref="E22:E31" si="2">D22-C22</f>
        <v>3067564</v>
      </c>
      <c r="F22" s="70">
        <f t="shared" ref="F22:F31" si="3">IF(C22=0,0,E22/C22)</f>
        <v>6.3039957827096732E-2</v>
      </c>
    </row>
    <row r="23" spans="1:7" ht="23.1" customHeight="1" x14ac:dyDescent="0.2">
      <c r="A23" s="25">
        <v>2</v>
      </c>
      <c r="B23" s="48" t="s">
        <v>81</v>
      </c>
      <c r="C23" s="51">
        <v>15592933</v>
      </c>
      <c r="D23" s="51">
        <v>15812664</v>
      </c>
      <c r="E23" s="51">
        <f t="shared" si="2"/>
        <v>219731</v>
      </c>
      <c r="F23" s="70">
        <f t="shared" si="3"/>
        <v>1.4091704235502069E-2</v>
      </c>
    </row>
    <row r="24" spans="1:7" ht="23.1" customHeight="1" x14ac:dyDescent="0.2">
      <c r="A24" s="25">
        <v>3</v>
      </c>
      <c r="B24" s="48" t="s">
        <v>82</v>
      </c>
      <c r="C24" s="51">
        <v>1174714</v>
      </c>
      <c r="D24" s="51">
        <v>1707737</v>
      </c>
      <c r="E24" s="51">
        <f t="shared" si="2"/>
        <v>533023</v>
      </c>
      <c r="F24" s="70">
        <f t="shared" si="3"/>
        <v>0.45374703970498353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12683628</v>
      </c>
      <c r="D25" s="51">
        <v>13208881</v>
      </c>
      <c r="E25" s="51">
        <f t="shared" si="2"/>
        <v>525253</v>
      </c>
      <c r="F25" s="70">
        <f t="shared" si="3"/>
        <v>4.1411889405775698E-2</v>
      </c>
    </row>
    <row r="26" spans="1:7" ht="23.1" customHeight="1" x14ac:dyDescent="0.2">
      <c r="A26" s="25">
        <v>5</v>
      </c>
      <c r="B26" s="48" t="s">
        <v>84</v>
      </c>
      <c r="C26" s="51">
        <v>6171088</v>
      </c>
      <c r="D26" s="51">
        <v>6178082</v>
      </c>
      <c r="E26" s="51">
        <f t="shared" si="2"/>
        <v>6994</v>
      </c>
      <c r="F26" s="70">
        <f t="shared" si="3"/>
        <v>1.133349581143552E-3</v>
      </c>
    </row>
    <row r="27" spans="1:7" ht="23.1" customHeight="1" x14ac:dyDescent="0.2">
      <c r="A27" s="25">
        <v>6</v>
      </c>
      <c r="B27" s="48" t="s">
        <v>85</v>
      </c>
      <c r="C27" s="51">
        <v>2413649</v>
      </c>
      <c r="D27" s="51">
        <v>2129955</v>
      </c>
      <c r="E27" s="51">
        <f t="shared" si="2"/>
        <v>-283694</v>
      </c>
      <c r="F27" s="70">
        <f t="shared" si="3"/>
        <v>-0.11753738841065954</v>
      </c>
    </row>
    <row r="28" spans="1:7" ht="23.1" customHeight="1" x14ac:dyDescent="0.2">
      <c r="A28" s="25">
        <v>7</v>
      </c>
      <c r="B28" s="48" t="s">
        <v>86</v>
      </c>
      <c r="C28" s="51">
        <v>333980</v>
      </c>
      <c r="D28" s="51">
        <v>308286</v>
      </c>
      <c r="E28" s="51">
        <f t="shared" si="2"/>
        <v>-25694</v>
      </c>
      <c r="F28" s="70">
        <f t="shared" si="3"/>
        <v>-7.6932750464099642E-2</v>
      </c>
    </row>
    <row r="29" spans="1:7" ht="23.1" customHeight="1" x14ac:dyDescent="0.2">
      <c r="A29" s="25">
        <v>8</v>
      </c>
      <c r="B29" s="48" t="s">
        <v>87</v>
      </c>
      <c r="C29" s="51">
        <v>1520168</v>
      </c>
      <c r="D29" s="51">
        <v>2111635</v>
      </c>
      <c r="E29" s="51">
        <f t="shared" si="2"/>
        <v>591467</v>
      </c>
      <c r="F29" s="70">
        <f t="shared" si="3"/>
        <v>0.38908002273432934</v>
      </c>
    </row>
    <row r="30" spans="1:7" ht="23.1" customHeight="1" x14ac:dyDescent="0.2">
      <c r="A30" s="25">
        <v>9</v>
      </c>
      <c r="B30" s="48" t="s">
        <v>88</v>
      </c>
      <c r="C30" s="51">
        <v>20346374</v>
      </c>
      <c r="D30" s="51">
        <v>20695334</v>
      </c>
      <c r="E30" s="51">
        <f t="shared" si="2"/>
        <v>348960</v>
      </c>
      <c r="F30" s="70">
        <f t="shared" si="3"/>
        <v>1.7150967538491133E-2</v>
      </c>
    </row>
    <row r="31" spans="1:7" ht="23.1" customHeight="1" x14ac:dyDescent="0.25">
      <c r="A31" s="29"/>
      <c r="B31" s="71" t="s">
        <v>89</v>
      </c>
      <c r="C31" s="27">
        <f>SUM(C22:C30)</f>
        <v>108897163</v>
      </c>
      <c r="D31" s="27">
        <f>SUM(D22:D30)</f>
        <v>113880767</v>
      </c>
      <c r="E31" s="27">
        <f t="shared" si="2"/>
        <v>4983604</v>
      </c>
      <c r="F31" s="28">
        <f t="shared" si="3"/>
        <v>4.5764314355921286E-2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-425728</v>
      </c>
      <c r="D33" s="27">
        <f>+D19-D31</f>
        <v>648336</v>
      </c>
      <c r="E33" s="27">
        <f>D33-C33</f>
        <v>1074064</v>
      </c>
      <c r="F33" s="28">
        <f>IF(C33=0,0,E33/C33)</f>
        <v>-2.5228878532772097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1996464</v>
      </c>
      <c r="D36" s="51">
        <v>1496290</v>
      </c>
      <c r="E36" s="51">
        <f>D36-C36</f>
        <v>-500174</v>
      </c>
      <c r="F36" s="70">
        <f>IF(C36=0,0,E36/C36)</f>
        <v>-0.25052993692848957</v>
      </c>
    </row>
    <row r="37" spans="1:6" ht="23.1" customHeight="1" x14ac:dyDescent="0.2">
      <c r="A37" s="44">
        <v>2</v>
      </c>
      <c r="B37" s="48" t="s">
        <v>93</v>
      </c>
      <c r="C37" s="51">
        <v>127644</v>
      </c>
      <c r="D37" s="51">
        <v>405765</v>
      </c>
      <c r="E37" s="51">
        <f>D37-C37</f>
        <v>278121</v>
      </c>
      <c r="F37" s="70">
        <f>IF(C37=0,0,E37/C37)</f>
        <v>2.1788803233994547</v>
      </c>
    </row>
    <row r="38" spans="1:6" ht="23.1" customHeight="1" x14ac:dyDescent="0.2">
      <c r="A38" s="44">
        <v>3</v>
      </c>
      <c r="B38" s="48" t="s">
        <v>94</v>
      </c>
      <c r="C38" s="51">
        <v>-145288</v>
      </c>
      <c r="D38" s="51">
        <v>109058</v>
      </c>
      <c r="E38" s="51">
        <f>D38-C38</f>
        <v>254346</v>
      </c>
      <c r="F38" s="70">
        <f>IF(C38=0,0,E38/C38)</f>
        <v>-1.7506332250426739</v>
      </c>
    </row>
    <row r="39" spans="1:6" ht="23.1" customHeight="1" x14ac:dyDescent="0.25">
      <c r="A39" s="20"/>
      <c r="B39" s="71" t="s">
        <v>95</v>
      </c>
      <c r="C39" s="27">
        <f>SUM(C36:C38)</f>
        <v>1978820</v>
      </c>
      <c r="D39" s="27">
        <f>SUM(D36:D38)</f>
        <v>2011113</v>
      </c>
      <c r="E39" s="27">
        <f>D39-C39</f>
        <v>32293</v>
      </c>
      <c r="F39" s="28">
        <f>IF(C39=0,0,E39/C39)</f>
        <v>1.6319321615912513E-2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1553092</v>
      </c>
      <c r="D41" s="27">
        <f>D33+D39</f>
        <v>2659449</v>
      </c>
      <c r="E41" s="27">
        <f>D41-C41</f>
        <v>1106357</v>
      </c>
      <c r="F41" s="28">
        <f>IF(C41=0,0,E41/C41)</f>
        <v>0.7123576710201327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1553092</v>
      </c>
      <c r="D48" s="27">
        <f>D41+D46</f>
        <v>2659449</v>
      </c>
      <c r="E48" s="27">
        <f>D48-C48</f>
        <v>1106357</v>
      </c>
      <c r="F48" s="28">
        <f>IF(C48=0,0,E48/C48)</f>
        <v>0.7123576710201327</v>
      </c>
    </row>
    <row r="49" spans="1:6" ht="23.1" customHeight="1" x14ac:dyDescent="0.2">
      <c r="A49" s="44"/>
      <c r="B49" s="48" t="s">
        <v>102</v>
      </c>
      <c r="C49" s="51">
        <v>1654302</v>
      </c>
      <c r="D49" s="51">
        <v>1411317</v>
      </c>
      <c r="E49" s="51">
        <f>D49-C49</f>
        <v>-242985</v>
      </c>
      <c r="F49" s="70">
        <f>IF(C49=0,0,E49/C49)</f>
        <v>-0.14688067837674137</v>
      </c>
    </row>
  </sheetData>
  <printOptions gridLines="1"/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FILING&amp;RCHARLOTTE HUNGERFORD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workbookViewId="0"/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18.140625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60" t="s">
        <v>0</v>
      </c>
      <c r="B2" s="660"/>
      <c r="C2" s="660"/>
      <c r="D2" s="660"/>
      <c r="E2" s="660"/>
      <c r="F2" s="660"/>
    </row>
    <row r="3" spans="1:6" ht="18" customHeight="1" x14ac:dyDescent="0.25">
      <c r="A3" s="660" t="s">
        <v>1</v>
      </c>
      <c r="B3" s="660"/>
      <c r="C3" s="660"/>
      <c r="D3" s="660"/>
      <c r="E3" s="660"/>
      <c r="F3" s="660"/>
    </row>
    <row r="4" spans="1:6" ht="18" customHeight="1" x14ac:dyDescent="0.25">
      <c r="A4" s="660" t="s">
        <v>2</v>
      </c>
      <c r="B4" s="660"/>
      <c r="C4" s="660"/>
      <c r="D4" s="660"/>
      <c r="E4" s="660"/>
      <c r="F4" s="660"/>
    </row>
    <row r="5" spans="1:6" ht="18" customHeight="1" x14ac:dyDescent="0.25">
      <c r="A5" s="660" t="s">
        <v>103</v>
      </c>
      <c r="B5" s="660"/>
      <c r="C5" s="660"/>
      <c r="D5" s="660"/>
      <c r="E5" s="660"/>
      <c r="F5" s="66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61"/>
      <c r="D9" s="662"/>
      <c r="E9" s="662"/>
      <c r="F9" s="663"/>
    </row>
    <row r="10" spans="1:6" ht="18" customHeight="1" x14ac:dyDescent="0.25">
      <c r="A10" s="664" t="s">
        <v>12</v>
      </c>
      <c r="B10" s="666" t="s">
        <v>109</v>
      </c>
      <c r="C10" s="668"/>
      <c r="D10" s="669"/>
      <c r="E10" s="669"/>
      <c r="F10" s="670"/>
    </row>
    <row r="11" spans="1:6" ht="18" customHeight="1" x14ac:dyDescent="0.25">
      <c r="A11" s="665"/>
      <c r="B11" s="667"/>
      <c r="C11" s="671"/>
      <c r="D11" s="672"/>
      <c r="E11" s="672"/>
      <c r="F11" s="673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45419844</v>
      </c>
      <c r="D14" s="97">
        <v>48839662</v>
      </c>
      <c r="E14" s="97">
        <f t="shared" ref="E14:E25" si="0">D14-C14</f>
        <v>3419818</v>
      </c>
      <c r="F14" s="98">
        <f t="shared" ref="F14:F25" si="1">IF(C14=0,0,E14/C14)</f>
        <v>7.5293477450076668E-2</v>
      </c>
    </row>
    <row r="15" spans="1:6" ht="18" customHeight="1" x14ac:dyDescent="0.25">
      <c r="A15" s="99">
        <v>2</v>
      </c>
      <c r="B15" s="100" t="s">
        <v>113</v>
      </c>
      <c r="C15" s="97">
        <v>3348414</v>
      </c>
      <c r="D15" s="97">
        <v>4290161</v>
      </c>
      <c r="E15" s="97">
        <f t="shared" si="0"/>
        <v>941747</v>
      </c>
      <c r="F15" s="98">
        <f t="shared" si="1"/>
        <v>0.28125166123424405</v>
      </c>
    </row>
    <row r="16" spans="1:6" ht="18" customHeight="1" x14ac:dyDescent="0.25">
      <c r="A16" s="99">
        <v>3</v>
      </c>
      <c r="B16" s="100" t="s">
        <v>114</v>
      </c>
      <c r="C16" s="97">
        <v>5911817</v>
      </c>
      <c r="D16" s="97">
        <v>8881747</v>
      </c>
      <c r="E16" s="97">
        <f t="shared" si="0"/>
        <v>2969930</v>
      </c>
      <c r="F16" s="98">
        <f t="shared" si="1"/>
        <v>0.5023717750397213</v>
      </c>
    </row>
    <row r="17" spans="1:6" ht="18" customHeight="1" x14ac:dyDescent="0.25">
      <c r="A17" s="99">
        <v>4</v>
      </c>
      <c r="B17" s="100" t="s">
        <v>115</v>
      </c>
      <c r="C17" s="97">
        <v>3301552</v>
      </c>
      <c r="D17" s="97">
        <v>3180279</v>
      </c>
      <c r="E17" s="97">
        <f t="shared" si="0"/>
        <v>-121273</v>
      </c>
      <c r="F17" s="98">
        <f t="shared" si="1"/>
        <v>-3.673211871265393E-2</v>
      </c>
    </row>
    <row r="18" spans="1:6" ht="18" customHeight="1" x14ac:dyDescent="0.25">
      <c r="A18" s="99">
        <v>5</v>
      </c>
      <c r="B18" s="100" t="s">
        <v>116</v>
      </c>
      <c r="C18" s="97">
        <v>675700</v>
      </c>
      <c r="D18" s="97">
        <v>436042</v>
      </c>
      <c r="E18" s="97">
        <f t="shared" si="0"/>
        <v>-239658</v>
      </c>
      <c r="F18" s="98">
        <f t="shared" si="1"/>
        <v>-0.35468107148142669</v>
      </c>
    </row>
    <row r="19" spans="1:6" ht="18" customHeight="1" x14ac:dyDescent="0.25">
      <c r="A19" s="99">
        <v>6</v>
      </c>
      <c r="B19" s="100" t="s">
        <v>117</v>
      </c>
      <c r="C19" s="97">
        <v>3717046</v>
      </c>
      <c r="D19" s="97">
        <v>3982311</v>
      </c>
      <c r="E19" s="97">
        <f t="shared" si="0"/>
        <v>265265</v>
      </c>
      <c r="F19" s="98">
        <f t="shared" si="1"/>
        <v>7.1364465223190676E-2</v>
      </c>
    </row>
    <row r="20" spans="1:6" ht="18" customHeight="1" x14ac:dyDescent="0.25">
      <c r="A20" s="99">
        <v>7</v>
      </c>
      <c r="B20" s="100" t="s">
        <v>118</v>
      </c>
      <c r="C20" s="97">
        <v>14595779</v>
      </c>
      <c r="D20" s="97">
        <v>15169975</v>
      </c>
      <c r="E20" s="97">
        <f t="shared" si="0"/>
        <v>574196</v>
      </c>
      <c r="F20" s="98">
        <f t="shared" si="1"/>
        <v>3.9339866683374691E-2</v>
      </c>
    </row>
    <row r="21" spans="1:6" ht="18" customHeight="1" x14ac:dyDescent="0.25">
      <c r="A21" s="99">
        <v>8</v>
      </c>
      <c r="B21" s="100" t="s">
        <v>119</v>
      </c>
      <c r="C21" s="97">
        <v>737258</v>
      </c>
      <c r="D21" s="97">
        <v>1228802</v>
      </c>
      <c r="E21" s="97">
        <f t="shared" si="0"/>
        <v>491544</v>
      </c>
      <c r="F21" s="98">
        <f t="shared" si="1"/>
        <v>0.66671911325479005</v>
      </c>
    </row>
    <row r="22" spans="1:6" ht="18" customHeight="1" x14ac:dyDescent="0.25">
      <c r="A22" s="99">
        <v>9</v>
      </c>
      <c r="B22" s="100" t="s">
        <v>120</v>
      </c>
      <c r="C22" s="97">
        <v>1088411</v>
      </c>
      <c r="D22" s="97">
        <v>925266</v>
      </c>
      <c r="E22" s="97">
        <f t="shared" si="0"/>
        <v>-163145</v>
      </c>
      <c r="F22" s="98">
        <f t="shared" si="1"/>
        <v>-0.14989282541245907</v>
      </c>
    </row>
    <row r="23" spans="1:6" ht="18" customHeight="1" x14ac:dyDescent="0.25">
      <c r="A23" s="99">
        <v>10</v>
      </c>
      <c r="B23" s="100" t="s">
        <v>121</v>
      </c>
      <c r="C23" s="97">
        <v>2225993</v>
      </c>
      <c r="D23" s="97">
        <v>0</v>
      </c>
      <c r="E23" s="97">
        <f t="shared" si="0"/>
        <v>-2225993</v>
      </c>
      <c r="F23" s="98">
        <f t="shared" si="1"/>
        <v>-1</v>
      </c>
    </row>
    <row r="24" spans="1:6" ht="18" customHeight="1" x14ac:dyDescent="0.25">
      <c r="A24" s="99">
        <v>11</v>
      </c>
      <c r="B24" s="100" t="s">
        <v>122</v>
      </c>
      <c r="C24" s="97">
        <v>57995</v>
      </c>
      <c r="D24" s="97">
        <v>89344</v>
      </c>
      <c r="E24" s="97">
        <f t="shared" si="0"/>
        <v>31349</v>
      </c>
      <c r="F24" s="98">
        <f t="shared" si="1"/>
        <v>0.540546598844728</v>
      </c>
    </row>
    <row r="25" spans="1:6" ht="18" customHeight="1" x14ac:dyDescent="0.25">
      <c r="A25" s="101"/>
      <c r="B25" s="102" t="s">
        <v>123</v>
      </c>
      <c r="C25" s="103">
        <f>SUM(C14:C24)</f>
        <v>81079809</v>
      </c>
      <c r="D25" s="103">
        <f>SUM(D14:D24)</f>
        <v>87023589</v>
      </c>
      <c r="E25" s="103">
        <f t="shared" si="0"/>
        <v>5943780</v>
      </c>
      <c r="F25" s="104">
        <f t="shared" si="1"/>
        <v>7.3307770125605506E-2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31881562</v>
      </c>
      <c r="D27" s="97">
        <v>36239581</v>
      </c>
      <c r="E27" s="97">
        <f t="shared" ref="E27:E38" si="2">D27-C27</f>
        <v>4358019</v>
      </c>
      <c r="F27" s="98">
        <f t="shared" ref="F27:F38" si="3">IF(C27=0,0,E27/C27)</f>
        <v>0.13669402396281588</v>
      </c>
    </row>
    <row r="28" spans="1:6" ht="18" customHeight="1" x14ac:dyDescent="0.25">
      <c r="A28" s="99">
        <v>2</v>
      </c>
      <c r="B28" s="100" t="s">
        <v>113</v>
      </c>
      <c r="C28" s="97">
        <v>3360179</v>
      </c>
      <c r="D28" s="97">
        <v>4946482</v>
      </c>
      <c r="E28" s="97">
        <f t="shared" si="2"/>
        <v>1586303</v>
      </c>
      <c r="F28" s="98">
        <f t="shared" si="3"/>
        <v>0.47208883812439756</v>
      </c>
    </row>
    <row r="29" spans="1:6" ht="18" customHeight="1" x14ac:dyDescent="0.25">
      <c r="A29" s="99">
        <v>3</v>
      </c>
      <c r="B29" s="100" t="s">
        <v>114</v>
      </c>
      <c r="C29" s="97">
        <v>6626422</v>
      </c>
      <c r="D29" s="97">
        <v>12898556</v>
      </c>
      <c r="E29" s="97">
        <f t="shared" si="2"/>
        <v>6272134</v>
      </c>
      <c r="F29" s="98">
        <f t="shared" si="3"/>
        <v>0.94653404205165326</v>
      </c>
    </row>
    <row r="30" spans="1:6" ht="18" customHeight="1" x14ac:dyDescent="0.25">
      <c r="A30" s="99">
        <v>4</v>
      </c>
      <c r="B30" s="100" t="s">
        <v>115</v>
      </c>
      <c r="C30" s="97">
        <v>12072242</v>
      </c>
      <c r="D30" s="97">
        <v>13581110</v>
      </c>
      <c r="E30" s="97">
        <f t="shared" si="2"/>
        <v>1508868</v>
      </c>
      <c r="F30" s="98">
        <f t="shared" si="3"/>
        <v>0.12498656007724165</v>
      </c>
    </row>
    <row r="31" spans="1:6" ht="18" customHeight="1" x14ac:dyDescent="0.25">
      <c r="A31" s="99">
        <v>5</v>
      </c>
      <c r="B31" s="100" t="s">
        <v>116</v>
      </c>
      <c r="C31" s="97">
        <v>379494</v>
      </c>
      <c r="D31" s="97">
        <v>442575</v>
      </c>
      <c r="E31" s="97">
        <f t="shared" si="2"/>
        <v>63081</v>
      </c>
      <c r="F31" s="98">
        <f t="shared" si="3"/>
        <v>0.16622397192050467</v>
      </c>
    </row>
    <row r="32" spans="1:6" ht="18" customHeight="1" x14ac:dyDescent="0.25">
      <c r="A32" s="99">
        <v>6</v>
      </c>
      <c r="B32" s="100" t="s">
        <v>117</v>
      </c>
      <c r="C32" s="97">
        <v>7681535</v>
      </c>
      <c r="D32" s="97">
        <v>8645771</v>
      </c>
      <c r="E32" s="97">
        <f t="shared" si="2"/>
        <v>964236</v>
      </c>
      <c r="F32" s="98">
        <f t="shared" si="3"/>
        <v>0.12552647354988294</v>
      </c>
    </row>
    <row r="33" spans="1:6" ht="18" customHeight="1" x14ac:dyDescent="0.25">
      <c r="A33" s="99">
        <v>7</v>
      </c>
      <c r="B33" s="100" t="s">
        <v>118</v>
      </c>
      <c r="C33" s="97">
        <v>36529549</v>
      </c>
      <c r="D33" s="97">
        <v>39193145</v>
      </c>
      <c r="E33" s="97">
        <f t="shared" si="2"/>
        <v>2663596</v>
      </c>
      <c r="F33" s="98">
        <f t="shared" si="3"/>
        <v>7.2916202715779491E-2</v>
      </c>
    </row>
    <row r="34" spans="1:6" ht="18" customHeight="1" x14ac:dyDescent="0.25">
      <c r="A34" s="99">
        <v>8</v>
      </c>
      <c r="B34" s="100" t="s">
        <v>119</v>
      </c>
      <c r="C34" s="97">
        <v>912102</v>
      </c>
      <c r="D34" s="97">
        <v>1280390</v>
      </c>
      <c r="E34" s="97">
        <f t="shared" si="2"/>
        <v>368288</v>
      </c>
      <c r="F34" s="98">
        <f t="shared" si="3"/>
        <v>0.40377940186514227</v>
      </c>
    </row>
    <row r="35" spans="1:6" ht="18" customHeight="1" x14ac:dyDescent="0.25">
      <c r="A35" s="99">
        <v>9</v>
      </c>
      <c r="B35" s="100" t="s">
        <v>120</v>
      </c>
      <c r="C35" s="97">
        <v>3745209</v>
      </c>
      <c r="D35" s="97">
        <v>4234743</v>
      </c>
      <c r="E35" s="97">
        <f t="shared" si="2"/>
        <v>489534</v>
      </c>
      <c r="F35" s="98">
        <f t="shared" si="3"/>
        <v>0.13070939432218603</v>
      </c>
    </row>
    <row r="36" spans="1:6" ht="18" customHeight="1" x14ac:dyDescent="0.25">
      <c r="A36" s="99">
        <v>10</v>
      </c>
      <c r="B36" s="100" t="s">
        <v>121</v>
      </c>
      <c r="C36" s="97">
        <v>3849852</v>
      </c>
      <c r="D36" s="97">
        <v>0</v>
      </c>
      <c r="E36" s="97">
        <f t="shared" si="2"/>
        <v>-3849852</v>
      </c>
      <c r="F36" s="98">
        <f t="shared" si="3"/>
        <v>-1</v>
      </c>
    </row>
    <row r="37" spans="1:6" ht="18" customHeight="1" x14ac:dyDescent="0.25">
      <c r="A37" s="99">
        <v>11</v>
      </c>
      <c r="B37" s="100" t="s">
        <v>122</v>
      </c>
      <c r="C37" s="97">
        <v>104851</v>
      </c>
      <c r="D37" s="97">
        <v>143655</v>
      </c>
      <c r="E37" s="97">
        <f t="shared" si="2"/>
        <v>38804</v>
      </c>
      <c r="F37" s="98">
        <f t="shared" si="3"/>
        <v>0.37008707594586604</v>
      </c>
    </row>
    <row r="38" spans="1:6" ht="18" customHeight="1" x14ac:dyDescent="0.25">
      <c r="A38" s="101"/>
      <c r="B38" s="102" t="s">
        <v>126</v>
      </c>
      <c r="C38" s="103">
        <f>SUM(C27:C37)</f>
        <v>107142997</v>
      </c>
      <c r="D38" s="103">
        <f>SUM(D27:D37)</f>
        <v>121606008</v>
      </c>
      <c r="E38" s="103">
        <f t="shared" si="2"/>
        <v>14463011</v>
      </c>
      <c r="F38" s="104">
        <f t="shared" si="3"/>
        <v>0.13498792646242666</v>
      </c>
    </row>
    <row r="39" spans="1:6" ht="18" customHeight="1" x14ac:dyDescent="0.25">
      <c r="A39" s="664" t="s">
        <v>127</v>
      </c>
      <c r="B39" s="666" t="s">
        <v>128</v>
      </c>
      <c r="C39" s="668"/>
      <c r="D39" s="669"/>
      <c r="E39" s="669"/>
      <c r="F39" s="670"/>
    </row>
    <row r="40" spans="1:6" ht="18" customHeight="1" x14ac:dyDescent="0.25">
      <c r="A40" s="665"/>
      <c r="B40" s="667"/>
      <c r="C40" s="671"/>
      <c r="D40" s="672"/>
      <c r="E40" s="672"/>
      <c r="F40" s="673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77301406</v>
      </c>
      <c r="D41" s="103">
        <f t="shared" si="4"/>
        <v>85079243</v>
      </c>
      <c r="E41" s="107">
        <f t="shared" ref="E41:E52" si="5">D41-C41</f>
        <v>7777837</v>
      </c>
      <c r="F41" s="108">
        <f t="shared" ref="F41:F52" si="6">IF(C41=0,0,E41/C41)</f>
        <v>0.10061701853133176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6708593</v>
      </c>
      <c r="D42" s="103">
        <f t="shared" si="4"/>
        <v>9236643</v>
      </c>
      <c r="E42" s="107">
        <f t="shared" si="5"/>
        <v>2528050</v>
      </c>
      <c r="F42" s="108">
        <f t="shared" si="6"/>
        <v>0.37683758725562871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12538239</v>
      </c>
      <c r="D43" s="103">
        <f t="shared" si="4"/>
        <v>21780303</v>
      </c>
      <c r="E43" s="107">
        <f t="shared" si="5"/>
        <v>9242064</v>
      </c>
      <c r="F43" s="108">
        <f t="shared" si="6"/>
        <v>0.73711021141007127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15373794</v>
      </c>
      <c r="D44" s="103">
        <f t="shared" si="4"/>
        <v>16761389</v>
      </c>
      <c r="E44" s="107">
        <f t="shared" si="5"/>
        <v>1387595</v>
      </c>
      <c r="F44" s="108">
        <f t="shared" si="6"/>
        <v>9.025716098446486E-2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1055194</v>
      </c>
      <c r="D45" s="103">
        <f t="shared" si="4"/>
        <v>878617</v>
      </c>
      <c r="E45" s="107">
        <f t="shared" si="5"/>
        <v>-176577</v>
      </c>
      <c r="F45" s="108">
        <f t="shared" si="6"/>
        <v>-0.16734079230928151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11398581</v>
      </c>
      <c r="D46" s="103">
        <f t="shared" si="4"/>
        <v>12628082</v>
      </c>
      <c r="E46" s="107">
        <f t="shared" si="5"/>
        <v>1229501</v>
      </c>
      <c r="F46" s="108">
        <f t="shared" si="6"/>
        <v>0.1078643911904473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51125328</v>
      </c>
      <c r="D47" s="103">
        <f t="shared" si="4"/>
        <v>54363120</v>
      </c>
      <c r="E47" s="107">
        <f t="shared" si="5"/>
        <v>3237792</v>
      </c>
      <c r="F47" s="108">
        <f t="shared" si="6"/>
        <v>6.3330488559408357E-2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1649360</v>
      </c>
      <c r="D48" s="103">
        <f t="shared" si="4"/>
        <v>2509192</v>
      </c>
      <c r="E48" s="107">
        <f t="shared" si="5"/>
        <v>859832</v>
      </c>
      <c r="F48" s="108">
        <f t="shared" si="6"/>
        <v>0.5213125090944366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4833620</v>
      </c>
      <c r="D49" s="103">
        <f t="shared" si="4"/>
        <v>5160009</v>
      </c>
      <c r="E49" s="107">
        <f t="shared" si="5"/>
        <v>326389</v>
      </c>
      <c r="F49" s="108">
        <f t="shared" si="6"/>
        <v>6.7524753704263057E-2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6075845</v>
      </c>
      <c r="D50" s="103">
        <f t="shared" si="4"/>
        <v>0</v>
      </c>
      <c r="E50" s="107">
        <f t="shared" si="5"/>
        <v>-6075845</v>
      </c>
      <c r="F50" s="108">
        <f t="shared" si="6"/>
        <v>-1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162846</v>
      </c>
      <c r="D51" s="103">
        <f t="shared" si="4"/>
        <v>232999</v>
      </c>
      <c r="E51" s="107">
        <f t="shared" si="5"/>
        <v>70153</v>
      </c>
      <c r="F51" s="108">
        <f t="shared" si="6"/>
        <v>0.43079351043316999</v>
      </c>
    </row>
    <row r="52" spans="1:6" ht="18.75" customHeight="1" thickBot="1" x14ac:dyDescent="0.3">
      <c r="A52" s="109"/>
      <c r="B52" s="110" t="s">
        <v>128</v>
      </c>
      <c r="C52" s="111">
        <f>SUM(C41:C51)</f>
        <v>188222806</v>
      </c>
      <c r="D52" s="112">
        <f>SUM(D41:D51)</f>
        <v>208629597</v>
      </c>
      <c r="E52" s="111">
        <f t="shared" si="5"/>
        <v>20406791</v>
      </c>
      <c r="F52" s="113">
        <f t="shared" si="6"/>
        <v>0.10841826999433851</v>
      </c>
    </row>
    <row r="53" spans="1:6" ht="18" customHeight="1" x14ac:dyDescent="0.25">
      <c r="A53" s="664" t="s">
        <v>44</v>
      </c>
      <c r="B53" s="666" t="s">
        <v>129</v>
      </c>
      <c r="C53" s="668"/>
      <c r="D53" s="669"/>
      <c r="E53" s="669"/>
      <c r="F53" s="670"/>
    </row>
    <row r="54" spans="1:6" ht="18" customHeight="1" x14ac:dyDescent="0.25">
      <c r="A54" s="665"/>
      <c r="B54" s="667"/>
      <c r="C54" s="671"/>
      <c r="D54" s="672"/>
      <c r="E54" s="672"/>
      <c r="F54" s="673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30668996</v>
      </c>
      <c r="D57" s="97">
        <v>31119247</v>
      </c>
      <c r="E57" s="97">
        <f t="shared" ref="E57:E68" si="7">D57-C57</f>
        <v>450251</v>
      </c>
      <c r="F57" s="98">
        <f t="shared" ref="F57:F68" si="8">IF(C57=0,0,E57/C57)</f>
        <v>1.4680982709704615E-2</v>
      </c>
    </row>
    <row r="58" spans="1:6" ht="18" customHeight="1" x14ac:dyDescent="0.25">
      <c r="A58" s="99">
        <v>2</v>
      </c>
      <c r="B58" s="100" t="s">
        <v>113</v>
      </c>
      <c r="C58" s="97">
        <v>2334584</v>
      </c>
      <c r="D58" s="97">
        <v>2569846</v>
      </c>
      <c r="E58" s="97">
        <f t="shared" si="7"/>
        <v>235262</v>
      </c>
      <c r="F58" s="98">
        <f t="shared" si="8"/>
        <v>0.10077255733783835</v>
      </c>
    </row>
    <row r="59" spans="1:6" ht="18" customHeight="1" x14ac:dyDescent="0.25">
      <c r="A59" s="99">
        <v>3</v>
      </c>
      <c r="B59" s="100" t="s">
        <v>114</v>
      </c>
      <c r="C59" s="97">
        <v>2742534</v>
      </c>
      <c r="D59" s="97">
        <v>4108851</v>
      </c>
      <c r="E59" s="97">
        <f t="shared" si="7"/>
        <v>1366317</v>
      </c>
      <c r="F59" s="98">
        <f t="shared" si="8"/>
        <v>0.49819509986020227</v>
      </c>
    </row>
    <row r="60" spans="1:6" ht="18" customHeight="1" x14ac:dyDescent="0.25">
      <c r="A60" s="99">
        <v>4</v>
      </c>
      <c r="B60" s="100" t="s">
        <v>115</v>
      </c>
      <c r="C60" s="97">
        <v>1641365</v>
      </c>
      <c r="D60" s="97">
        <v>1441841</v>
      </c>
      <c r="E60" s="97">
        <f t="shared" si="7"/>
        <v>-199524</v>
      </c>
      <c r="F60" s="98">
        <f t="shared" si="8"/>
        <v>-0.12155979931337636</v>
      </c>
    </row>
    <row r="61" spans="1:6" ht="18" customHeight="1" x14ac:dyDescent="0.25">
      <c r="A61" s="99">
        <v>5</v>
      </c>
      <c r="B61" s="100" t="s">
        <v>116</v>
      </c>
      <c r="C61" s="97">
        <v>274836</v>
      </c>
      <c r="D61" s="97">
        <v>257522</v>
      </c>
      <c r="E61" s="97">
        <f t="shared" si="7"/>
        <v>-17314</v>
      </c>
      <c r="F61" s="98">
        <f t="shared" si="8"/>
        <v>-6.2997569459604996E-2</v>
      </c>
    </row>
    <row r="62" spans="1:6" ht="18" customHeight="1" x14ac:dyDescent="0.25">
      <c r="A62" s="99">
        <v>6</v>
      </c>
      <c r="B62" s="100" t="s">
        <v>117</v>
      </c>
      <c r="C62" s="97">
        <v>2675291</v>
      </c>
      <c r="D62" s="97">
        <v>2623571</v>
      </c>
      <c r="E62" s="97">
        <f t="shared" si="7"/>
        <v>-51720</v>
      </c>
      <c r="F62" s="98">
        <f t="shared" si="8"/>
        <v>-1.933247635490868E-2</v>
      </c>
    </row>
    <row r="63" spans="1:6" ht="18" customHeight="1" x14ac:dyDescent="0.25">
      <c r="A63" s="99">
        <v>7</v>
      </c>
      <c r="B63" s="100" t="s">
        <v>118</v>
      </c>
      <c r="C63" s="97">
        <v>10338860</v>
      </c>
      <c r="D63" s="97">
        <v>11158767</v>
      </c>
      <c r="E63" s="97">
        <f t="shared" si="7"/>
        <v>819907</v>
      </c>
      <c r="F63" s="98">
        <f t="shared" si="8"/>
        <v>7.9303424168622072E-2</v>
      </c>
    </row>
    <row r="64" spans="1:6" ht="18" customHeight="1" x14ac:dyDescent="0.25">
      <c r="A64" s="99">
        <v>8</v>
      </c>
      <c r="B64" s="100" t="s">
        <v>119</v>
      </c>
      <c r="C64" s="97">
        <v>519225</v>
      </c>
      <c r="D64" s="97">
        <v>914836</v>
      </c>
      <c r="E64" s="97">
        <f t="shared" si="7"/>
        <v>395611</v>
      </c>
      <c r="F64" s="98">
        <f t="shared" si="8"/>
        <v>0.76192594732534069</v>
      </c>
    </row>
    <row r="65" spans="1:6" ht="18" customHeight="1" x14ac:dyDescent="0.25">
      <c r="A65" s="99">
        <v>9</v>
      </c>
      <c r="B65" s="100" t="s">
        <v>120</v>
      </c>
      <c r="C65" s="97">
        <v>275446</v>
      </c>
      <c r="D65" s="97">
        <v>263226</v>
      </c>
      <c r="E65" s="97">
        <f t="shared" si="7"/>
        <v>-12220</v>
      </c>
      <c r="F65" s="98">
        <f t="shared" si="8"/>
        <v>-4.4364412625342173E-2</v>
      </c>
    </row>
    <row r="66" spans="1:6" ht="18" customHeight="1" x14ac:dyDescent="0.25">
      <c r="A66" s="99">
        <v>10</v>
      </c>
      <c r="B66" s="100" t="s">
        <v>121</v>
      </c>
      <c r="C66" s="97">
        <v>964399</v>
      </c>
      <c r="D66" s="97">
        <v>0</v>
      </c>
      <c r="E66" s="97">
        <f t="shared" si="7"/>
        <v>-964399</v>
      </c>
      <c r="F66" s="98">
        <f t="shared" si="8"/>
        <v>-1</v>
      </c>
    </row>
    <row r="67" spans="1:6" ht="18" customHeight="1" x14ac:dyDescent="0.25">
      <c r="A67" s="99">
        <v>11</v>
      </c>
      <c r="B67" s="100" t="s">
        <v>122</v>
      </c>
      <c r="C67" s="97">
        <v>36376</v>
      </c>
      <c r="D67" s="97">
        <v>33957</v>
      </c>
      <c r="E67" s="97">
        <f t="shared" si="7"/>
        <v>-2419</v>
      </c>
      <c r="F67" s="98">
        <f t="shared" si="8"/>
        <v>-6.6499890037387294E-2</v>
      </c>
    </row>
    <row r="68" spans="1:6" ht="18" customHeight="1" x14ac:dyDescent="0.25">
      <c r="A68" s="101"/>
      <c r="B68" s="102" t="s">
        <v>131</v>
      </c>
      <c r="C68" s="103">
        <f>SUM(C57:C67)</f>
        <v>52471912</v>
      </c>
      <c r="D68" s="103">
        <f>SUM(D57:D67)</f>
        <v>54491664</v>
      </c>
      <c r="E68" s="103">
        <f t="shared" si="7"/>
        <v>2019752</v>
      </c>
      <c r="F68" s="104">
        <f t="shared" si="8"/>
        <v>3.8492060285510464E-2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13963141</v>
      </c>
      <c r="D70" s="97">
        <v>15254901</v>
      </c>
      <c r="E70" s="97">
        <f t="shared" ref="E70:E81" si="9">D70-C70</f>
        <v>1291760</v>
      </c>
      <c r="F70" s="98">
        <f t="shared" ref="F70:F81" si="10">IF(C70=0,0,E70/C70)</f>
        <v>9.2512136058785055E-2</v>
      </c>
    </row>
    <row r="71" spans="1:6" ht="18" customHeight="1" x14ac:dyDescent="0.25">
      <c r="A71" s="99">
        <v>2</v>
      </c>
      <c r="B71" s="100" t="s">
        <v>113</v>
      </c>
      <c r="C71" s="97">
        <v>1463408</v>
      </c>
      <c r="D71" s="97">
        <v>1798119</v>
      </c>
      <c r="E71" s="97">
        <f t="shared" si="9"/>
        <v>334711</v>
      </c>
      <c r="F71" s="98">
        <f t="shared" si="10"/>
        <v>0.22872022019833158</v>
      </c>
    </row>
    <row r="72" spans="1:6" ht="18" customHeight="1" x14ac:dyDescent="0.25">
      <c r="A72" s="99">
        <v>3</v>
      </c>
      <c r="B72" s="100" t="s">
        <v>114</v>
      </c>
      <c r="C72" s="97">
        <v>1737966</v>
      </c>
      <c r="D72" s="97">
        <v>4062060</v>
      </c>
      <c r="E72" s="97">
        <f t="shared" si="9"/>
        <v>2324094</v>
      </c>
      <c r="F72" s="98">
        <f t="shared" si="10"/>
        <v>1.3372494053393449</v>
      </c>
    </row>
    <row r="73" spans="1:6" ht="18" customHeight="1" x14ac:dyDescent="0.25">
      <c r="A73" s="99">
        <v>4</v>
      </c>
      <c r="B73" s="100" t="s">
        <v>115</v>
      </c>
      <c r="C73" s="97">
        <v>4939087</v>
      </c>
      <c r="D73" s="97">
        <v>5239897</v>
      </c>
      <c r="E73" s="97">
        <f t="shared" si="9"/>
        <v>300810</v>
      </c>
      <c r="F73" s="98">
        <f t="shared" si="10"/>
        <v>6.0903968688950004E-2</v>
      </c>
    </row>
    <row r="74" spans="1:6" ht="18" customHeight="1" x14ac:dyDescent="0.25">
      <c r="A74" s="99">
        <v>5</v>
      </c>
      <c r="B74" s="100" t="s">
        <v>116</v>
      </c>
      <c r="C74" s="97">
        <v>156734</v>
      </c>
      <c r="D74" s="97">
        <v>201704</v>
      </c>
      <c r="E74" s="97">
        <f t="shared" si="9"/>
        <v>44970</v>
      </c>
      <c r="F74" s="98">
        <f t="shared" si="10"/>
        <v>0.28691923896538085</v>
      </c>
    </row>
    <row r="75" spans="1:6" ht="18" customHeight="1" x14ac:dyDescent="0.25">
      <c r="A75" s="99">
        <v>6</v>
      </c>
      <c r="B75" s="100" t="s">
        <v>117</v>
      </c>
      <c r="C75" s="97">
        <v>4479400</v>
      </c>
      <c r="D75" s="97">
        <v>4647900</v>
      </c>
      <c r="E75" s="97">
        <f t="shared" si="9"/>
        <v>168500</v>
      </c>
      <c r="F75" s="98">
        <f t="shared" si="10"/>
        <v>3.7616645086395499E-2</v>
      </c>
    </row>
    <row r="76" spans="1:6" ht="18" customHeight="1" x14ac:dyDescent="0.25">
      <c r="A76" s="99">
        <v>7</v>
      </c>
      <c r="B76" s="100" t="s">
        <v>118</v>
      </c>
      <c r="C76" s="97">
        <v>18554226</v>
      </c>
      <c r="D76" s="97">
        <v>19377606</v>
      </c>
      <c r="E76" s="97">
        <f t="shared" si="9"/>
        <v>823380</v>
      </c>
      <c r="F76" s="98">
        <f t="shared" si="10"/>
        <v>4.4376952183292365E-2</v>
      </c>
    </row>
    <row r="77" spans="1:6" ht="18" customHeight="1" x14ac:dyDescent="0.25">
      <c r="A77" s="99">
        <v>8</v>
      </c>
      <c r="B77" s="100" t="s">
        <v>119</v>
      </c>
      <c r="C77" s="97">
        <v>679714</v>
      </c>
      <c r="D77" s="97">
        <v>963221</v>
      </c>
      <c r="E77" s="97">
        <f t="shared" si="9"/>
        <v>283507</v>
      </c>
      <c r="F77" s="98">
        <f t="shared" si="10"/>
        <v>0.41709748511874112</v>
      </c>
    </row>
    <row r="78" spans="1:6" ht="18" customHeight="1" x14ac:dyDescent="0.25">
      <c r="A78" s="99">
        <v>9</v>
      </c>
      <c r="B78" s="100" t="s">
        <v>120</v>
      </c>
      <c r="C78" s="97">
        <v>947806</v>
      </c>
      <c r="D78" s="97">
        <v>1204728</v>
      </c>
      <c r="E78" s="97">
        <f t="shared" si="9"/>
        <v>256922</v>
      </c>
      <c r="F78" s="98">
        <f t="shared" si="10"/>
        <v>0.27107024011242808</v>
      </c>
    </row>
    <row r="79" spans="1:6" ht="18" customHeight="1" x14ac:dyDescent="0.25">
      <c r="A79" s="99">
        <v>10</v>
      </c>
      <c r="B79" s="100" t="s">
        <v>121</v>
      </c>
      <c r="C79" s="97">
        <v>1122908</v>
      </c>
      <c r="D79" s="97">
        <v>0</v>
      </c>
      <c r="E79" s="97">
        <f t="shared" si="9"/>
        <v>-1122908</v>
      </c>
      <c r="F79" s="98">
        <f t="shared" si="10"/>
        <v>-1</v>
      </c>
    </row>
    <row r="80" spans="1:6" ht="18" customHeight="1" x14ac:dyDescent="0.25">
      <c r="A80" s="99">
        <v>11</v>
      </c>
      <c r="B80" s="100" t="s">
        <v>122</v>
      </c>
      <c r="C80" s="97">
        <v>32283</v>
      </c>
      <c r="D80" s="97">
        <v>33912</v>
      </c>
      <c r="E80" s="97">
        <f t="shared" si="9"/>
        <v>1629</v>
      </c>
      <c r="F80" s="98">
        <f t="shared" si="10"/>
        <v>5.0459994424310012E-2</v>
      </c>
    </row>
    <row r="81" spans="1:6" ht="18" customHeight="1" x14ac:dyDescent="0.25">
      <c r="A81" s="101"/>
      <c r="B81" s="102" t="s">
        <v>133</v>
      </c>
      <c r="C81" s="103">
        <f>SUM(C70:C80)</f>
        <v>48076673</v>
      </c>
      <c r="D81" s="103">
        <f>SUM(D70:D80)</f>
        <v>52784048</v>
      </c>
      <c r="E81" s="103">
        <f t="shared" si="9"/>
        <v>4707375</v>
      </c>
      <c r="F81" s="104">
        <f t="shared" si="10"/>
        <v>9.791390930899066E-2</v>
      </c>
    </row>
    <row r="82" spans="1:6" ht="18" customHeight="1" x14ac:dyDescent="0.25">
      <c r="A82" s="664" t="s">
        <v>127</v>
      </c>
      <c r="B82" s="666" t="s">
        <v>134</v>
      </c>
      <c r="C82" s="668"/>
      <c r="D82" s="669"/>
      <c r="E82" s="669"/>
      <c r="F82" s="670"/>
    </row>
    <row r="83" spans="1:6" ht="18" customHeight="1" x14ac:dyDescent="0.25">
      <c r="A83" s="665"/>
      <c r="B83" s="667"/>
      <c r="C83" s="671"/>
      <c r="D83" s="672"/>
      <c r="E83" s="672"/>
      <c r="F83" s="673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44632137</v>
      </c>
      <c r="D84" s="103">
        <f t="shared" si="11"/>
        <v>46374148</v>
      </c>
      <c r="E84" s="103">
        <f t="shared" ref="E84:E95" si="12">D84-C84</f>
        <v>1742011</v>
      </c>
      <c r="F84" s="104">
        <f t="shared" ref="F84:F95" si="13">IF(C84=0,0,E84/C84)</f>
        <v>3.9030418821308061E-2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3797992</v>
      </c>
      <c r="D85" s="103">
        <f t="shared" si="11"/>
        <v>4367965</v>
      </c>
      <c r="E85" s="103">
        <f t="shared" si="12"/>
        <v>569973</v>
      </c>
      <c r="F85" s="104">
        <f t="shared" si="13"/>
        <v>0.15007219604464675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4480500</v>
      </c>
      <c r="D86" s="103">
        <f t="shared" si="11"/>
        <v>8170911</v>
      </c>
      <c r="E86" s="103">
        <f t="shared" si="12"/>
        <v>3690411</v>
      </c>
      <c r="F86" s="104">
        <f t="shared" si="13"/>
        <v>0.82366052895882158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6580452</v>
      </c>
      <c r="D87" s="103">
        <f t="shared" si="11"/>
        <v>6681738</v>
      </c>
      <c r="E87" s="103">
        <f t="shared" si="12"/>
        <v>101286</v>
      </c>
      <c r="F87" s="104">
        <f t="shared" si="13"/>
        <v>1.539195179905575E-2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431570</v>
      </c>
      <c r="D88" s="103">
        <f t="shared" si="11"/>
        <v>459226</v>
      </c>
      <c r="E88" s="103">
        <f t="shared" si="12"/>
        <v>27656</v>
      </c>
      <c r="F88" s="104">
        <f t="shared" si="13"/>
        <v>6.4082304145329838E-2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7154691</v>
      </c>
      <c r="D89" s="103">
        <f t="shared" si="11"/>
        <v>7271471</v>
      </c>
      <c r="E89" s="103">
        <f t="shared" si="12"/>
        <v>116780</v>
      </c>
      <c r="F89" s="104">
        <f t="shared" si="13"/>
        <v>1.6322158427247241E-2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28893086</v>
      </c>
      <c r="D90" s="103">
        <f t="shared" si="11"/>
        <v>30536373</v>
      </c>
      <c r="E90" s="103">
        <f t="shared" si="12"/>
        <v>1643287</v>
      </c>
      <c r="F90" s="104">
        <f t="shared" si="13"/>
        <v>5.6874748512498803E-2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1198939</v>
      </c>
      <c r="D91" s="103">
        <f t="shared" si="11"/>
        <v>1878057</v>
      </c>
      <c r="E91" s="103">
        <f t="shared" si="12"/>
        <v>679118</v>
      </c>
      <c r="F91" s="104">
        <f t="shared" si="13"/>
        <v>0.56643248739093477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1223252</v>
      </c>
      <c r="D92" s="103">
        <f t="shared" si="11"/>
        <v>1467954</v>
      </c>
      <c r="E92" s="103">
        <f t="shared" si="12"/>
        <v>244702</v>
      </c>
      <c r="F92" s="104">
        <f t="shared" si="13"/>
        <v>0.20004218264102572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2087307</v>
      </c>
      <c r="D93" s="103">
        <f t="shared" si="11"/>
        <v>0</v>
      </c>
      <c r="E93" s="103">
        <f t="shared" si="12"/>
        <v>-2087307</v>
      </c>
      <c r="F93" s="104">
        <f t="shared" si="13"/>
        <v>-1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68659</v>
      </c>
      <c r="D94" s="103">
        <f t="shared" si="11"/>
        <v>67869</v>
      </c>
      <c r="E94" s="103">
        <f t="shared" si="12"/>
        <v>-790</v>
      </c>
      <c r="F94" s="104">
        <f t="shared" si="13"/>
        <v>-1.1506139034940794E-2</v>
      </c>
    </row>
    <row r="95" spans="1:6" ht="18.75" customHeight="1" thickBot="1" x14ac:dyDescent="0.3">
      <c r="A95" s="115"/>
      <c r="B95" s="116" t="s">
        <v>134</v>
      </c>
      <c r="C95" s="112">
        <f>SUM(C84:C94)</f>
        <v>100548585</v>
      </c>
      <c r="D95" s="112">
        <f>SUM(D84:D94)</f>
        <v>107275712</v>
      </c>
      <c r="E95" s="112">
        <f t="shared" si="12"/>
        <v>6727127</v>
      </c>
      <c r="F95" s="113">
        <f t="shared" si="13"/>
        <v>6.6904243356582294E-2</v>
      </c>
    </row>
    <row r="96" spans="1:6" ht="18" customHeight="1" x14ac:dyDescent="0.25">
      <c r="A96" s="664" t="s">
        <v>135</v>
      </c>
      <c r="B96" s="666" t="s">
        <v>136</v>
      </c>
      <c r="C96" s="668"/>
      <c r="D96" s="669"/>
      <c r="E96" s="669"/>
      <c r="F96" s="670"/>
    </row>
    <row r="97" spans="1:6" ht="18" customHeight="1" x14ac:dyDescent="0.25">
      <c r="A97" s="665"/>
      <c r="B97" s="667"/>
      <c r="C97" s="671"/>
      <c r="D97" s="672"/>
      <c r="E97" s="672"/>
      <c r="F97" s="673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3140</v>
      </c>
      <c r="D100" s="117">
        <v>3235</v>
      </c>
      <c r="E100" s="117">
        <f t="shared" ref="E100:E111" si="14">D100-C100</f>
        <v>95</v>
      </c>
      <c r="F100" s="98">
        <f t="shared" ref="F100:F111" si="15">IF(C100=0,0,E100/C100)</f>
        <v>3.0254777070063694E-2</v>
      </c>
    </row>
    <row r="101" spans="1:6" ht="18" customHeight="1" x14ac:dyDescent="0.25">
      <c r="A101" s="99">
        <v>2</v>
      </c>
      <c r="B101" s="100" t="s">
        <v>113</v>
      </c>
      <c r="C101" s="117">
        <v>231</v>
      </c>
      <c r="D101" s="117">
        <v>297</v>
      </c>
      <c r="E101" s="117">
        <f t="shared" si="14"/>
        <v>66</v>
      </c>
      <c r="F101" s="98">
        <f t="shared" si="15"/>
        <v>0.2857142857142857</v>
      </c>
    </row>
    <row r="102" spans="1:6" ht="18" customHeight="1" x14ac:dyDescent="0.25">
      <c r="A102" s="99">
        <v>3</v>
      </c>
      <c r="B102" s="100" t="s">
        <v>114</v>
      </c>
      <c r="C102" s="117">
        <v>371</v>
      </c>
      <c r="D102" s="117">
        <v>726</v>
      </c>
      <c r="E102" s="117">
        <f t="shared" si="14"/>
        <v>355</v>
      </c>
      <c r="F102" s="98">
        <f t="shared" si="15"/>
        <v>0.95687331536388143</v>
      </c>
    </row>
    <row r="103" spans="1:6" ht="18" customHeight="1" x14ac:dyDescent="0.25">
      <c r="A103" s="99">
        <v>4</v>
      </c>
      <c r="B103" s="100" t="s">
        <v>115</v>
      </c>
      <c r="C103" s="117">
        <v>564</v>
      </c>
      <c r="D103" s="117">
        <v>466</v>
      </c>
      <c r="E103" s="117">
        <f t="shared" si="14"/>
        <v>-98</v>
      </c>
      <c r="F103" s="98">
        <f t="shared" si="15"/>
        <v>-0.17375886524822695</v>
      </c>
    </row>
    <row r="104" spans="1:6" ht="18" customHeight="1" x14ac:dyDescent="0.25">
      <c r="A104" s="99">
        <v>5</v>
      </c>
      <c r="B104" s="100" t="s">
        <v>116</v>
      </c>
      <c r="C104" s="117">
        <v>34</v>
      </c>
      <c r="D104" s="117">
        <v>33</v>
      </c>
      <c r="E104" s="117">
        <f t="shared" si="14"/>
        <v>-1</v>
      </c>
      <c r="F104" s="98">
        <f t="shared" si="15"/>
        <v>-2.9411764705882353E-2</v>
      </c>
    </row>
    <row r="105" spans="1:6" ht="18" customHeight="1" x14ac:dyDescent="0.25">
      <c r="A105" s="99">
        <v>6</v>
      </c>
      <c r="B105" s="100" t="s">
        <v>117</v>
      </c>
      <c r="C105" s="117">
        <v>345</v>
      </c>
      <c r="D105" s="117">
        <v>330</v>
      </c>
      <c r="E105" s="117">
        <f t="shared" si="14"/>
        <v>-15</v>
      </c>
      <c r="F105" s="98">
        <f t="shared" si="15"/>
        <v>-4.3478260869565216E-2</v>
      </c>
    </row>
    <row r="106" spans="1:6" ht="18" customHeight="1" x14ac:dyDescent="0.25">
      <c r="A106" s="99">
        <v>7</v>
      </c>
      <c r="B106" s="100" t="s">
        <v>118</v>
      </c>
      <c r="C106" s="117">
        <v>1376</v>
      </c>
      <c r="D106" s="117">
        <v>1283</v>
      </c>
      <c r="E106" s="117">
        <f t="shared" si="14"/>
        <v>-93</v>
      </c>
      <c r="F106" s="98">
        <f t="shared" si="15"/>
        <v>-6.7587209302325577E-2</v>
      </c>
    </row>
    <row r="107" spans="1:6" ht="18" customHeight="1" x14ac:dyDescent="0.25">
      <c r="A107" s="99">
        <v>8</v>
      </c>
      <c r="B107" s="100" t="s">
        <v>119</v>
      </c>
      <c r="C107" s="117">
        <v>24</v>
      </c>
      <c r="D107" s="117">
        <v>44</v>
      </c>
      <c r="E107" s="117">
        <f t="shared" si="14"/>
        <v>20</v>
      </c>
      <c r="F107" s="98">
        <f t="shared" si="15"/>
        <v>0.83333333333333337</v>
      </c>
    </row>
    <row r="108" spans="1:6" ht="18" customHeight="1" x14ac:dyDescent="0.25">
      <c r="A108" s="99">
        <v>9</v>
      </c>
      <c r="B108" s="100" t="s">
        <v>120</v>
      </c>
      <c r="C108" s="117">
        <v>155</v>
      </c>
      <c r="D108" s="117">
        <v>90</v>
      </c>
      <c r="E108" s="117">
        <f t="shared" si="14"/>
        <v>-65</v>
      </c>
      <c r="F108" s="98">
        <f t="shared" si="15"/>
        <v>-0.41935483870967744</v>
      </c>
    </row>
    <row r="109" spans="1:6" ht="18" customHeight="1" x14ac:dyDescent="0.25">
      <c r="A109" s="99">
        <v>10</v>
      </c>
      <c r="B109" s="100" t="s">
        <v>121</v>
      </c>
      <c r="C109" s="117">
        <v>196</v>
      </c>
      <c r="D109" s="117">
        <v>0</v>
      </c>
      <c r="E109" s="117">
        <f t="shared" si="14"/>
        <v>-196</v>
      </c>
      <c r="F109" s="98">
        <f t="shared" si="15"/>
        <v>-1</v>
      </c>
    </row>
    <row r="110" spans="1:6" ht="18" customHeight="1" x14ac:dyDescent="0.25">
      <c r="A110" s="99">
        <v>11</v>
      </c>
      <c r="B110" s="100" t="s">
        <v>122</v>
      </c>
      <c r="C110" s="117">
        <v>2</v>
      </c>
      <c r="D110" s="117">
        <v>8</v>
      </c>
      <c r="E110" s="117">
        <f t="shared" si="14"/>
        <v>6</v>
      </c>
      <c r="F110" s="98">
        <f t="shared" si="15"/>
        <v>3</v>
      </c>
    </row>
    <row r="111" spans="1:6" ht="18" customHeight="1" x14ac:dyDescent="0.25">
      <c r="A111" s="101"/>
      <c r="B111" s="102" t="s">
        <v>138</v>
      </c>
      <c r="C111" s="118">
        <f>SUM(C100:C110)</f>
        <v>6438</v>
      </c>
      <c r="D111" s="118">
        <f>SUM(D100:D110)</f>
        <v>6512</v>
      </c>
      <c r="E111" s="118">
        <f t="shared" si="14"/>
        <v>74</v>
      </c>
      <c r="F111" s="104">
        <f t="shared" si="15"/>
        <v>1.1494252873563218E-2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15245</v>
      </c>
      <c r="D113" s="117">
        <v>15477</v>
      </c>
      <c r="E113" s="117">
        <f t="shared" ref="E113:E124" si="16">D113-C113</f>
        <v>232</v>
      </c>
      <c r="F113" s="98">
        <f t="shared" ref="F113:F124" si="17">IF(C113=0,0,E113/C113)</f>
        <v>1.5218104296490653E-2</v>
      </c>
    </row>
    <row r="114" spans="1:6" ht="18" customHeight="1" x14ac:dyDescent="0.25">
      <c r="A114" s="99">
        <v>2</v>
      </c>
      <c r="B114" s="100" t="s">
        <v>113</v>
      </c>
      <c r="C114" s="117">
        <v>1005</v>
      </c>
      <c r="D114" s="117">
        <v>1243</v>
      </c>
      <c r="E114" s="117">
        <f t="shared" si="16"/>
        <v>238</v>
      </c>
      <c r="F114" s="98">
        <f t="shared" si="17"/>
        <v>0.23681592039800994</v>
      </c>
    </row>
    <row r="115" spans="1:6" ht="18" customHeight="1" x14ac:dyDescent="0.25">
      <c r="A115" s="99">
        <v>3</v>
      </c>
      <c r="B115" s="100" t="s">
        <v>114</v>
      </c>
      <c r="C115" s="117">
        <v>2377</v>
      </c>
      <c r="D115" s="117">
        <v>3554</v>
      </c>
      <c r="E115" s="117">
        <f t="shared" si="16"/>
        <v>1177</v>
      </c>
      <c r="F115" s="98">
        <f t="shared" si="17"/>
        <v>0.49516196886832142</v>
      </c>
    </row>
    <row r="116" spans="1:6" ht="18" customHeight="1" x14ac:dyDescent="0.25">
      <c r="A116" s="99">
        <v>4</v>
      </c>
      <c r="B116" s="100" t="s">
        <v>115</v>
      </c>
      <c r="C116" s="117">
        <v>1619</v>
      </c>
      <c r="D116" s="117">
        <v>1179</v>
      </c>
      <c r="E116" s="117">
        <f t="shared" si="16"/>
        <v>-440</v>
      </c>
      <c r="F116" s="98">
        <f t="shared" si="17"/>
        <v>-0.27177269919703523</v>
      </c>
    </row>
    <row r="117" spans="1:6" ht="18" customHeight="1" x14ac:dyDescent="0.25">
      <c r="A117" s="99">
        <v>5</v>
      </c>
      <c r="B117" s="100" t="s">
        <v>116</v>
      </c>
      <c r="C117" s="117">
        <v>213</v>
      </c>
      <c r="D117" s="117">
        <v>112</v>
      </c>
      <c r="E117" s="117">
        <f t="shared" si="16"/>
        <v>-101</v>
      </c>
      <c r="F117" s="98">
        <f t="shared" si="17"/>
        <v>-0.47417840375586856</v>
      </c>
    </row>
    <row r="118" spans="1:6" ht="18" customHeight="1" x14ac:dyDescent="0.25">
      <c r="A118" s="99">
        <v>6</v>
      </c>
      <c r="B118" s="100" t="s">
        <v>117</v>
      </c>
      <c r="C118" s="117">
        <v>1284</v>
      </c>
      <c r="D118" s="117">
        <v>1208</v>
      </c>
      <c r="E118" s="117">
        <f t="shared" si="16"/>
        <v>-76</v>
      </c>
      <c r="F118" s="98">
        <f t="shared" si="17"/>
        <v>-5.9190031152647975E-2</v>
      </c>
    </row>
    <row r="119" spans="1:6" ht="18" customHeight="1" x14ac:dyDescent="0.25">
      <c r="A119" s="99">
        <v>7</v>
      </c>
      <c r="B119" s="100" t="s">
        <v>118</v>
      </c>
      <c r="C119" s="117">
        <v>4400</v>
      </c>
      <c r="D119" s="117">
        <v>4148</v>
      </c>
      <c r="E119" s="117">
        <f t="shared" si="16"/>
        <v>-252</v>
      </c>
      <c r="F119" s="98">
        <f t="shared" si="17"/>
        <v>-5.7272727272727274E-2</v>
      </c>
    </row>
    <row r="120" spans="1:6" ht="18" customHeight="1" x14ac:dyDescent="0.25">
      <c r="A120" s="99">
        <v>8</v>
      </c>
      <c r="B120" s="100" t="s">
        <v>119</v>
      </c>
      <c r="C120" s="117">
        <v>46</v>
      </c>
      <c r="D120" s="117">
        <v>128</v>
      </c>
      <c r="E120" s="117">
        <f t="shared" si="16"/>
        <v>82</v>
      </c>
      <c r="F120" s="98">
        <f t="shared" si="17"/>
        <v>1.7826086956521738</v>
      </c>
    </row>
    <row r="121" spans="1:6" ht="18" customHeight="1" x14ac:dyDescent="0.25">
      <c r="A121" s="99">
        <v>9</v>
      </c>
      <c r="B121" s="100" t="s">
        <v>120</v>
      </c>
      <c r="C121" s="117">
        <v>729</v>
      </c>
      <c r="D121" s="117">
        <v>352</v>
      </c>
      <c r="E121" s="117">
        <f t="shared" si="16"/>
        <v>-377</v>
      </c>
      <c r="F121" s="98">
        <f t="shared" si="17"/>
        <v>-0.51714677640603568</v>
      </c>
    </row>
    <row r="122" spans="1:6" ht="18" customHeight="1" x14ac:dyDescent="0.25">
      <c r="A122" s="99">
        <v>10</v>
      </c>
      <c r="B122" s="100" t="s">
        <v>121</v>
      </c>
      <c r="C122" s="117">
        <v>1040</v>
      </c>
      <c r="D122" s="117">
        <v>0</v>
      </c>
      <c r="E122" s="117">
        <f t="shared" si="16"/>
        <v>-1040</v>
      </c>
      <c r="F122" s="98">
        <f t="shared" si="17"/>
        <v>-1</v>
      </c>
    </row>
    <row r="123" spans="1:6" ht="18" customHeight="1" x14ac:dyDescent="0.25">
      <c r="A123" s="99">
        <v>11</v>
      </c>
      <c r="B123" s="100" t="s">
        <v>122</v>
      </c>
      <c r="C123" s="117">
        <v>21</v>
      </c>
      <c r="D123" s="117">
        <v>24</v>
      </c>
      <c r="E123" s="117">
        <f t="shared" si="16"/>
        <v>3</v>
      </c>
      <c r="F123" s="98">
        <f t="shared" si="17"/>
        <v>0.14285714285714285</v>
      </c>
    </row>
    <row r="124" spans="1:6" ht="18" customHeight="1" x14ac:dyDescent="0.25">
      <c r="A124" s="101"/>
      <c r="B124" s="102" t="s">
        <v>140</v>
      </c>
      <c r="C124" s="118">
        <f>SUM(C113:C123)</f>
        <v>27979</v>
      </c>
      <c r="D124" s="118">
        <f>SUM(D113:D123)</f>
        <v>27425</v>
      </c>
      <c r="E124" s="118">
        <f t="shared" si="16"/>
        <v>-554</v>
      </c>
      <c r="F124" s="104">
        <f t="shared" si="17"/>
        <v>-1.980056470924622E-2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63300</v>
      </c>
      <c r="D126" s="117">
        <v>65393</v>
      </c>
      <c r="E126" s="117">
        <f t="shared" ref="E126:E137" si="18">D126-C126</f>
        <v>2093</v>
      </c>
      <c r="F126" s="98">
        <f t="shared" ref="F126:F137" si="19">IF(C126=0,0,E126/C126)</f>
        <v>3.3064770932069512E-2</v>
      </c>
    </row>
    <row r="127" spans="1:6" ht="18" customHeight="1" x14ac:dyDescent="0.25">
      <c r="A127" s="99">
        <v>2</v>
      </c>
      <c r="B127" s="100" t="s">
        <v>113</v>
      </c>
      <c r="C127" s="117">
        <v>6300</v>
      </c>
      <c r="D127" s="117">
        <v>8537</v>
      </c>
      <c r="E127" s="117">
        <f t="shared" si="18"/>
        <v>2237</v>
      </c>
      <c r="F127" s="98">
        <f t="shared" si="19"/>
        <v>0.35507936507936511</v>
      </c>
    </row>
    <row r="128" spans="1:6" ht="18" customHeight="1" x14ac:dyDescent="0.25">
      <c r="A128" s="99">
        <v>3</v>
      </c>
      <c r="B128" s="100" t="s">
        <v>114</v>
      </c>
      <c r="C128" s="117">
        <v>9274</v>
      </c>
      <c r="D128" s="117">
        <v>16589</v>
      </c>
      <c r="E128" s="117">
        <f t="shared" si="18"/>
        <v>7315</v>
      </c>
      <c r="F128" s="98">
        <f t="shared" si="19"/>
        <v>0.7887642872546905</v>
      </c>
    </row>
    <row r="129" spans="1:6" ht="18" customHeight="1" x14ac:dyDescent="0.25">
      <c r="A129" s="99">
        <v>4</v>
      </c>
      <c r="B129" s="100" t="s">
        <v>115</v>
      </c>
      <c r="C129" s="117">
        <v>22758</v>
      </c>
      <c r="D129" s="117">
        <v>23097</v>
      </c>
      <c r="E129" s="117">
        <f t="shared" si="18"/>
        <v>339</v>
      </c>
      <c r="F129" s="98">
        <f t="shared" si="19"/>
        <v>1.4895860796203532E-2</v>
      </c>
    </row>
    <row r="130" spans="1:6" ht="18" customHeight="1" x14ac:dyDescent="0.25">
      <c r="A130" s="99">
        <v>5</v>
      </c>
      <c r="B130" s="100" t="s">
        <v>116</v>
      </c>
      <c r="C130" s="117">
        <v>630</v>
      </c>
      <c r="D130" s="117">
        <v>698</v>
      </c>
      <c r="E130" s="117">
        <f t="shared" si="18"/>
        <v>68</v>
      </c>
      <c r="F130" s="98">
        <f t="shared" si="19"/>
        <v>0.10793650793650794</v>
      </c>
    </row>
    <row r="131" spans="1:6" ht="18" customHeight="1" x14ac:dyDescent="0.25">
      <c r="A131" s="99">
        <v>6</v>
      </c>
      <c r="B131" s="100" t="s">
        <v>117</v>
      </c>
      <c r="C131" s="117">
        <v>15356</v>
      </c>
      <c r="D131" s="117">
        <v>15251</v>
      </c>
      <c r="E131" s="117">
        <f t="shared" si="18"/>
        <v>-105</v>
      </c>
      <c r="F131" s="98">
        <f t="shared" si="19"/>
        <v>-6.8377181557697318E-3</v>
      </c>
    </row>
    <row r="132" spans="1:6" ht="18" customHeight="1" x14ac:dyDescent="0.25">
      <c r="A132" s="99">
        <v>7</v>
      </c>
      <c r="B132" s="100" t="s">
        <v>118</v>
      </c>
      <c r="C132" s="117">
        <v>72081</v>
      </c>
      <c r="D132" s="117">
        <v>70033</v>
      </c>
      <c r="E132" s="117">
        <f t="shared" si="18"/>
        <v>-2048</v>
      </c>
      <c r="F132" s="98">
        <f t="shared" si="19"/>
        <v>-2.8412480403989956E-2</v>
      </c>
    </row>
    <row r="133" spans="1:6" ht="18" customHeight="1" x14ac:dyDescent="0.25">
      <c r="A133" s="99">
        <v>8</v>
      </c>
      <c r="B133" s="100" t="s">
        <v>119</v>
      </c>
      <c r="C133" s="117">
        <v>1544</v>
      </c>
      <c r="D133" s="117">
        <v>1749</v>
      </c>
      <c r="E133" s="117">
        <f t="shared" si="18"/>
        <v>205</v>
      </c>
      <c r="F133" s="98">
        <f t="shared" si="19"/>
        <v>0.1327720207253886</v>
      </c>
    </row>
    <row r="134" spans="1:6" ht="18" customHeight="1" x14ac:dyDescent="0.25">
      <c r="A134" s="99">
        <v>9</v>
      </c>
      <c r="B134" s="100" t="s">
        <v>120</v>
      </c>
      <c r="C134" s="117">
        <v>10333</v>
      </c>
      <c r="D134" s="117">
        <v>10233</v>
      </c>
      <c r="E134" s="117">
        <f t="shared" si="18"/>
        <v>-100</v>
      </c>
      <c r="F134" s="98">
        <f t="shared" si="19"/>
        <v>-9.6777315397270879E-3</v>
      </c>
    </row>
    <row r="135" spans="1:6" ht="18" customHeight="1" x14ac:dyDescent="0.25">
      <c r="A135" s="99">
        <v>10</v>
      </c>
      <c r="B135" s="100" t="s">
        <v>121</v>
      </c>
      <c r="C135" s="117">
        <v>5673</v>
      </c>
      <c r="D135" s="117">
        <v>0</v>
      </c>
      <c r="E135" s="117">
        <f t="shared" si="18"/>
        <v>-5673</v>
      </c>
      <c r="F135" s="98">
        <f t="shared" si="19"/>
        <v>-1</v>
      </c>
    </row>
    <row r="136" spans="1:6" ht="18" customHeight="1" x14ac:dyDescent="0.25">
      <c r="A136" s="99">
        <v>11</v>
      </c>
      <c r="B136" s="100" t="s">
        <v>122</v>
      </c>
      <c r="C136" s="117">
        <v>150</v>
      </c>
      <c r="D136" s="117">
        <v>189</v>
      </c>
      <c r="E136" s="117">
        <f t="shared" si="18"/>
        <v>39</v>
      </c>
      <c r="F136" s="98">
        <f t="shared" si="19"/>
        <v>0.26</v>
      </c>
    </row>
    <row r="137" spans="1:6" ht="18" customHeight="1" x14ac:dyDescent="0.25">
      <c r="A137" s="101"/>
      <c r="B137" s="102" t="s">
        <v>143</v>
      </c>
      <c r="C137" s="118">
        <f>SUM(C126:C136)</f>
        <v>207399</v>
      </c>
      <c r="D137" s="118">
        <f>SUM(D126:D136)</f>
        <v>211769</v>
      </c>
      <c r="E137" s="118">
        <f t="shared" si="18"/>
        <v>4370</v>
      </c>
      <c r="F137" s="104">
        <f t="shared" si="19"/>
        <v>2.1070496964787681E-2</v>
      </c>
    </row>
    <row r="138" spans="1:6" ht="18" customHeight="1" x14ac:dyDescent="0.25">
      <c r="A138" s="664" t="s">
        <v>144</v>
      </c>
      <c r="B138" s="666" t="s">
        <v>145</v>
      </c>
      <c r="C138" s="668"/>
      <c r="D138" s="669"/>
      <c r="E138" s="669"/>
      <c r="F138" s="670"/>
    </row>
    <row r="139" spans="1:6" ht="18" customHeight="1" x14ac:dyDescent="0.25">
      <c r="A139" s="665"/>
      <c r="B139" s="667"/>
      <c r="C139" s="671"/>
      <c r="D139" s="672"/>
      <c r="E139" s="672"/>
      <c r="F139" s="673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7445341</v>
      </c>
      <c r="D142" s="97">
        <v>8332014</v>
      </c>
      <c r="E142" s="97">
        <f t="shared" ref="E142:E153" si="20">D142-C142</f>
        <v>886673</v>
      </c>
      <c r="F142" s="98">
        <f t="shared" ref="F142:F153" si="21">IF(C142=0,0,E142/C142)</f>
        <v>0.11909098589305715</v>
      </c>
    </row>
    <row r="143" spans="1:6" ht="18" customHeight="1" x14ac:dyDescent="0.25">
      <c r="A143" s="99">
        <v>2</v>
      </c>
      <c r="B143" s="100" t="s">
        <v>113</v>
      </c>
      <c r="C143" s="97">
        <v>645895</v>
      </c>
      <c r="D143" s="97">
        <v>774972</v>
      </c>
      <c r="E143" s="97">
        <f t="shared" si="20"/>
        <v>129077</v>
      </c>
      <c r="F143" s="98">
        <f t="shared" si="21"/>
        <v>0.1998420795949806</v>
      </c>
    </row>
    <row r="144" spans="1:6" ht="18" customHeight="1" x14ac:dyDescent="0.25">
      <c r="A144" s="99">
        <v>3</v>
      </c>
      <c r="B144" s="100" t="s">
        <v>114</v>
      </c>
      <c r="C144" s="97">
        <v>2628345</v>
      </c>
      <c r="D144" s="97">
        <v>5217156</v>
      </c>
      <c r="E144" s="97">
        <f t="shared" si="20"/>
        <v>2588811</v>
      </c>
      <c r="F144" s="98">
        <f t="shared" si="21"/>
        <v>0.98495859561815513</v>
      </c>
    </row>
    <row r="145" spans="1:6" ht="18" customHeight="1" x14ac:dyDescent="0.25">
      <c r="A145" s="99">
        <v>4</v>
      </c>
      <c r="B145" s="100" t="s">
        <v>115</v>
      </c>
      <c r="C145" s="97">
        <v>4288391</v>
      </c>
      <c r="D145" s="97">
        <v>4689982</v>
      </c>
      <c r="E145" s="97">
        <f t="shared" si="20"/>
        <v>401591</v>
      </c>
      <c r="F145" s="98">
        <f t="shared" si="21"/>
        <v>9.3646078447604239E-2</v>
      </c>
    </row>
    <row r="146" spans="1:6" ht="18" customHeight="1" x14ac:dyDescent="0.25">
      <c r="A146" s="99">
        <v>5</v>
      </c>
      <c r="B146" s="100" t="s">
        <v>116</v>
      </c>
      <c r="C146" s="97">
        <v>186107</v>
      </c>
      <c r="D146" s="97">
        <v>232286</v>
      </c>
      <c r="E146" s="97">
        <f t="shared" si="20"/>
        <v>46179</v>
      </c>
      <c r="F146" s="98">
        <f t="shared" si="21"/>
        <v>0.24813145126190847</v>
      </c>
    </row>
    <row r="147" spans="1:6" ht="18" customHeight="1" x14ac:dyDescent="0.25">
      <c r="A147" s="99">
        <v>6</v>
      </c>
      <c r="B147" s="100" t="s">
        <v>117</v>
      </c>
      <c r="C147" s="97">
        <v>1859744</v>
      </c>
      <c r="D147" s="97">
        <v>2172305</v>
      </c>
      <c r="E147" s="97">
        <f t="shared" si="20"/>
        <v>312561</v>
      </c>
      <c r="F147" s="98">
        <f t="shared" si="21"/>
        <v>0.1680666801452243</v>
      </c>
    </row>
    <row r="148" spans="1:6" ht="18" customHeight="1" x14ac:dyDescent="0.25">
      <c r="A148" s="99">
        <v>7</v>
      </c>
      <c r="B148" s="100" t="s">
        <v>118</v>
      </c>
      <c r="C148" s="97">
        <v>8061121</v>
      </c>
      <c r="D148" s="97">
        <v>8891270</v>
      </c>
      <c r="E148" s="97">
        <f t="shared" si="20"/>
        <v>830149</v>
      </c>
      <c r="F148" s="98">
        <f t="shared" si="21"/>
        <v>0.10298183093889796</v>
      </c>
    </row>
    <row r="149" spans="1:6" ht="18" customHeight="1" x14ac:dyDescent="0.25">
      <c r="A149" s="99">
        <v>8</v>
      </c>
      <c r="B149" s="100" t="s">
        <v>119</v>
      </c>
      <c r="C149" s="97">
        <v>462077</v>
      </c>
      <c r="D149" s="97">
        <v>568224</v>
      </c>
      <c r="E149" s="97">
        <f t="shared" si="20"/>
        <v>106147</v>
      </c>
      <c r="F149" s="98">
        <f t="shared" si="21"/>
        <v>0.22971712506789993</v>
      </c>
    </row>
    <row r="150" spans="1:6" ht="18" customHeight="1" x14ac:dyDescent="0.25">
      <c r="A150" s="99">
        <v>9</v>
      </c>
      <c r="B150" s="100" t="s">
        <v>120</v>
      </c>
      <c r="C150" s="97">
        <v>1869747</v>
      </c>
      <c r="D150" s="97">
        <v>2063865</v>
      </c>
      <c r="E150" s="97">
        <f t="shared" si="20"/>
        <v>194118</v>
      </c>
      <c r="F150" s="98">
        <f t="shared" si="21"/>
        <v>0.10382046341029028</v>
      </c>
    </row>
    <row r="151" spans="1:6" ht="18" customHeight="1" x14ac:dyDescent="0.25">
      <c r="A151" s="99">
        <v>10</v>
      </c>
      <c r="B151" s="100" t="s">
        <v>121</v>
      </c>
      <c r="C151" s="97">
        <v>1755391</v>
      </c>
      <c r="D151" s="97">
        <v>0</v>
      </c>
      <c r="E151" s="97">
        <f t="shared" si="20"/>
        <v>-1755391</v>
      </c>
      <c r="F151" s="98">
        <f t="shared" si="21"/>
        <v>-1</v>
      </c>
    </row>
    <row r="152" spans="1:6" ht="18" customHeight="1" x14ac:dyDescent="0.25">
      <c r="A152" s="99">
        <v>11</v>
      </c>
      <c r="B152" s="100" t="s">
        <v>122</v>
      </c>
      <c r="C152" s="97">
        <v>91679</v>
      </c>
      <c r="D152" s="97">
        <v>125155</v>
      </c>
      <c r="E152" s="97">
        <f t="shared" si="20"/>
        <v>33476</v>
      </c>
      <c r="F152" s="98">
        <f t="shared" si="21"/>
        <v>0.36514359886124415</v>
      </c>
    </row>
    <row r="153" spans="1:6" ht="33.75" customHeight="1" x14ac:dyDescent="0.25">
      <c r="A153" s="101"/>
      <c r="B153" s="102" t="s">
        <v>147</v>
      </c>
      <c r="C153" s="103">
        <f>SUM(C142:C152)</f>
        <v>29293838</v>
      </c>
      <c r="D153" s="103">
        <f>SUM(D142:D152)</f>
        <v>33067229</v>
      </c>
      <c r="E153" s="103">
        <f t="shared" si="20"/>
        <v>3773391</v>
      </c>
      <c r="F153" s="104">
        <f t="shared" si="21"/>
        <v>0.12881176580549125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2668086</v>
      </c>
      <c r="D155" s="97">
        <v>2864392</v>
      </c>
      <c r="E155" s="97">
        <f t="shared" ref="E155:E166" si="22">D155-C155</f>
        <v>196306</v>
      </c>
      <c r="F155" s="98">
        <f t="shared" ref="F155:F166" si="23">IF(C155=0,0,E155/C155)</f>
        <v>7.3575589392545812E-2</v>
      </c>
    </row>
    <row r="156" spans="1:6" ht="18" customHeight="1" x14ac:dyDescent="0.25">
      <c r="A156" s="99">
        <v>2</v>
      </c>
      <c r="B156" s="100" t="s">
        <v>113</v>
      </c>
      <c r="C156" s="97">
        <v>244990</v>
      </c>
      <c r="D156" s="97">
        <v>269767</v>
      </c>
      <c r="E156" s="97">
        <f t="shared" si="22"/>
        <v>24777</v>
      </c>
      <c r="F156" s="98">
        <f t="shared" si="23"/>
        <v>0.10113474019347729</v>
      </c>
    </row>
    <row r="157" spans="1:6" ht="18" customHeight="1" x14ac:dyDescent="0.25">
      <c r="A157" s="99">
        <v>3</v>
      </c>
      <c r="B157" s="100" t="s">
        <v>114</v>
      </c>
      <c r="C157" s="97">
        <v>844321</v>
      </c>
      <c r="D157" s="97">
        <v>1559227</v>
      </c>
      <c r="E157" s="97">
        <f t="shared" si="22"/>
        <v>714906</v>
      </c>
      <c r="F157" s="98">
        <f t="shared" si="23"/>
        <v>0.8467229880578595</v>
      </c>
    </row>
    <row r="158" spans="1:6" ht="18" customHeight="1" x14ac:dyDescent="0.25">
      <c r="A158" s="99">
        <v>4</v>
      </c>
      <c r="B158" s="100" t="s">
        <v>115</v>
      </c>
      <c r="C158" s="97">
        <v>1597804</v>
      </c>
      <c r="D158" s="97">
        <v>1573898</v>
      </c>
      <c r="E158" s="97">
        <f t="shared" si="22"/>
        <v>-23906</v>
      </c>
      <c r="F158" s="98">
        <f t="shared" si="23"/>
        <v>-1.4961785049981099E-2</v>
      </c>
    </row>
    <row r="159" spans="1:6" ht="18" customHeight="1" x14ac:dyDescent="0.25">
      <c r="A159" s="99">
        <v>5</v>
      </c>
      <c r="B159" s="100" t="s">
        <v>116</v>
      </c>
      <c r="C159" s="97">
        <v>79891</v>
      </c>
      <c r="D159" s="97">
        <v>76435</v>
      </c>
      <c r="E159" s="97">
        <f t="shared" si="22"/>
        <v>-3456</v>
      </c>
      <c r="F159" s="98">
        <f t="shared" si="23"/>
        <v>-4.325894030616715E-2</v>
      </c>
    </row>
    <row r="160" spans="1:6" ht="18" customHeight="1" x14ac:dyDescent="0.25">
      <c r="A160" s="99">
        <v>6</v>
      </c>
      <c r="B160" s="100" t="s">
        <v>117</v>
      </c>
      <c r="C160" s="97">
        <v>1149302</v>
      </c>
      <c r="D160" s="97">
        <v>1235080</v>
      </c>
      <c r="E160" s="97">
        <f t="shared" si="22"/>
        <v>85778</v>
      </c>
      <c r="F160" s="98">
        <f t="shared" si="23"/>
        <v>7.4634865335655901E-2</v>
      </c>
    </row>
    <row r="161" spans="1:6" ht="18" customHeight="1" x14ac:dyDescent="0.25">
      <c r="A161" s="99">
        <v>7</v>
      </c>
      <c r="B161" s="100" t="s">
        <v>118</v>
      </c>
      <c r="C161" s="97">
        <v>4057977</v>
      </c>
      <c r="D161" s="97">
        <v>4371180</v>
      </c>
      <c r="E161" s="97">
        <f t="shared" si="22"/>
        <v>313203</v>
      </c>
      <c r="F161" s="98">
        <f t="shared" si="23"/>
        <v>7.7182054013613194E-2</v>
      </c>
    </row>
    <row r="162" spans="1:6" ht="18" customHeight="1" x14ac:dyDescent="0.25">
      <c r="A162" s="99">
        <v>8</v>
      </c>
      <c r="B162" s="100" t="s">
        <v>119</v>
      </c>
      <c r="C162" s="97">
        <v>374476</v>
      </c>
      <c r="D162" s="97">
        <v>433074</v>
      </c>
      <c r="E162" s="97">
        <f t="shared" si="22"/>
        <v>58598</v>
      </c>
      <c r="F162" s="98">
        <f t="shared" si="23"/>
        <v>0.1564799880366165</v>
      </c>
    </row>
    <row r="163" spans="1:6" ht="18" customHeight="1" x14ac:dyDescent="0.25">
      <c r="A163" s="99">
        <v>9</v>
      </c>
      <c r="B163" s="100" t="s">
        <v>120</v>
      </c>
      <c r="C163" s="97">
        <v>236681</v>
      </c>
      <c r="D163" s="97">
        <v>205562</v>
      </c>
      <c r="E163" s="97">
        <f t="shared" si="22"/>
        <v>-31119</v>
      </c>
      <c r="F163" s="98">
        <f t="shared" si="23"/>
        <v>-0.13148076947452478</v>
      </c>
    </row>
    <row r="164" spans="1:6" ht="18" customHeight="1" x14ac:dyDescent="0.25">
      <c r="A164" s="99">
        <v>10</v>
      </c>
      <c r="B164" s="100" t="s">
        <v>121</v>
      </c>
      <c r="C164" s="97">
        <v>421450</v>
      </c>
      <c r="D164" s="97">
        <v>0</v>
      </c>
      <c r="E164" s="97">
        <f t="shared" si="22"/>
        <v>-421450</v>
      </c>
      <c r="F164" s="98">
        <f t="shared" si="23"/>
        <v>-1</v>
      </c>
    </row>
    <row r="165" spans="1:6" ht="18" customHeight="1" x14ac:dyDescent="0.25">
      <c r="A165" s="99">
        <v>11</v>
      </c>
      <c r="B165" s="100" t="s">
        <v>122</v>
      </c>
      <c r="C165" s="97">
        <v>29911</v>
      </c>
      <c r="D165" s="97">
        <v>29675</v>
      </c>
      <c r="E165" s="97">
        <f t="shared" si="22"/>
        <v>-236</v>
      </c>
      <c r="F165" s="98">
        <f t="shared" si="23"/>
        <v>-7.8900738858613886E-3</v>
      </c>
    </row>
    <row r="166" spans="1:6" ht="33.75" customHeight="1" x14ac:dyDescent="0.25">
      <c r="A166" s="101"/>
      <c r="B166" s="102" t="s">
        <v>149</v>
      </c>
      <c r="C166" s="103">
        <f>SUM(C155:C165)</f>
        <v>11704889</v>
      </c>
      <c r="D166" s="103">
        <f>SUM(D155:D165)</f>
        <v>12618290</v>
      </c>
      <c r="E166" s="103">
        <f t="shared" si="22"/>
        <v>913401</v>
      </c>
      <c r="F166" s="104">
        <f t="shared" si="23"/>
        <v>7.8035853223383841E-2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7110</v>
      </c>
      <c r="D168" s="117">
        <v>7433</v>
      </c>
      <c r="E168" s="117">
        <f t="shared" ref="E168:E179" si="24">D168-C168</f>
        <v>323</v>
      </c>
      <c r="F168" s="98">
        <f t="shared" ref="F168:F179" si="25">IF(C168=0,0,E168/C168)</f>
        <v>4.5428973277074541E-2</v>
      </c>
    </row>
    <row r="169" spans="1:6" ht="18" customHeight="1" x14ac:dyDescent="0.25">
      <c r="A169" s="99">
        <v>2</v>
      </c>
      <c r="B169" s="100" t="s">
        <v>113</v>
      </c>
      <c r="C169" s="117">
        <v>609</v>
      </c>
      <c r="D169" s="117">
        <v>699</v>
      </c>
      <c r="E169" s="117">
        <f t="shared" si="24"/>
        <v>90</v>
      </c>
      <c r="F169" s="98">
        <f t="shared" si="25"/>
        <v>0.14778325123152711</v>
      </c>
    </row>
    <row r="170" spans="1:6" ht="18" customHeight="1" x14ac:dyDescent="0.25">
      <c r="A170" s="99">
        <v>3</v>
      </c>
      <c r="B170" s="100" t="s">
        <v>114</v>
      </c>
      <c r="C170" s="117">
        <v>2481</v>
      </c>
      <c r="D170" s="117">
        <v>4700</v>
      </c>
      <c r="E170" s="117">
        <f t="shared" si="24"/>
        <v>2219</v>
      </c>
      <c r="F170" s="98">
        <f t="shared" si="25"/>
        <v>0.89439742039500203</v>
      </c>
    </row>
    <row r="171" spans="1:6" ht="18" customHeight="1" x14ac:dyDescent="0.25">
      <c r="A171" s="99">
        <v>4</v>
      </c>
      <c r="B171" s="100" t="s">
        <v>115</v>
      </c>
      <c r="C171" s="117">
        <v>6778</v>
      </c>
      <c r="D171" s="117">
        <v>6668</v>
      </c>
      <c r="E171" s="117">
        <f t="shared" si="24"/>
        <v>-110</v>
      </c>
      <c r="F171" s="98">
        <f t="shared" si="25"/>
        <v>-1.6228976099144289E-2</v>
      </c>
    </row>
    <row r="172" spans="1:6" ht="18" customHeight="1" x14ac:dyDescent="0.25">
      <c r="A172" s="99">
        <v>5</v>
      </c>
      <c r="B172" s="100" t="s">
        <v>116</v>
      </c>
      <c r="C172" s="117">
        <v>204</v>
      </c>
      <c r="D172" s="117">
        <v>223</v>
      </c>
      <c r="E172" s="117">
        <f t="shared" si="24"/>
        <v>19</v>
      </c>
      <c r="F172" s="98">
        <f t="shared" si="25"/>
        <v>9.3137254901960786E-2</v>
      </c>
    </row>
    <row r="173" spans="1:6" ht="18" customHeight="1" x14ac:dyDescent="0.25">
      <c r="A173" s="99">
        <v>6</v>
      </c>
      <c r="B173" s="100" t="s">
        <v>117</v>
      </c>
      <c r="C173" s="117">
        <v>2181</v>
      </c>
      <c r="D173" s="117">
        <v>1997</v>
      </c>
      <c r="E173" s="117">
        <f t="shared" si="24"/>
        <v>-184</v>
      </c>
      <c r="F173" s="98">
        <f t="shared" si="25"/>
        <v>-8.4364970197157274E-2</v>
      </c>
    </row>
    <row r="174" spans="1:6" ht="18" customHeight="1" x14ac:dyDescent="0.25">
      <c r="A174" s="99">
        <v>7</v>
      </c>
      <c r="B174" s="100" t="s">
        <v>118</v>
      </c>
      <c r="C174" s="117">
        <v>9526</v>
      </c>
      <c r="D174" s="117">
        <v>9587</v>
      </c>
      <c r="E174" s="117">
        <f t="shared" si="24"/>
        <v>61</v>
      </c>
      <c r="F174" s="98">
        <f t="shared" si="25"/>
        <v>6.4035271887465887E-3</v>
      </c>
    </row>
    <row r="175" spans="1:6" ht="18" customHeight="1" x14ac:dyDescent="0.25">
      <c r="A175" s="99">
        <v>8</v>
      </c>
      <c r="B175" s="100" t="s">
        <v>119</v>
      </c>
      <c r="C175" s="117">
        <v>741</v>
      </c>
      <c r="D175" s="117">
        <v>750</v>
      </c>
      <c r="E175" s="117">
        <f t="shared" si="24"/>
        <v>9</v>
      </c>
      <c r="F175" s="98">
        <f t="shared" si="25"/>
        <v>1.2145748987854251E-2</v>
      </c>
    </row>
    <row r="176" spans="1:6" ht="18" customHeight="1" x14ac:dyDescent="0.25">
      <c r="A176" s="99">
        <v>9</v>
      </c>
      <c r="B176" s="100" t="s">
        <v>120</v>
      </c>
      <c r="C176" s="117">
        <v>2465</v>
      </c>
      <c r="D176" s="117">
        <v>2293</v>
      </c>
      <c r="E176" s="117">
        <f t="shared" si="24"/>
        <v>-172</v>
      </c>
      <c r="F176" s="98">
        <f t="shared" si="25"/>
        <v>-6.9776876267748478E-2</v>
      </c>
    </row>
    <row r="177" spans="1:6" ht="18" customHeight="1" x14ac:dyDescent="0.25">
      <c r="A177" s="99">
        <v>10</v>
      </c>
      <c r="B177" s="100" t="s">
        <v>121</v>
      </c>
      <c r="C177" s="117">
        <v>1797</v>
      </c>
      <c r="D177" s="117">
        <v>0</v>
      </c>
      <c r="E177" s="117">
        <f t="shared" si="24"/>
        <v>-1797</v>
      </c>
      <c r="F177" s="98">
        <f t="shared" si="25"/>
        <v>-1</v>
      </c>
    </row>
    <row r="178" spans="1:6" ht="18" customHeight="1" x14ac:dyDescent="0.25">
      <c r="A178" s="99">
        <v>11</v>
      </c>
      <c r="B178" s="100" t="s">
        <v>122</v>
      </c>
      <c r="C178" s="117">
        <v>112</v>
      </c>
      <c r="D178" s="117">
        <v>130</v>
      </c>
      <c r="E178" s="117">
        <f t="shared" si="24"/>
        <v>18</v>
      </c>
      <c r="F178" s="98">
        <f t="shared" si="25"/>
        <v>0.16071428571428573</v>
      </c>
    </row>
    <row r="179" spans="1:6" ht="33.75" customHeight="1" x14ac:dyDescent="0.25">
      <c r="A179" s="101"/>
      <c r="B179" s="102" t="s">
        <v>151</v>
      </c>
      <c r="C179" s="118">
        <f>SUM(C168:C178)</f>
        <v>34004</v>
      </c>
      <c r="D179" s="118">
        <f>SUM(D168:D178)</f>
        <v>34480</v>
      </c>
      <c r="E179" s="118">
        <f t="shared" si="24"/>
        <v>476</v>
      </c>
      <c r="F179" s="104">
        <f t="shared" si="25"/>
        <v>1.3998353134925303E-2</v>
      </c>
    </row>
  </sheetData>
  <mergeCells count="23"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10:A11"/>
    <mergeCell ref="B10:B11"/>
    <mergeCell ref="C10:F11"/>
    <mergeCell ref="A39:A40"/>
    <mergeCell ref="B39:B40"/>
    <mergeCell ref="C39:F40"/>
    <mergeCell ref="A2:F2"/>
    <mergeCell ref="A3:F3"/>
    <mergeCell ref="A4:F4"/>
    <mergeCell ref="A5:F5"/>
    <mergeCell ref="C9:F9"/>
  </mergeCells>
  <printOptions horizontalCentered="1"/>
  <pageMargins left="0.25" right="0.25" top="0.5" bottom="0.5" header="0.25" footer="0.25"/>
  <pageSetup paperSize="9" scale="65" fitToHeight="2" orientation="portrait" horizontalDpi="1200" verticalDpi="1200" r:id="rId1"/>
  <headerFooter>
    <oddHeader>&amp;LOFFICE OF HEALTH CARE ACCESS&amp;CTWELVE MONTHS ACTUAL FILING&amp;RCHARLOTTE HUNGERFORD HOSPITAL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zoomScale="75" workbookViewId="0"/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7.425781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18853887</v>
      </c>
      <c r="D15" s="146">
        <v>18727261</v>
      </c>
      <c r="E15" s="146">
        <f>+D15-C15</f>
        <v>-126626</v>
      </c>
      <c r="F15" s="150">
        <f>IF(C15=0,0,E15/C15)</f>
        <v>-6.7161747601436244E-3</v>
      </c>
    </row>
    <row r="16" spans="1:7" ht="15" customHeight="1" x14ac:dyDescent="0.2">
      <c r="A16" s="141">
        <v>2</v>
      </c>
      <c r="B16" s="149" t="s">
        <v>158</v>
      </c>
      <c r="C16" s="146">
        <v>5186232</v>
      </c>
      <c r="D16" s="146">
        <v>5949173</v>
      </c>
      <c r="E16" s="146">
        <f>+D16-C16</f>
        <v>762941</v>
      </c>
      <c r="F16" s="150">
        <f>IF(C16=0,0,E16/C16)</f>
        <v>0.14710892223872746</v>
      </c>
    </row>
    <row r="17" spans="1:7" ht="15" customHeight="1" x14ac:dyDescent="0.2">
      <c r="A17" s="141">
        <v>3</v>
      </c>
      <c r="B17" s="149" t="s">
        <v>159</v>
      </c>
      <c r="C17" s="146">
        <v>24620510</v>
      </c>
      <c r="D17" s="146">
        <v>27051759</v>
      </c>
      <c r="E17" s="146">
        <f>+D17-C17</f>
        <v>2431249</v>
      </c>
      <c r="F17" s="150">
        <f>IF(C17=0,0,E17/C17)</f>
        <v>9.8748929246388478E-2</v>
      </c>
    </row>
    <row r="18" spans="1:7" ht="15.75" customHeight="1" x14ac:dyDescent="0.25">
      <c r="A18" s="141"/>
      <c r="B18" s="151" t="s">
        <v>160</v>
      </c>
      <c r="C18" s="147">
        <f>SUM(C15:C17)</f>
        <v>48660629</v>
      </c>
      <c r="D18" s="147">
        <f>SUM(D15:D17)</f>
        <v>51728193</v>
      </c>
      <c r="E18" s="147">
        <f>+D18-C18</f>
        <v>3067564</v>
      </c>
      <c r="F18" s="148">
        <f>IF(C18=0,0,E18/C18)</f>
        <v>6.3039957827096732E-2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6041586</v>
      </c>
      <c r="D21" s="146">
        <v>5724690</v>
      </c>
      <c r="E21" s="146">
        <f>+D21-C21</f>
        <v>-316896</v>
      </c>
      <c r="F21" s="150">
        <f>IF(C21=0,0,E21/C21)</f>
        <v>-5.2452452054808127E-2</v>
      </c>
    </row>
    <row r="22" spans="1:7" ht="15" customHeight="1" x14ac:dyDescent="0.2">
      <c r="A22" s="141">
        <v>2</v>
      </c>
      <c r="B22" s="149" t="s">
        <v>163</v>
      </c>
      <c r="C22" s="146">
        <v>1661889</v>
      </c>
      <c r="D22" s="146">
        <v>1818588</v>
      </c>
      <c r="E22" s="146">
        <f>+D22-C22</f>
        <v>156699</v>
      </c>
      <c r="F22" s="150">
        <f>IF(C22=0,0,E22/C22)</f>
        <v>9.4289690827726758E-2</v>
      </c>
    </row>
    <row r="23" spans="1:7" ht="15" customHeight="1" x14ac:dyDescent="0.2">
      <c r="A23" s="141">
        <v>3</v>
      </c>
      <c r="B23" s="149" t="s">
        <v>164</v>
      </c>
      <c r="C23" s="146">
        <v>7889458</v>
      </c>
      <c r="D23" s="146">
        <v>8269386</v>
      </c>
      <c r="E23" s="146">
        <f>+D23-C23</f>
        <v>379928</v>
      </c>
      <c r="F23" s="150">
        <f>IF(C23=0,0,E23/C23)</f>
        <v>4.8156413279594114E-2</v>
      </c>
    </row>
    <row r="24" spans="1:7" ht="15.75" customHeight="1" x14ac:dyDescent="0.25">
      <c r="A24" s="141"/>
      <c r="B24" s="151" t="s">
        <v>165</v>
      </c>
      <c r="C24" s="147">
        <f>SUM(C21:C23)</f>
        <v>15592933</v>
      </c>
      <c r="D24" s="147">
        <f>SUM(D21:D23)</f>
        <v>15812664</v>
      </c>
      <c r="E24" s="147">
        <f>+D24-C24</f>
        <v>219731</v>
      </c>
      <c r="F24" s="148">
        <f>IF(C24=0,0,E24/C24)</f>
        <v>1.4091704235502069E-2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570053</v>
      </c>
      <c r="D27" s="146">
        <v>793061</v>
      </c>
      <c r="E27" s="146">
        <f>+D27-C27</f>
        <v>223008</v>
      </c>
      <c r="F27" s="150">
        <f>IF(C27=0,0,E27/C27)</f>
        <v>0.39120572999352693</v>
      </c>
    </row>
    <row r="28" spans="1:7" ht="15" customHeight="1" x14ac:dyDescent="0.2">
      <c r="A28" s="141">
        <v>2</v>
      </c>
      <c r="B28" s="149" t="s">
        <v>168</v>
      </c>
      <c r="C28" s="146">
        <v>1174714</v>
      </c>
      <c r="D28" s="146">
        <v>1707737</v>
      </c>
      <c r="E28" s="146">
        <f>+D28-C28</f>
        <v>533023</v>
      </c>
      <c r="F28" s="150">
        <f>IF(C28=0,0,E28/C28)</f>
        <v>0.45374703970498353</v>
      </c>
    </row>
    <row r="29" spans="1:7" ht="15" customHeight="1" x14ac:dyDescent="0.2">
      <c r="A29" s="141">
        <v>3</v>
      </c>
      <c r="B29" s="149" t="s">
        <v>169</v>
      </c>
      <c r="C29" s="146">
        <v>480882</v>
      </c>
      <c r="D29" s="146">
        <v>538386</v>
      </c>
      <c r="E29" s="146">
        <f>+D29-C29</f>
        <v>57504</v>
      </c>
      <c r="F29" s="150">
        <f>IF(C29=0,0,E29/C29)</f>
        <v>0.11958027125157523</v>
      </c>
    </row>
    <row r="30" spans="1:7" ht="15.75" customHeight="1" x14ac:dyDescent="0.25">
      <c r="A30" s="141"/>
      <c r="B30" s="151" t="s">
        <v>170</v>
      </c>
      <c r="C30" s="147">
        <f>SUM(C27:C29)</f>
        <v>2225649</v>
      </c>
      <c r="D30" s="147">
        <f>SUM(D27:D29)</f>
        <v>3039184</v>
      </c>
      <c r="E30" s="147">
        <f>+D30-C30</f>
        <v>813535</v>
      </c>
      <c r="F30" s="148">
        <f>IF(C30=0,0,E30/C30)</f>
        <v>0.36552708895248082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9414716</v>
      </c>
      <c r="D33" s="146">
        <v>9823241</v>
      </c>
      <c r="E33" s="146">
        <f>+D33-C33</f>
        <v>408525</v>
      </c>
      <c r="F33" s="150">
        <f>IF(C33=0,0,E33/C33)</f>
        <v>4.339217454886584E-2</v>
      </c>
    </row>
    <row r="34" spans="1:7" ht="15" customHeight="1" x14ac:dyDescent="0.2">
      <c r="A34" s="141">
        <v>2</v>
      </c>
      <c r="B34" s="149" t="s">
        <v>174</v>
      </c>
      <c r="C34" s="146">
        <v>3268912</v>
      </c>
      <c r="D34" s="146">
        <v>3385640</v>
      </c>
      <c r="E34" s="146">
        <f>+D34-C34</f>
        <v>116728</v>
      </c>
      <c r="F34" s="150">
        <f>IF(C34=0,0,E34/C34)</f>
        <v>3.5708517084583495E-2</v>
      </c>
    </row>
    <row r="35" spans="1:7" ht="15.75" customHeight="1" x14ac:dyDescent="0.25">
      <c r="A35" s="141"/>
      <c r="B35" s="151" t="s">
        <v>175</v>
      </c>
      <c r="C35" s="147">
        <f>SUM(C33:C34)</f>
        <v>12683628</v>
      </c>
      <c r="D35" s="147">
        <f>SUM(D33:D34)</f>
        <v>13208881</v>
      </c>
      <c r="E35" s="147">
        <f>+D35-C35</f>
        <v>525253</v>
      </c>
      <c r="F35" s="148">
        <f>IF(C35=0,0,E35/C35)</f>
        <v>4.1411889405775698E-2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2995640</v>
      </c>
      <c r="D38" s="146">
        <v>2991435</v>
      </c>
      <c r="E38" s="146">
        <f>+D38-C38</f>
        <v>-4205</v>
      </c>
      <c r="F38" s="150">
        <f>IF(C38=0,0,E38/C38)</f>
        <v>-1.4037067204336969E-3</v>
      </c>
    </row>
    <row r="39" spans="1:7" ht="15" customHeight="1" x14ac:dyDescent="0.2">
      <c r="A39" s="141">
        <v>2</v>
      </c>
      <c r="B39" s="149" t="s">
        <v>179</v>
      </c>
      <c r="C39" s="146">
        <v>3120746</v>
      </c>
      <c r="D39" s="146">
        <v>3125749</v>
      </c>
      <c r="E39" s="146">
        <f>+D39-C39</f>
        <v>5003</v>
      </c>
      <c r="F39" s="150">
        <f>IF(C39=0,0,E39/C39)</f>
        <v>1.6031423255849723E-3</v>
      </c>
    </row>
    <row r="40" spans="1:7" ht="15" customHeight="1" x14ac:dyDescent="0.2">
      <c r="A40" s="141">
        <v>3</v>
      </c>
      <c r="B40" s="149" t="s">
        <v>180</v>
      </c>
      <c r="C40" s="146">
        <v>54702</v>
      </c>
      <c r="D40" s="146">
        <v>60898</v>
      </c>
      <c r="E40" s="146">
        <f>+D40-C40</f>
        <v>6196</v>
      </c>
      <c r="F40" s="150">
        <f>IF(C40=0,0,E40/C40)</f>
        <v>0.11326825344594348</v>
      </c>
    </row>
    <row r="41" spans="1:7" ht="15.75" customHeight="1" x14ac:dyDescent="0.25">
      <c r="A41" s="141"/>
      <c r="B41" s="151" t="s">
        <v>181</v>
      </c>
      <c r="C41" s="147">
        <f>SUM(C38:C40)</f>
        <v>6171088</v>
      </c>
      <c r="D41" s="147">
        <f>SUM(D38:D40)</f>
        <v>6178082</v>
      </c>
      <c r="E41" s="147">
        <f>+D41-C41</f>
        <v>6994</v>
      </c>
      <c r="F41" s="148">
        <f>IF(C41=0,0,E41/C41)</f>
        <v>1.133349581143552E-3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2413649</v>
      </c>
      <c r="D44" s="146">
        <v>2129955</v>
      </c>
      <c r="E44" s="146">
        <f>+D44-C44</f>
        <v>-283694</v>
      </c>
      <c r="F44" s="150">
        <f>IF(C44=0,0,E44/C44)</f>
        <v>-0.11753738841065954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333980</v>
      </c>
      <c r="D47" s="146">
        <v>308286</v>
      </c>
      <c r="E47" s="146">
        <f>+D47-C47</f>
        <v>-25694</v>
      </c>
      <c r="F47" s="150">
        <f>IF(C47=0,0,E47/C47)</f>
        <v>-7.6932750464099642E-2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1520168</v>
      </c>
      <c r="D50" s="146">
        <v>2111635</v>
      </c>
      <c r="E50" s="146">
        <f>+D50-C50</f>
        <v>591467</v>
      </c>
      <c r="F50" s="150">
        <f>IF(C50=0,0,E50/C50)</f>
        <v>0.38908002273432934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48216</v>
      </c>
      <c r="D53" s="146">
        <v>48005</v>
      </c>
      <c r="E53" s="146">
        <f t="shared" ref="E53:E59" si="0">+D53-C53</f>
        <v>-211</v>
      </c>
      <c r="F53" s="150">
        <f t="shared" ref="F53:F59" si="1">IF(C53=0,0,E53/C53)</f>
        <v>-4.3761407001825124E-3</v>
      </c>
    </row>
    <row r="54" spans="1:7" ht="15" customHeight="1" x14ac:dyDescent="0.2">
      <c r="A54" s="141">
        <v>2</v>
      </c>
      <c r="B54" s="149" t="s">
        <v>193</v>
      </c>
      <c r="C54" s="146">
        <v>528084</v>
      </c>
      <c r="D54" s="146">
        <v>503982</v>
      </c>
      <c r="E54" s="146">
        <f t="shared" si="0"/>
        <v>-24102</v>
      </c>
      <c r="F54" s="150">
        <f t="shared" si="1"/>
        <v>-4.5640466289453951E-2</v>
      </c>
    </row>
    <row r="55" spans="1:7" ht="15" customHeight="1" x14ac:dyDescent="0.2">
      <c r="A55" s="141">
        <v>3</v>
      </c>
      <c r="B55" s="149" t="s">
        <v>194</v>
      </c>
      <c r="C55" s="146">
        <v>14761</v>
      </c>
      <c r="D55" s="146">
        <v>20875</v>
      </c>
      <c r="E55" s="146">
        <f t="shared" si="0"/>
        <v>6114</v>
      </c>
      <c r="F55" s="150">
        <f t="shared" si="1"/>
        <v>0.41419957997425649</v>
      </c>
    </row>
    <row r="56" spans="1:7" ht="15" customHeight="1" x14ac:dyDescent="0.2">
      <c r="A56" s="141">
        <v>4</v>
      </c>
      <c r="B56" s="149" t="s">
        <v>195</v>
      </c>
      <c r="C56" s="146">
        <v>1417417</v>
      </c>
      <c r="D56" s="146">
        <v>1347481</v>
      </c>
      <c r="E56" s="146">
        <f t="shared" si="0"/>
        <v>-69936</v>
      </c>
      <c r="F56" s="150">
        <f t="shared" si="1"/>
        <v>-4.9340455208312019E-2</v>
      </c>
    </row>
    <row r="57" spans="1:7" ht="15" customHeight="1" x14ac:dyDescent="0.2">
      <c r="A57" s="141">
        <v>5</v>
      </c>
      <c r="B57" s="149" t="s">
        <v>196</v>
      </c>
      <c r="C57" s="146">
        <v>167774</v>
      </c>
      <c r="D57" s="146">
        <v>203546</v>
      </c>
      <c r="E57" s="146">
        <f t="shared" si="0"/>
        <v>35772</v>
      </c>
      <c r="F57" s="150">
        <f t="shared" si="1"/>
        <v>0.21321539690297661</v>
      </c>
    </row>
    <row r="58" spans="1:7" ht="15" customHeight="1" x14ac:dyDescent="0.2">
      <c r="A58" s="141">
        <v>6</v>
      </c>
      <c r="B58" s="149" t="s">
        <v>197</v>
      </c>
      <c r="C58" s="146">
        <v>45077</v>
      </c>
      <c r="D58" s="146">
        <v>47113</v>
      </c>
      <c r="E58" s="146">
        <f t="shared" si="0"/>
        <v>2036</v>
      </c>
      <c r="F58" s="150">
        <f t="shared" si="1"/>
        <v>4.5167158417818397E-2</v>
      </c>
    </row>
    <row r="59" spans="1:7" ht="15.75" customHeight="1" x14ac:dyDescent="0.25">
      <c r="A59" s="141"/>
      <c r="B59" s="151" t="s">
        <v>198</v>
      </c>
      <c r="C59" s="147">
        <f>SUM(C53:C58)</f>
        <v>2221329</v>
      </c>
      <c r="D59" s="147">
        <f>SUM(D53:D58)</f>
        <v>2171002</v>
      </c>
      <c r="E59" s="147">
        <f t="shared" si="0"/>
        <v>-50327</v>
      </c>
      <c r="F59" s="148">
        <f t="shared" si="1"/>
        <v>-2.265625668237348E-2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119165</v>
      </c>
      <c r="D62" s="146">
        <v>122256</v>
      </c>
      <c r="E62" s="146">
        <f t="shared" ref="E62:E78" si="2">+D62-C62</f>
        <v>3091</v>
      </c>
      <c r="F62" s="150">
        <f t="shared" ref="F62:F78" si="3">IF(C62=0,0,E62/C62)</f>
        <v>2.5938824319221249E-2</v>
      </c>
    </row>
    <row r="63" spans="1:7" ht="15" customHeight="1" x14ac:dyDescent="0.2">
      <c r="A63" s="141">
        <v>2</v>
      </c>
      <c r="B63" s="149" t="s">
        <v>202</v>
      </c>
      <c r="C63" s="146">
        <v>276581</v>
      </c>
      <c r="D63" s="146">
        <v>341696</v>
      </c>
      <c r="E63" s="146">
        <f t="shared" si="2"/>
        <v>65115</v>
      </c>
      <c r="F63" s="150">
        <f t="shared" si="3"/>
        <v>0.23542831937117878</v>
      </c>
    </row>
    <row r="64" spans="1:7" ht="15" customHeight="1" x14ac:dyDescent="0.2">
      <c r="A64" s="141">
        <v>3</v>
      </c>
      <c r="B64" s="149" t="s">
        <v>203</v>
      </c>
      <c r="C64" s="146">
        <v>672687</v>
      </c>
      <c r="D64" s="146">
        <v>419591</v>
      </c>
      <c r="E64" s="146">
        <f t="shared" si="2"/>
        <v>-253096</v>
      </c>
      <c r="F64" s="150">
        <f t="shared" si="3"/>
        <v>-0.37624630771815126</v>
      </c>
    </row>
    <row r="65" spans="1:7" ht="15" customHeight="1" x14ac:dyDescent="0.2">
      <c r="A65" s="141">
        <v>4</v>
      </c>
      <c r="B65" s="149" t="s">
        <v>204</v>
      </c>
      <c r="C65" s="146">
        <v>0</v>
      </c>
      <c r="D65" s="146">
        <v>202413</v>
      </c>
      <c r="E65" s="146">
        <f t="shared" si="2"/>
        <v>202413</v>
      </c>
      <c r="F65" s="150">
        <f t="shared" si="3"/>
        <v>0</v>
      </c>
    </row>
    <row r="66" spans="1:7" ht="15" customHeight="1" x14ac:dyDescent="0.2">
      <c r="A66" s="141">
        <v>5</v>
      </c>
      <c r="B66" s="149" t="s">
        <v>205</v>
      </c>
      <c r="C66" s="146">
        <v>968013</v>
      </c>
      <c r="D66" s="146">
        <v>1048396</v>
      </c>
      <c r="E66" s="146">
        <f t="shared" si="2"/>
        <v>80383</v>
      </c>
      <c r="F66" s="150">
        <f t="shared" si="3"/>
        <v>8.3039174060678941E-2</v>
      </c>
    </row>
    <row r="67" spans="1:7" ht="15" customHeight="1" x14ac:dyDescent="0.2">
      <c r="A67" s="141">
        <v>6</v>
      </c>
      <c r="B67" s="149" t="s">
        <v>206</v>
      </c>
      <c r="C67" s="146">
        <v>647075</v>
      </c>
      <c r="D67" s="146">
        <v>827701</v>
      </c>
      <c r="E67" s="146">
        <f t="shared" si="2"/>
        <v>180626</v>
      </c>
      <c r="F67" s="150">
        <f t="shared" si="3"/>
        <v>0.27914229416991848</v>
      </c>
    </row>
    <row r="68" spans="1:7" ht="15" customHeight="1" x14ac:dyDescent="0.2">
      <c r="A68" s="141">
        <v>7</v>
      </c>
      <c r="B68" s="149" t="s">
        <v>207</v>
      </c>
      <c r="C68" s="146">
        <v>2022796</v>
      </c>
      <c r="D68" s="146">
        <v>1961064</v>
      </c>
      <c r="E68" s="146">
        <f t="shared" si="2"/>
        <v>-61732</v>
      </c>
      <c r="F68" s="150">
        <f t="shared" si="3"/>
        <v>-3.0518154079798458E-2</v>
      </c>
    </row>
    <row r="69" spans="1:7" ht="15" customHeight="1" x14ac:dyDescent="0.2">
      <c r="A69" s="141">
        <v>8</v>
      </c>
      <c r="B69" s="149" t="s">
        <v>208</v>
      </c>
      <c r="C69" s="146">
        <v>287958</v>
      </c>
      <c r="D69" s="146">
        <v>263505</v>
      </c>
      <c r="E69" s="146">
        <f t="shared" si="2"/>
        <v>-24453</v>
      </c>
      <c r="F69" s="150">
        <f t="shared" si="3"/>
        <v>-8.4918633967453583E-2</v>
      </c>
    </row>
    <row r="70" spans="1:7" ht="15" customHeight="1" x14ac:dyDescent="0.2">
      <c r="A70" s="141">
        <v>9</v>
      </c>
      <c r="B70" s="149" t="s">
        <v>209</v>
      </c>
      <c r="C70" s="146">
        <v>179610</v>
      </c>
      <c r="D70" s="146">
        <v>164123</v>
      </c>
      <c r="E70" s="146">
        <f t="shared" si="2"/>
        <v>-15487</v>
      </c>
      <c r="F70" s="150">
        <f t="shared" si="3"/>
        <v>-8.622571126329269E-2</v>
      </c>
    </row>
    <row r="71" spans="1:7" ht="15" customHeight="1" x14ac:dyDescent="0.2">
      <c r="A71" s="141">
        <v>10</v>
      </c>
      <c r="B71" s="149" t="s">
        <v>210</v>
      </c>
      <c r="C71" s="146">
        <v>92301</v>
      </c>
      <c r="D71" s="146">
        <v>83043</v>
      </c>
      <c r="E71" s="146">
        <f t="shared" si="2"/>
        <v>-9258</v>
      </c>
      <c r="F71" s="150">
        <f t="shared" si="3"/>
        <v>-0.10030227191471382</v>
      </c>
    </row>
    <row r="72" spans="1:7" ht="15" customHeight="1" x14ac:dyDescent="0.2">
      <c r="A72" s="141">
        <v>11</v>
      </c>
      <c r="B72" s="149" t="s">
        <v>211</v>
      </c>
      <c r="C72" s="146">
        <v>132869</v>
      </c>
      <c r="D72" s="146">
        <v>147583</v>
      </c>
      <c r="E72" s="146">
        <f t="shared" si="2"/>
        <v>14714</v>
      </c>
      <c r="F72" s="150">
        <f t="shared" si="3"/>
        <v>0.1107406543286997</v>
      </c>
    </row>
    <row r="73" spans="1:7" ht="15" customHeight="1" x14ac:dyDescent="0.2">
      <c r="A73" s="141">
        <v>12</v>
      </c>
      <c r="B73" s="149" t="s">
        <v>212</v>
      </c>
      <c r="C73" s="146">
        <v>749661</v>
      </c>
      <c r="D73" s="146">
        <v>924468</v>
      </c>
      <c r="E73" s="146">
        <f t="shared" si="2"/>
        <v>174807</v>
      </c>
      <c r="F73" s="150">
        <f t="shared" si="3"/>
        <v>0.23318139799189233</v>
      </c>
    </row>
    <row r="74" spans="1:7" ht="15" customHeight="1" x14ac:dyDescent="0.2">
      <c r="A74" s="141">
        <v>13</v>
      </c>
      <c r="B74" s="149" t="s">
        <v>213</v>
      </c>
      <c r="C74" s="146">
        <v>367254</v>
      </c>
      <c r="D74" s="146">
        <v>175763</v>
      </c>
      <c r="E74" s="146">
        <f t="shared" si="2"/>
        <v>-191491</v>
      </c>
      <c r="F74" s="150">
        <f t="shared" si="3"/>
        <v>-0.52141297303773415</v>
      </c>
    </row>
    <row r="75" spans="1:7" ht="15" customHeight="1" x14ac:dyDescent="0.2">
      <c r="A75" s="141">
        <v>14</v>
      </c>
      <c r="B75" s="149" t="s">
        <v>214</v>
      </c>
      <c r="C75" s="146">
        <v>132814</v>
      </c>
      <c r="D75" s="146">
        <v>122581</v>
      </c>
      <c r="E75" s="146">
        <f t="shared" si="2"/>
        <v>-10233</v>
      </c>
      <c r="F75" s="150">
        <f t="shared" si="3"/>
        <v>-7.7047600403571906E-2</v>
      </c>
    </row>
    <row r="76" spans="1:7" ht="15" customHeight="1" x14ac:dyDescent="0.2">
      <c r="A76" s="141">
        <v>15</v>
      </c>
      <c r="B76" s="149" t="s">
        <v>215</v>
      </c>
      <c r="C76" s="146">
        <v>552460</v>
      </c>
      <c r="D76" s="146">
        <v>499147</v>
      </c>
      <c r="E76" s="146">
        <f t="shared" si="2"/>
        <v>-53313</v>
      </c>
      <c r="F76" s="150">
        <f t="shared" si="3"/>
        <v>-9.6501104152336814E-2</v>
      </c>
    </row>
    <row r="77" spans="1:7" ht="15" customHeight="1" x14ac:dyDescent="0.2">
      <c r="A77" s="141">
        <v>16</v>
      </c>
      <c r="B77" s="149" t="s">
        <v>216</v>
      </c>
      <c r="C77" s="146">
        <v>9861289</v>
      </c>
      <c r="D77" s="146">
        <v>9802995</v>
      </c>
      <c r="E77" s="146">
        <f t="shared" si="2"/>
        <v>-58294</v>
      </c>
      <c r="F77" s="150">
        <f t="shared" si="3"/>
        <v>-5.9113975870700068E-3</v>
      </c>
    </row>
    <row r="78" spans="1:7" ht="15.75" customHeight="1" x14ac:dyDescent="0.25">
      <c r="A78" s="141"/>
      <c r="B78" s="151" t="s">
        <v>217</v>
      </c>
      <c r="C78" s="147">
        <f>SUM(C62:C77)</f>
        <v>17062533</v>
      </c>
      <c r="D78" s="147">
        <f>SUM(D62:D77)</f>
        <v>17106325</v>
      </c>
      <c r="E78" s="147">
        <f t="shared" si="2"/>
        <v>43792</v>
      </c>
      <c r="F78" s="148">
        <f t="shared" si="3"/>
        <v>2.5665591386695046E-3</v>
      </c>
      <c r="G78" s="124"/>
    </row>
    <row r="79" spans="1:7" ht="15.75" customHeight="1" x14ac:dyDescent="0.25">
      <c r="A79" s="141"/>
      <c r="B79" s="152"/>
      <c r="C79" s="146"/>
      <c r="D79" s="146"/>
      <c r="E79" s="147"/>
      <c r="F79" s="148"/>
      <c r="G79" s="124"/>
    </row>
    <row r="80" spans="1:7" ht="15.75" customHeight="1" x14ac:dyDescent="0.25">
      <c r="A80" s="144" t="s">
        <v>218</v>
      </c>
      <c r="B80" s="145" t="s">
        <v>219</v>
      </c>
      <c r="C80" s="146"/>
      <c r="D80" s="146"/>
      <c r="E80" s="147"/>
      <c r="F80" s="148"/>
      <c r="G80" s="124"/>
    </row>
    <row r="81" spans="1:7" ht="15" customHeight="1" x14ac:dyDescent="0.2">
      <c r="A81" s="141">
        <v>1</v>
      </c>
      <c r="B81" s="149" t="s">
        <v>220</v>
      </c>
      <c r="C81" s="146">
        <v>11577</v>
      </c>
      <c r="D81" s="146">
        <v>86560</v>
      </c>
      <c r="E81" s="146">
        <f>+D81-C81</f>
        <v>74983</v>
      </c>
      <c r="F81" s="150">
        <f>IF(C81=0,0,E81/C81)</f>
        <v>6.4768938412369357</v>
      </c>
    </row>
    <row r="82" spans="1:7" ht="15.75" customHeight="1" x14ac:dyDescent="0.25">
      <c r="A82" s="141"/>
      <c r="B82" s="152"/>
      <c r="C82" s="146"/>
      <c r="D82" s="146"/>
      <c r="E82" s="147"/>
      <c r="F82" s="148"/>
      <c r="G82" s="124"/>
    </row>
    <row r="83" spans="1:7" ht="15.75" customHeight="1" x14ac:dyDescent="0.25">
      <c r="A83" s="153"/>
      <c r="B83" s="154" t="s">
        <v>221</v>
      </c>
      <c r="C83" s="147">
        <f>+C81+C78+C59+C50+C47+C44+C41+C35+C30+C24+C18</f>
        <v>108897163</v>
      </c>
      <c r="D83" s="147">
        <f>+D81+D78+D59+D50+D47+D44+D41+D35+D30+D24+D18</f>
        <v>113880767</v>
      </c>
      <c r="E83" s="147">
        <f>+D83-C83</f>
        <v>4983604</v>
      </c>
      <c r="F83" s="148">
        <f>IF(C83=0,0,E83/C83)</f>
        <v>4.5764314355921286E-2</v>
      </c>
      <c r="G83" s="155"/>
    </row>
    <row r="84" spans="1:7" ht="15.75" customHeight="1" x14ac:dyDescent="0.25">
      <c r="A84" s="153"/>
      <c r="B84" s="154"/>
      <c r="C84" s="146"/>
      <c r="D84" s="146"/>
      <c r="E84" s="146"/>
      <c r="F84" s="156"/>
      <c r="G84" s="124"/>
    </row>
    <row r="85" spans="1:7" ht="15.75" customHeight="1" x14ac:dyDescent="0.25">
      <c r="A85" s="153"/>
      <c r="B85" s="157" t="s">
        <v>222</v>
      </c>
      <c r="C85" s="146"/>
      <c r="D85" s="146"/>
      <c r="E85" s="146"/>
      <c r="F85" s="156"/>
      <c r="G85" s="124"/>
    </row>
    <row r="86" spans="1:7" ht="15.75" customHeight="1" x14ac:dyDescent="0.25">
      <c r="A86" s="153"/>
      <c r="B86" s="157"/>
      <c r="C86" s="146"/>
      <c r="D86" s="146"/>
      <c r="E86" s="146"/>
      <c r="F86" s="156"/>
      <c r="G86" s="124"/>
    </row>
    <row r="87" spans="1:7" ht="15.75" customHeight="1" x14ac:dyDescent="0.25">
      <c r="A87" s="153"/>
      <c r="B87" s="157"/>
      <c r="C87" s="146"/>
      <c r="D87" s="146"/>
      <c r="E87" s="146"/>
      <c r="F87" s="156"/>
      <c r="G87" s="124"/>
    </row>
    <row r="88" spans="1:7" ht="15.75" customHeight="1" x14ac:dyDescent="0.25">
      <c r="A88" s="158" t="s">
        <v>44</v>
      </c>
      <c r="B88" s="142" t="s">
        <v>223</v>
      </c>
      <c r="C88" s="143"/>
      <c r="D88" s="143"/>
      <c r="E88" s="159"/>
      <c r="F88" s="160"/>
      <c r="G88" s="155"/>
    </row>
    <row r="89" spans="1:7" ht="15.75" customHeight="1" x14ac:dyDescent="0.25">
      <c r="A89" s="141"/>
      <c r="B89" s="142"/>
      <c r="C89" s="143"/>
      <c r="D89" s="143"/>
      <c r="E89" s="159"/>
      <c r="F89" s="160"/>
      <c r="G89" s="155"/>
    </row>
    <row r="90" spans="1:7" ht="15.75" customHeight="1" x14ac:dyDescent="0.25">
      <c r="A90" s="144" t="s">
        <v>110</v>
      </c>
      <c r="B90" s="145" t="s">
        <v>224</v>
      </c>
      <c r="C90" s="146"/>
      <c r="D90" s="146"/>
      <c r="E90" s="147"/>
      <c r="F90" s="160"/>
      <c r="G90" s="155"/>
    </row>
    <row r="91" spans="1:7" ht="15" customHeight="1" x14ac:dyDescent="0.2">
      <c r="A91" s="141">
        <v>1</v>
      </c>
      <c r="B91" s="161" t="s">
        <v>225</v>
      </c>
      <c r="C91" s="146">
        <v>30771231</v>
      </c>
      <c r="D91" s="146">
        <v>31180157</v>
      </c>
      <c r="E91" s="146">
        <f t="shared" ref="E91:E109" si="4">D91-C91</f>
        <v>408926</v>
      </c>
      <c r="F91" s="150">
        <f t="shared" ref="F91:F109" si="5">IF(C91=0,0,E91/C91)</f>
        <v>1.3289231100309247E-2</v>
      </c>
      <c r="G91" s="155"/>
    </row>
    <row r="92" spans="1:7" ht="15" customHeight="1" x14ac:dyDescent="0.2">
      <c r="A92" s="141">
        <v>2</v>
      </c>
      <c r="B92" s="161" t="s">
        <v>226</v>
      </c>
      <c r="C92" s="146">
        <v>845542</v>
      </c>
      <c r="D92" s="146">
        <v>772763</v>
      </c>
      <c r="E92" s="146">
        <f t="shared" si="4"/>
        <v>-72779</v>
      </c>
      <c r="F92" s="150">
        <f t="shared" si="5"/>
        <v>-8.6073784625719366E-2</v>
      </c>
      <c r="G92" s="155"/>
    </row>
    <row r="93" spans="1:7" ht="15" customHeight="1" x14ac:dyDescent="0.2">
      <c r="A93" s="141">
        <v>3</v>
      </c>
      <c r="B93" s="161" t="s">
        <v>227</v>
      </c>
      <c r="C93" s="146">
        <v>1168053</v>
      </c>
      <c r="D93" s="146">
        <v>1236426</v>
      </c>
      <c r="E93" s="146">
        <f t="shared" si="4"/>
        <v>68373</v>
      </c>
      <c r="F93" s="150">
        <f t="shared" si="5"/>
        <v>5.853587123187047E-2</v>
      </c>
      <c r="G93" s="155"/>
    </row>
    <row r="94" spans="1:7" ht="15" customHeight="1" x14ac:dyDescent="0.2">
      <c r="A94" s="141">
        <v>4</v>
      </c>
      <c r="B94" s="161" t="s">
        <v>228</v>
      </c>
      <c r="C94" s="146">
        <v>1137460</v>
      </c>
      <c r="D94" s="146">
        <v>1242079</v>
      </c>
      <c r="E94" s="146">
        <f t="shared" si="4"/>
        <v>104619</v>
      </c>
      <c r="F94" s="150">
        <f t="shared" si="5"/>
        <v>9.1975981572978385E-2</v>
      </c>
      <c r="G94" s="155"/>
    </row>
    <row r="95" spans="1:7" ht="15" customHeight="1" x14ac:dyDescent="0.2">
      <c r="A95" s="141">
        <v>5</v>
      </c>
      <c r="B95" s="161" t="s">
        <v>229</v>
      </c>
      <c r="C95" s="146">
        <v>2610551</v>
      </c>
      <c r="D95" s="146">
        <v>3034991</v>
      </c>
      <c r="E95" s="146">
        <f t="shared" si="4"/>
        <v>424440</v>
      </c>
      <c r="F95" s="150">
        <f t="shared" si="5"/>
        <v>0.16258636586682276</v>
      </c>
      <c r="G95" s="155"/>
    </row>
    <row r="96" spans="1:7" ht="15" customHeight="1" x14ac:dyDescent="0.2">
      <c r="A96" s="141">
        <v>6</v>
      </c>
      <c r="B96" s="161" t="s">
        <v>230</v>
      </c>
      <c r="C96" s="146">
        <v>283712</v>
      </c>
      <c r="D96" s="146">
        <v>293267</v>
      </c>
      <c r="E96" s="146">
        <f t="shared" si="4"/>
        <v>9555</v>
      </c>
      <c r="F96" s="150">
        <f t="shared" si="5"/>
        <v>3.3678519061583576E-2</v>
      </c>
      <c r="G96" s="155"/>
    </row>
    <row r="97" spans="1:7" ht="15" customHeight="1" x14ac:dyDescent="0.2">
      <c r="A97" s="141">
        <v>7</v>
      </c>
      <c r="B97" s="161" t="s">
        <v>231</v>
      </c>
      <c r="C97" s="146">
        <v>779153</v>
      </c>
      <c r="D97" s="146">
        <v>765872</v>
      </c>
      <c r="E97" s="146">
        <f t="shared" si="4"/>
        <v>-13281</v>
      </c>
      <c r="F97" s="150">
        <f t="shared" si="5"/>
        <v>-1.704543266855162E-2</v>
      </c>
      <c r="G97" s="155"/>
    </row>
    <row r="98" spans="1:7" ht="15" customHeight="1" x14ac:dyDescent="0.2">
      <c r="A98" s="141">
        <v>8</v>
      </c>
      <c r="B98" s="161" t="s">
        <v>232</v>
      </c>
      <c r="C98" s="146">
        <v>398754</v>
      </c>
      <c r="D98" s="146">
        <v>442402</v>
      </c>
      <c r="E98" s="146">
        <f t="shared" si="4"/>
        <v>43648</v>
      </c>
      <c r="F98" s="150">
        <f t="shared" si="5"/>
        <v>0.10946097092442959</v>
      </c>
      <c r="G98" s="155"/>
    </row>
    <row r="99" spans="1:7" ht="15" customHeight="1" x14ac:dyDescent="0.2">
      <c r="A99" s="141">
        <v>9</v>
      </c>
      <c r="B99" s="161" t="s">
        <v>233</v>
      </c>
      <c r="C99" s="146">
        <v>872879</v>
      </c>
      <c r="D99" s="146">
        <v>907516</v>
      </c>
      <c r="E99" s="146">
        <f t="shared" si="4"/>
        <v>34637</v>
      </c>
      <c r="F99" s="150">
        <f t="shared" si="5"/>
        <v>3.9681330402037397E-2</v>
      </c>
      <c r="G99" s="155"/>
    </row>
    <row r="100" spans="1:7" ht="15" customHeight="1" x14ac:dyDescent="0.2">
      <c r="A100" s="141">
        <v>10</v>
      </c>
      <c r="B100" s="161" t="s">
        <v>234</v>
      </c>
      <c r="C100" s="146">
        <v>1600176</v>
      </c>
      <c r="D100" s="146">
        <v>1596809</v>
      </c>
      <c r="E100" s="146">
        <f t="shared" si="4"/>
        <v>-3367</v>
      </c>
      <c r="F100" s="150">
        <f t="shared" si="5"/>
        <v>-2.1041435442101367E-3</v>
      </c>
      <c r="G100" s="155"/>
    </row>
    <row r="101" spans="1:7" ht="15" customHeight="1" x14ac:dyDescent="0.2">
      <c r="A101" s="141">
        <v>11</v>
      </c>
      <c r="B101" s="161" t="s">
        <v>235</v>
      </c>
      <c r="C101" s="146">
        <v>1318252</v>
      </c>
      <c r="D101" s="146">
        <v>1361077</v>
      </c>
      <c r="E101" s="146">
        <f t="shared" si="4"/>
        <v>42825</v>
      </c>
      <c r="F101" s="150">
        <f t="shared" si="5"/>
        <v>3.2486201424310378E-2</v>
      </c>
      <c r="G101" s="155"/>
    </row>
    <row r="102" spans="1:7" ht="15" customHeight="1" x14ac:dyDescent="0.2">
      <c r="A102" s="141">
        <v>12</v>
      </c>
      <c r="B102" s="161" t="s">
        <v>236</v>
      </c>
      <c r="C102" s="146">
        <v>569105</v>
      </c>
      <c r="D102" s="146">
        <v>606278</v>
      </c>
      <c r="E102" s="146">
        <f t="shared" si="4"/>
        <v>37173</v>
      </c>
      <c r="F102" s="150">
        <f t="shared" si="5"/>
        <v>6.5318350743711617E-2</v>
      </c>
      <c r="G102" s="155"/>
    </row>
    <row r="103" spans="1:7" ht="15" customHeight="1" x14ac:dyDescent="0.2">
      <c r="A103" s="141">
        <v>13</v>
      </c>
      <c r="B103" s="161" t="s">
        <v>237</v>
      </c>
      <c r="C103" s="146">
        <v>2042114</v>
      </c>
      <c r="D103" s="146">
        <v>1995342</v>
      </c>
      <c r="E103" s="146">
        <f t="shared" si="4"/>
        <v>-46772</v>
      </c>
      <c r="F103" s="150">
        <f t="shared" si="5"/>
        <v>-2.290371644286264E-2</v>
      </c>
      <c r="G103" s="155"/>
    </row>
    <row r="104" spans="1:7" ht="15" customHeight="1" x14ac:dyDescent="0.2">
      <c r="A104" s="141">
        <v>14</v>
      </c>
      <c r="B104" s="161" t="s">
        <v>238</v>
      </c>
      <c r="C104" s="146">
        <v>302128</v>
      </c>
      <c r="D104" s="146">
        <v>298132</v>
      </c>
      <c r="E104" s="146">
        <f t="shared" si="4"/>
        <v>-3996</v>
      </c>
      <c r="F104" s="150">
        <f t="shared" si="5"/>
        <v>-1.3226182280357993E-2</v>
      </c>
      <c r="G104" s="155"/>
    </row>
    <row r="105" spans="1:7" ht="15" customHeight="1" x14ac:dyDescent="0.2">
      <c r="A105" s="141">
        <v>15</v>
      </c>
      <c r="B105" s="161" t="s">
        <v>207</v>
      </c>
      <c r="C105" s="146">
        <v>819619</v>
      </c>
      <c r="D105" s="146">
        <v>808531</v>
      </c>
      <c r="E105" s="146">
        <f t="shared" si="4"/>
        <v>-11088</v>
      </c>
      <c r="F105" s="150">
        <f t="shared" si="5"/>
        <v>-1.3528236900315878E-2</v>
      </c>
      <c r="G105" s="155"/>
    </row>
    <row r="106" spans="1:7" ht="15" customHeight="1" x14ac:dyDescent="0.2">
      <c r="A106" s="141">
        <v>16</v>
      </c>
      <c r="B106" s="161" t="s">
        <v>239</v>
      </c>
      <c r="C106" s="146">
        <v>371668</v>
      </c>
      <c r="D106" s="146">
        <v>374840</v>
      </c>
      <c r="E106" s="146">
        <f t="shared" si="4"/>
        <v>3172</v>
      </c>
      <c r="F106" s="150">
        <f t="shared" si="5"/>
        <v>8.5344985309469736E-3</v>
      </c>
      <c r="G106" s="155"/>
    </row>
    <row r="107" spans="1:7" ht="15" customHeight="1" x14ac:dyDescent="0.2">
      <c r="A107" s="141">
        <v>17</v>
      </c>
      <c r="B107" s="161" t="s">
        <v>240</v>
      </c>
      <c r="C107" s="146">
        <v>4583558</v>
      </c>
      <c r="D107" s="146">
        <v>4500039</v>
      </c>
      <c r="E107" s="146">
        <f t="shared" si="4"/>
        <v>-83519</v>
      </c>
      <c r="F107" s="150">
        <f t="shared" si="5"/>
        <v>-1.8221434091158003E-2</v>
      </c>
      <c r="G107" s="155"/>
    </row>
    <row r="108" spans="1:7" ht="15" customHeight="1" x14ac:dyDescent="0.2">
      <c r="A108" s="141">
        <v>18</v>
      </c>
      <c r="B108" s="161" t="s">
        <v>241</v>
      </c>
      <c r="C108" s="146">
        <v>0</v>
      </c>
      <c r="D108" s="146">
        <v>0</v>
      </c>
      <c r="E108" s="146">
        <f t="shared" si="4"/>
        <v>0</v>
      </c>
      <c r="F108" s="150">
        <f t="shared" si="5"/>
        <v>0</v>
      </c>
      <c r="G108" s="155"/>
    </row>
    <row r="109" spans="1:7" ht="15.75" customHeight="1" x14ac:dyDescent="0.25">
      <c r="A109" s="141"/>
      <c r="B109" s="154" t="s">
        <v>242</v>
      </c>
      <c r="C109" s="147">
        <f>SUM(C91:C108)</f>
        <v>50473955</v>
      </c>
      <c r="D109" s="147">
        <f>SUM(D91:D108)</f>
        <v>51416521</v>
      </c>
      <c r="E109" s="147">
        <f t="shared" si="4"/>
        <v>942566</v>
      </c>
      <c r="F109" s="148">
        <f t="shared" si="5"/>
        <v>1.8674304401151049E-2</v>
      </c>
      <c r="G109" s="155"/>
    </row>
    <row r="110" spans="1:7" ht="15.75" customHeight="1" x14ac:dyDescent="0.25">
      <c r="A110" s="141"/>
      <c r="B110" s="162"/>
      <c r="C110" s="146"/>
      <c r="D110" s="146"/>
      <c r="E110" s="147"/>
      <c r="F110" s="160"/>
      <c r="G110" s="155"/>
    </row>
    <row r="111" spans="1:7" ht="15.75" customHeight="1" x14ac:dyDescent="0.25">
      <c r="A111" s="144" t="s">
        <v>124</v>
      </c>
      <c r="B111" s="145" t="s">
        <v>243</v>
      </c>
      <c r="C111" s="146"/>
      <c r="D111" s="146"/>
      <c r="E111" s="147"/>
      <c r="F111" s="160"/>
      <c r="G111" s="155"/>
    </row>
    <row r="112" spans="1:7" ht="15" customHeight="1" x14ac:dyDescent="0.2">
      <c r="A112" s="141">
        <v>1</v>
      </c>
      <c r="B112" s="161" t="s">
        <v>244</v>
      </c>
      <c r="C112" s="146">
        <v>674109</v>
      </c>
      <c r="D112" s="146">
        <v>557935</v>
      </c>
      <c r="E112" s="146">
        <f t="shared" ref="E112:E118" si="6">D112-C112</f>
        <v>-116174</v>
      </c>
      <c r="F112" s="150">
        <f t="shared" ref="F112:F118" si="7">IF(C112=0,0,E112/C112)</f>
        <v>-0.17233711462092927</v>
      </c>
      <c r="G112" s="155"/>
    </row>
    <row r="113" spans="1:7" ht="15" customHeight="1" x14ac:dyDescent="0.2">
      <c r="A113" s="141">
        <v>2</v>
      </c>
      <c r="B113" s="161" t="s">
        <v>245</v>
      </c>
      <c r="C113" s="146">
        <v>0</v>
      </c>
      <c r="D113" s="146">
        <v>0</v>
      </c>
      <c r="E113" s="146">
        <f t="shared" si="6"/>
        <v>0</v>
      </c>
      <c r="F113" s="150">
        <f t="shared" si="7"/>
        <v>0</v>
      </c>
      <c r="G113" s="155"/>
    </row>
    <row r="114" spans="1:7" ht="15" customHeight="1" x14ac:dyDescent="0.2">
      <c r="A114" s="141">
        <v>3</v>
      </c>
      <c r="B114" s="161" t="s">
        <v>246</v>
      </c>
      <c r="C114" s="146">
        <v>1084092</v>
      </c>
      <c r="D114" s="146">
        <v>1065432</v>
      </c>
      <c r="E114" s="146">
        <f t="shared" si="6"/>
        <v>-18660</v>
      </c>
      <c r="F114" s="150">
        <f t="shared" si="7"/>
        <v>-1.7212561295535802E-2</v>
      </c>
      <c r="G114" s="155"/>
    </row>
    <row r="115" spans="1:7" ht="15" customHeight="1" x14ac:dyDescent="0.2">
      <c r="A115" s="141">
        <v>4</v>
      </c>
      <c r="B115" s="161" t="s">
        <v>247</v>
      </c>
      <c r="C115" s="146">
        <v>1596485</v>
      </c>
      <c r="D115" s="146">
        <v>1610666</v>
      </c>
      <c r="E115" s="146">
        <f t="shared" si="6"/>
        <v>14181</v>
      </c>
      <c r="F115" s="150">
        <f t="shared" si="7"/>
        <v>8.8826390476578233E-3</v>
      </c>
      <c r="G115" s="155"/>
    </row>
    <row r="116" spans="1:7" ht="15" customHeight="1" x14ac:dyDescent="0.2">
      <c r="A116" s="141">
        <v>5</v>
      </c>
      <c r="B116" s="161" t="s">
        <v>248</v>
      </c>
      <c r="C116" s="146">
        <v>1450609</v>
      </c>
      <c r="D116" s="146">
        <v>1471080</v>
      </c>
      <c r="E116" s="146">
        <f t="shared" si="6"/>
        <v>20471</v>
      </c>
      <c r="F116" s="150">
        <f t="shared" si="7"/>
        <v>1.411200399280578E-2</v>
      </c>
      <c r="G116" s="155"/>
    </row>
    <row r="117" spans="1:7" ht="15" customHeight="1" x14ac:dyDescent="0.2">
      <c r="A117" s="141">
        <v>6</v>
      </c>
      <c r="B117" s="161" t="s">
        <v>249</v>
      </c>
      <c r="C117" s="146">
        <v>0</v>
      </c>
      <c r="D117" s="146">
        <v>0</v>
      </c>
      <c r="E117" s="146">
        <f t="shared" si="6"/>
        <v>0</v>
      </c>
      <c r="F117" s="150">
        <f t="shared" si="7"/>
        <v>0</v>
      </c>
      <c r="G117" s="155"/>
    </row>
    <row r="118" spans="1:7" ht="15.75" customHeight="1" x14ac:dyDescent="0.25">
      <c r="A118" s="141"/>
      <c r="B118" s="154" t="s">
        <v>250</v>
      </c>
      <c r="C118" s="147">
        <f>SUM(C112:C117)</f>
        <v>4805295</v>
      </c>
      <c r="D118" s="147">
        <f>SUM(D112:D117)</f>
        <v>4705113</v>
      </c>
      <c r="E118" s="147">
        <f t="shared" si="6"/>
        <v>-100182</v>
      </c>
      <c r="F118" s="148">
        <f t="shared" si="7"/>
        <v>-2.084825177226372E-2</v>
      </c>
      <c r="G118" s="155"/>
    </row>
    <row r="119" spans="1:7" ht="15.75" customHeight="1" x14ac:dyDescent="0.25">
      <c r="A119" s="141"/>
      <c r="B119" s="162"/>
      <c r="C119" s="146"/>
      <c r="D119" s="146"/>
      <c r="E119" s="147"/>
      <c r="F119" s="160"/>
      <c r="G119" s="155"/>
    </row>
    <row r="120" spans="1:7" ht="15.75" customHeight="1" x14ac:dyDescent="0.25">
      <c r="A120" s="144" t="s">
        <v>141</v>
      </c>
      <c r="B120" s="145" t="s">
        <v>251</v>
      </c>
      <c r="C120" s="146"/>
      <c r="D120" s="146"/>
      <c r="E120" s="147"/>
      <c r="F120" s="160"/>
      <c r="G120" s="155"/>
    </row>
    <row r="121" spans="1:7" ht="15" customHeight="1" x14ac:dyDescent="0.2">
      <c r="A121" s="141">
        <v>1</v>
      </c>
      <c r="B121" s="161" t="s">
        <v>252</v>
      </c>
      <c r="C121" s="146">
        <v>6770944</v>
      </c>
      <c r="D121" s="146">
        <v>6939749</v>
      </c>
      <c r="E121" s="146">
        <f t="shared" ref="E121:E155" si="8">D121-C121</f>
        <v>168805</v>
      </c>
      <c r="F121" s="150">
        <f t="shared" ref="F121:F155" si="9">IF(C121=0,0,E121/C121)</f>
        <v>2.4930792515785095E-2</v>
      </c>
      <c r="G121" s="155"/>
    </row>
    <row r="122" spans="1:7" ht="15" customHeight="1" x14ac:dyDescent="0.2">
      <c r="A122" s="141">
        <v>2</v>
      </c>
      <c r="B122" s="161" t="s">
        <v>253</v>
      </c>
      <c r="C122" s="146">
        <v>489645</v>
      </c>
      <c r="D122" s="146">
        <v>524244</v>
      </c>
      <c r="E122" s="146">
        <f t="shared" si="8"/>
        <v>34599</v>
      </c>
      <c r="F122" s="150">
        <f t="shared" si="9"/>
        <v>7.0661397543117968E-2</v>
      </c>
      <c r="G122" s="155"/>
    </row>
    <row r="123" spans="1:7" ht="15" customHeight="1" x14ac:dyDescent="0.2">
      <c r="A123" s="141">
        <v>3</v>
      </c>
      <c r="B123" s="161" t="s">
        <v>254</v>
      </c>
      <c r="C123" s="146">
        <v>199882</v>
      </c>
      <c r="D123" s="146">
        <v>180311</v>
      </c>
      <c r="E123" s="146">
        <f t="shared" si="8"/>
        <v>-19571</v>
      </c>
      <c r="F123" s="150">
        <f t="shared" si="9"/>
        <v>-9.7912768533434724E-2</v>
      </c>
      <c r="G123" s="155"/>
    </row>
    <row r="124" spans="1:7" ht="15" customHeight="1" x14ac:dyDescent="0.2">
      <c r="A124" s="141">
        <v>4</v>
      </c>
      <c r="B124" s="161" t="s">
        <v>255</v>
      </c>
      <c r="C124" s="146">
        <v>564914</v>
      </c>
      <c r="D124" s="146">
        <v>617457</v>
      </c>
      <c r="E124" s="146">
        <f t="shared" si="8"/>
        <v>52543</v>
      </c>
      <c r="F124" s="150">
        <f t="shared" si="9"/>
        <v>9.3010617545325483E-2</v>
      </c>
      <c r="G124" s="155"/>
    </row>
    <row r="125" spans="1:7" ht="15" customHeight="1" x14ac:dyDescent="0.2">
      <c r="A125" s="141">
        <v>5</v>
      </c>
      <c r="B125" s="161" t="s">
        <v>256</v>
      </c>
      <c r="C125" s="146">
        <v>3008481</v>
      </c>
      <c r="D125" s="146">
        <v>2996806</v>
      </c>
      <c r="E125" s="146">
        <f t="shared" si="8"/>
        <v>-11675</v>
      </c>
      <c r="F125" s="150">
        <f t="shared" si="9"/>
        <v>-3.8806959392464172E-3</v>
      </c>
      <c r="G125" s="155"/>
    </row>
    <row r="126" spans="1:7" ht="15" customHeight="1" x14ac:dyDescent="0.2">
      <c r="A126" s="141">
        <v>6</v>
      </c>
      <c r="B126" s="161" t="s">
        <v>257</v>
      </c>
      <c r="C126" s="146">
        <v>346364</v>
      </c>
      <c r="D126" s="146">
        <v>406908</v>
      </c>
      <c r="E126" s="146">
        <f t="shared" si="8"/>
        <v>60544</v>
      </c>
      <c r="F126" s="150">
        <f t="shared" si="9"/>
        <v>0.17479876661546812</v>
      </c>
      <c r="G126" s="155"/>
    </row>
    <row r="127" spans="1:7" ht="15" customHeight="1" x14ac:dyDescent="0.2">
      <c r="A127" s="141">
        <v>7</v>
      </c>
      <c r="B127" s="161" t="s">
        <v>258</v>
      </c>
      <c r="C127" s="146">
        <v>1216732</v>
      </c>
      <c r="D127" s="146">
        <v>1388193</v>
      </c>
      <c r="E127" s="146">
        <f t="shared" si="8"/>
        <v>171461</v>
      </c>
      <c r="F127" s="150">
        <f t="shared" si="9"/>
        <v>0.14091928214265753</v>
      </c>
      <c r="G127" s="155"/>
    </row>
    <row r="128" spans="1:7" ht="15" customHeight="1" x14ac:dyDescent="0.2">
      <c r="A128" s="141">
        <v>8</v>
      </c>
      <c r="B128" s="161" t="s">
        <v>259</v>
      </c>
      <c r="C128" s="146">
        <v>368932</v>
      </c>
      <c r="D128" s="146">
        <v>413819</v>
      </c>
      <c r="E128" s="146">
        <f t="shared" si="8"/>
        <v>44887</v>
      </c>
      <c r="F128" s="150">
        <f t="shared" si="9"/>
        <v>0.12166740754393764</v>
      </c>
      <c r="G128" s="155"/>
    </row>
    <row r="129" spans="1:7" ht="15" customHeight="1" x14ac:dyDescent="0.2">
      <c r="A129" s="141">
        <v>9</v>
      </c>
      <c r="B129" s="161" t="s">
        <v>260</v>
      </c>
      <c r="C129" s="146">
        <v>817463</v>
      </c>
      <c r="D129" s="146">
        <v>746814</v>
      </c>
      <c r="E129" s="146">
        <f t="shared" si="8"/>
        <v>-70649</v>
      </c>
      <c r="F129" s="150">
        <f t="shared" si="9"/>
        <v>-8.6424706683972244E-2</v>
      </c>
      <c r="G129" s="155"/>
    </row>
    <row r="130" spans="1:7" ht="15" customHeight="1" x14ac:dyDescent="0.2">
      <c r="A130" s="141">
        <v>10</v>
      </c>
      <c r="B130" s="161" t="s">
        <v>261</v>
      </c>
      <c r="C130" s="146">
        <v>6437714</v>
      </c>
      <c r="D130" s="146">
        <v>6245044</v>
      </c>
      <c r="E130" s="146">
        <f t="shared" si="8"/>
        <v>-192670</v>
      </c>
      <c r="F130" s="150">
        <f t="shared" si="9"/>
        <v>-2.992832548945169E-2</v>
      </c>
      <c r="G130" s="155"/>
    </row>
    <row r="131" spans="1:7" ht="15" customHeight="1" x14ac:dyDescent="0.2">
      <c r="A131" s="141">
        <v>11</v>
      </c>
      <c r="B131" s="161" t="s">
        <v>262</v>
      </c>
      <c r="C131" s="146">
        <v>1271305</v>
      </c>
      <c r="D131" s="146">
        <v>1188664</v>
      </c>
      <c r="E131" s="146">
        <f t="shared" si="8"/>
        <v>-82641</v>
      </c>
      <c r="F131" s="150">
        <f t="shared" si="9"/>
        <v>-6.5004857213650541E-2</v>
      </c>
      <c r="G131" s="155"/>
    </row>
    <row r="132" spans="1:7" ht="15" customHeight="1" x14ac:dyDescent="0.2">
      <c r="A132" s="141">
        <v>12</v>
      </c>
      <c r="B132" s="161" t="s">
        <v>263</v>
      </c>
      <c r="C132" s="146">
        <v>0</v>
      </c>
      <c r="D132" s="146">
        <v>0</v>
      </c>
      <c r="E132" s="146">
        <f t="shared" si="8"/>
        <v>0</v>
      </c>
      <c r="F132" s="150">
        <f t="shared" si="9"/>
        <v>0</v>
      </c>
      <c r="G132" s="155"/>
    </row>
    <row r="133" spans="1:7" ht="15" customHeight="1" x14ac:dyDescent="0.2">
      <c r="A133" s="141">
        <v>13</v>
      </c>
      <c r="B133" s="161" t="s">
        <v>264</v>
      </c>
      <c r="C133" s="146">
        <v>318642</v>
      </c>
      <c r="D133" s="146">
        <v>282947</v>
      </c>
      <c r="E133" s="146">
        <f t="shared" si="8"/>
        <v>-35695</v>
      </c>
      <c r="F133" s="150">
        <f t="shared" si="9"/>
        <v>-0.11202226950621701</v>
      </c>
      <c r="G133" s="155"/>
    </row>
    <row r="134" spans="1:7" ht="15" customHeight="1" x14ac:dyDescent="0.2">
      <c r="A134" s="141">
        <v>14</v>
      </c>
      <c r="B134" s="161" t="s">
        <v>265</v>
      </c>
      <c r="C134" s="146">
        <v>7582</v>
      </c>
      <c r="D134" s="146">
        <v>4830</v>
      </c>
      <c r="E134" s="146">
        <f t="shared" si="8"/>
        <v>-2752</v>
      </c>
      <c r="F134" s="150">
        <f t="shared" si="9"/>
        <v>-0.36296491690846744</v>
      </c>
      <c r="G134" s="155"/>
    </row>
    <row r="135" spans="1:7" ht="15" customHeight="1" x14ac:dyDescent="0.2">
      <c r="A135" s="141">
        <v>15</v>
      </c>
      <c r="B135" s="161" t="s">
        <v>266</v>
      </c>
      <c r="C135" s="146">
        <v>253</v>
      </c>
      <c r="D135" s="146">
        <v>36129</v>
      </c>
      <c r="E135" s="146">
        <f t="shared" si="8"/>
        <v>35876</v>
      </c>
      <c r="F135" s="150">
        <f t="shared" si="9"/>
        <v>141.80237154150197</v>
      </c>
      <c r="G135" s="155"/>
    </row>
    <row r="136" spans="1:7" ht="15" customHeight="1" x14ac:dyDescent="0.2">
      <c r="A136" s="141">
        <v>16</v>
      </c>
      <c r="B136" s="161" t="s">
        <v>267</v>
      </c>
      <c r="C136" s="146">
        <v>50276</v>
      </c>
      <c r="D136" s="146">
        <v>44754</v>
      </c>
      <c r="E136" s="146">
        <f t="shared" si="8"/>
        <v>-5522</v>
      </c>
      <c r="F136" s="150">
        <f t="shared" si="9"/>
        <v>-0.1098337178773172</v>
      </c>
      <c r="G136" s="155"/>
    </row>
    <row r="137" spans="1:7" ht="15" customHeight="1" x14ac:dyDescent="0.2">
      <c r="A137" s="141">
        <v>17</v>
      </c>
      <c r="B137" s="161" t="s">
        <v>268</v>
      </c>
      <c r="C137" s="146">
        <v>0</v>
      </c>
      <c r="D137" s="146">
        <v>0</v>
      </c>
      <c r="E137" s="146">
        <f t="shared" si="8"/>
        <v>0</v>
      </c>
      <c r="F137" s="150">
        <f t="shared" si="9"/>
        <v>0</v>
      </c>
      <c r="G137" s="155"/>
    </row>
    <row r="138" spans="1:7" ht="15" customHeight="1" x14ac:dyDescent="0.2">
      <c r="A138" s="141">
        <v>18</v>
      </c>
      <c r="B138" s="161" t="s">
        <v>269</v>
      </c>
      <c r="C138" s="146">
        <v>773563</v>
      </c>
      <c r="D138" s="146">
        <v>821593</v>
      </c>
      <c r="E138" s="146">
        <f t="shared" si="8"/>
        <v>48030</v>
      </c>
      <c r="F138" s="150">
        <f t="shared" si="9"/>
        <v>6.2089319163403628E-2</v>
      </c>
      <c r="G138" s="155"/>
    </row>
    <row r="139" spans="1:7" ht="15" customHeight="1" x14ac:dyDescent="0.2">
      <c r="A139" s="141">
        <v>19</v>
      </c>
      <c r="B139" s="161" t="s">
        <v>270</v>
      </c>
      <c r="C139" s="146">
        <v>219381</v>
      </c>
      <c r="D139" s="146">
        <v>229977</v>
      </c>
      <c r="E139" s="146">
        <f t="shared" si="8"/>
        <v>10596</v>
      </c>
      <c r="F139" s="150">
        <f t="shared" si="9"/>
        <v>4.8299533687967508E-2</v>
      </c>
      <c r="G139" s="155"/>
    </row>
    <row r="140" spans="1:7" ht="15" customHeight="1" x14ac:dyDescent="0.2">
      <c r="A140" s="141">
        <v>20</v>
      </c>
      <c r="B140" s="161" t="s">
        <v>271</v>
      </c>
      <c r="C140" s="146">
        <v>0</v>
      </c>
      <c r="D140" s="146">
        <v>0</v>
      </c>
      <c r="E140" s="146">
        <f t="shared" si="8"/>
        <v>0</v>
      </c>
      <c r="F140" s="150">
        <f t="shared" si="9"/>
        <v>0</v>
      </c>
      <c r="G140" s="155"/>
    </row>
    <row r="141" spans="1:7" ht="15" customHeight="1" x14ac:dyDescent="0.2">
      <c r="A141" s="141">
        <v>21</v>
      </c>
      <c r="B141" s="161" t="s">
        <v>272</v>
      </c>
      <c r="C141" s="146">
        <v>0</v>
      </c>
      <c r="D141" s="146">
        <v>0</v>
      </c>
      <c r="E141" s="146">
        <f t="shared" si="8"/>
        <v>0</v>
      </c>
      <c r="F141" s="150">
        <f t="shared" si="9"/>
        <v>0</v>
      </c>
      <c r="G141" s="155"/>
    </row>
    <row r="142" spans="1:7" ht="15" customHeight="1" x14ac:dyDescent="0.2">
      <c r="A142" s="141">
        <v>22</v>
      </c>
      <c r="B142" s="161" t="s">
        <v>273</v>
      </c>
      <c r="C142" s="146">
        <v>3950850</v>
      </c>
      <c r="D142" s="146">
        <v>4330595</v>
      </c>
      <c r="E142" s="146">
        <f t="shared" si="8"/>
        <v>379745</v>
      </c>
      <c r="F142" s="150">
        <f t="shared" si="9"/>
        <v>9.6117291215814318E-2</v>
      </c>
      <c r="G142" s="155"/>
    </row>
    <row r="143" spans="1:7" ht="15" customHeight="1" x14ac:dyDescent="0.2">
      <c r="A143" s="141">
        <v>23</v>
      </c>
      <c r="B143" s="161" t="s">
        <v>274</v>
      </c>
      <c r="C143" s="146">
        <v>239133</v>
      </c>
      <c r="D143" s="146">
        <v>186852</v>
      </c>
      <c r="E143" s="146">
        <f t="shared" si="8"/>
        <v>-52281</v>
      </c>
      <c r="F143" s="150">
        <f t="shared" si="9"/>
        <v>-0.21862729108905923</v>
      </c>
      <c r="G143" s="155"/>
    </row>
    <row r="144" spans="1:7" ht="15" customHeight="1" x14ac:dyDescent="0.2">
      <c r="A144" s="141">
        <v>24</v>
      </c>
      <c r="B144" s="161" t="s">
        <v>275</v>
      </c>
      <c r="C144" s="146">
        <v>5141870</v>
      </c>
      <c r="D144" s="146">
        <v>5643883</v>
      </c>
      <c r="E144" s="146">
        <f t="shared" si="8"/>
        <v>502013</v>
      </c>
      <c r="F144" s="150">
        <f t="shared" si="9"/>
        <v>9.7632378881613108E-2</v>
      </c>
      <c r="G144" s="155"/>
    </row>
    <row r="145" spans="1:7" ht="15" customHeight="1" x14ac:dyDescent="0.2">
      <c r="A145" s="141">
        <v>25</v>
      </c>
      <c r="B145" s="161" t="s">
        <v>276</v>
      </c>
      <c r="C145" s="146">
        <v>245620</v>
      </c>
      <c r="D145" s="146">
        <v>252570</v>
      </c>
      <c r="E145" s="146">
        <f t="shared" si="8"/>
        <v>6950</v>
      </c>
      <c r="F145" s="150">
        <f t="shared" si="9"/>
        <v>2.8295741389137694E-2</v>
      </c>
      <c r="G145" s="155"/>
    </row>
    <row r="146" spans="1:7" ht="15" customHeight="1" x14ac:dyDescent="0.2">
      <c r="A146" s="141">
        <v>26</v>
      </c>
      <c r="B146" s="161" t="s">
        <v>277</v>
      </c>
      <c r="C146" s="146">
        <v>133826</v>
      </c>
      <c r="D146" s="146">
        <v>137491</v>
      </c>
      <c r="E146" s="146">
        <f t="shared" si="8"/>
        <v>3665</v>
      </c>
      <c r="F146" s="150">
        <f t="shared" si="9"/>
        <v>2.7386307593442231E-2</v>
      </c>
      <c r="G146" s="155"/>
    </row>
    <row r="147" spans="1:7" ht="15" customHeight="1" x14ac:dyDescent="0.2">
      <c r="A147" s="141">
        <v>27</v>
      </c>
      <c r="B147" s="161" t="s">
        <v>278</v>
      </c>
      <c r="C147" s="146">
        <v>0</v>
      </c>
      <c r="D147" s="146">
        <v>0</v>
      </c>
      <c r="E147" s="146">
        <f t="shared" si="8"/>
        <v>0</v>
      </c>
      <c r="F147" s="150">
        <f t="shared" si="9"/>
        <v>0</v>
      </c>
      <c r="G147" s="155"/>
    </row>
    <row r="148" spans="1:7" ht="15" customHeight="1" x14ac:dyDescent="0.2">
      <c r="A148" s="141">
        <v>28</v>
      </c>
      <c r="B148" s="161" t="s">
        <v>279</v>
      </c>
      <c r="C148" s="146">
        <v>356910</v>
      </c>
      <c r="D148" s="146">
        <v>333711</v>
      </c>
      <c r="E148" s="146">
        <f t="shared" si="8"/>
        <v>-23199</v>
      </c>
      <c r="F148" s="150">
        <f t="shared" si="9"/>
        <v>-6.4999579725981346E-2</v>
      </c>
      <c r="G148" s="155"/>
    </row>
    <row r="149" spans="1:7" ht="15" customHeight="1" x14ac:dyDescent="0.2">
      <c r="A149" s="141">
        <v>29</v>
      </c>
      <c r="B149" s="161" t="s">
        <v>280</v>
      </c>
      <c r="C149" s="146">
        <v>358068</v>
      </c>
      <c r="D149" s="146">
        <v>380078</v>
      </c>
      <c r="E149" s="146">
        <f t="shared" si="8"/>
        <v>22010</v>
      </c>
      <c r="F149" s="150">
        <f t="shared" si="9"/>
        <v>6.1468771294837854E-2</v>
      </c>
      <c r="G149" s="155"/>
    </row>
    <row r="150" spans="1:7" ht="15" customHeight="1" x14ac:dyDescent="0.2">
      <c r="A150" s="141">
        <v>30</v>
      </c>
      <c r="B150" s="161" t="s">
        <v>281</v>
      </c>
      <c r="C150" s="146">
        <v>0</v>
      </c>
      <c r="D150" s="146">
        <v>0</v>
      </c>
      <c r="E150" s="146">
        <f t="shared" si="8"/>
        <v>0</v>
      </c>
      <c r="F150" s="150">
        <f t="shared" si="9"/>
        <v>0</v>
      </c>
      <c r="G150" s="155"/>
    </row>
    <row r="151" spans="1:7" ht="15" customHeight="1" x14ac:dyDescent="0.2">
      <c r="A151" s="141">
        <v>31</v>
      </c>
      <c r="B151" s="161" t="s">
        <v>282</v>
      </c>
      <c r="C151" s="146">
        <v>333746</v>
      </c>
      <c r="D151" s="146">
        <v>320755</v>
      </c>
      <c r="E151" s="146">
        <f t="shared" si="8"/>
        <v>-12991</v>
      </c>
      <c r="F151" s="150">
        <f t="shared" si="9"/>
        <v>-3.8924811083878158E-2</v>
      </c>
      <c r="G151" s="155"/>
    </row>
    <row r="152" spans="1:7" ht="15" customHeight="1" x14ac:dyDescent="0.2">
      <c r="A152" s="141">
        <v>32</v>
      </c>
      <c r="B152" s="161" t="s">
        <v>283</v>
      </c>
      <c r="C152" s="146">
        <v>585305</v>
      </c>
      <c r="D152" s="146">
        <v>855803</v>
      </c>
      <c r="E152" s="146">
        <f t="shared" si="8"/>
        <v>270498</v>
      </c>
      <c r="F152" s="150">
        <f t="shared" si="9"/>
        <v>0.46214879421839894</v>
      </c>
      <c r="G152" s="155"/>
    </row>
    <row r="153" spans="1:7" ht="15" customHeight="1" x14ac:dyDescent="0.2">
      <c r="A153" s="141">
        <v>33</v>
      </c>
      <c r="B153" s="161" t="s">
        <v>284</v>
      </c>
      <c r="C153" s="146">
        <v>0</v>
      </c>
      <c r="D153" s="146">
        <v>0</v>
      </c>
      <c r="E153" s="146">
        <f t="shared" si="8"/>
        <v>0</v>
      </c>
      <c r="F153" s="150">
        <f t="shared" si="9"/>
        <v>0</v>
      </c>
      <c r="G153" s="155"/>
    </row>
    <row r="154" spans="1:7" ht="15" customHeight="1" x14ac:dyDescent="0.2">
      <c r="A154" s="141">
        <v>34</v>
      </c>
      <c r="B154" s="161" t="s">
        <v>285</v>
      </c>
      <c r="C154" s="146">
        <v>186211</v>
      </c>
      <c r="D154" s="146">
        <v>103087</v>
      </c>
      <c r="E154" s="146">
        <f t="shared" si="8"/>
        <v>-83124</v>
      </c>
      <c r="F154" s="150">
        <f t="shared" si="9"/>
        <v>-0.44639682940320391</v>
      </c>
      <c r="G154" s="155"/>
    </row>
    <row r="155" spans="1:7" ht="15.75" customHeight="1" x14ac:dyDescent="0.25">
      <c r="A155" s="141"/>
      <c r="B155" s="154" t="s">
        <v>286</v>
      </c>
      <c r="C155" s="147">
        <f>SUM(C121:C154)</f>
        <v>34393612</v>
      </c>
      <c r="D155" s="147">
        <f>SUM(D121:D154)</f>
        <v>35613064</v>
      </c>
      <c r="E155" s="147">
        <f t="shared" si="8"/>
        <v>1219452</v>
      </c>
      <c r="F155" s="148">
        <f t="shared" si="9"/>
        <v>3.545577010056402E-2</v>
      </c>
      <c r="G155" s="155"/>
    </row>
    <row r="156" spans="1:7" ht="15.75" customHeight="1" x14ac:dyDescent="0.25">
      <c r="A156" s="141"/>
      <c r="B156" s="162"/>
      <c r="C156" s="146"/>
      <c r="D156" s="146"/>
      <c r="E156" s="147"/>
      <c r="F156" s="160"/>
      <c r="G156" s="155"/>
    </row>
    <row r="157" spans="1:7" ht="15.75" customHeight="1" x14ac:dyDescent="0.25">
      <c r="A157" s="144" t="s">
        <v>171</v>
      </c>
      <c r="B157" s="145" t="s">
        <v>287</v>
      </c>
      <c r="C157" s="146"/>
      <c r="D157" s="146"/>
      <c r="E157" s="147"/>
      <c r="F157" s="160"/>
      <c r="G157" s="155"/>
    </row>
    <row r="158" spans="1:7" ht="15" customHeight="1" x14ac:dyDescent="0.2">
      <c r="A158" s="141">
        <v>1</v>
      </c>
      <c r="B158" s="161" t="s">
        <v>288</v>
      </c>
      <c r="C158" s="146">
        <v>6583339</v>
      </c>
      <c r="D158" s="146">
        <v>7112909</v>
      </c>
      <c r="E158" s="146">
        <f t="shared" ref="E158:E171" si="10">D158-C158</f>
        <v>529570</v>
      </c>
      <c r="F158" s="150">
        <f t="shared" ref="F158:F171" si="11">IF(C158=0,0,E158/C158)</f>
        <v>8.0440943417922114E-2</v>
      </c>
      <c r="G158" s="155"/>
    </row>
    <row r="159" spans="1:7" ht="15" customHeight="1" x14ac:dyDescent="0.2">
      <c r="A159" s="141">
        <v>2</v>
      </c>
      <c r="B159" s="161" t="s">
        <v>289</v>
      </c>
      <c r="C159" s="146">
        <v>2056409</v>
      </c>
      <c r="D159" s="146">
        <v>2231820</v>
      </c>
      <c r="E159" s="146">
        <f t="shared" si="10"/>
        <v>175411</v>
      </c>
      <c r="F159" s="150">
        <f t="shared" si="11"/>
        <v>8.5299665582089942E-2</v>
      </c>
      <c r="G159" s="155"/>
    </row>
    <row r="160" spans="1:7" ht="15" customHeight="1" x14ac:dyDescent="0.2">
      <c r="A160" s="141">
        <v>3</v>
      </c>
      <c r="B160" s="161" t="s">
        <v>290</v>
      </c>
      <c r="C160" s="146">
        <v>0</v>
      </c>
      <c r="D160" s="146">
        <v>0</v>
      </c>
      <c r="E160" s="146">
        <f t="shared" si="10"/>
        <v>0</v>
      </c>
      <c r="F160" s="150">
        <f t="shared" si="11"/>
        <v>0</v>
      </c>
      <c r="G160" s="155"/>
    </row>
    <row r="161" spans="1:7" ht="15" customHeight="1" x14ac:dyDescent="0.2">
      <c r="A161" s="141">
        <v>4</v>
      </c>
      <c r="B161" s="161" t="s">
        <v>291</v>
      </c>
      <c r="C161" s="146">
        <v>2611183</v>
      </c>
      <c r="D161" s="146">
        <v>2517029</v>
      </c>
      <c r="E161" s="146">
        <f t="shared" si="10"/>
        <v>-94154</v>
      </c>
      <c r="F161" s="150">
        <f t="shared" si="11"/>
        <v>-3.6057985978003075E-2</v>
      </c>
      <c r="G161" s="155"/>
    </row>
    <row r="162" spans="1:7" ht="15" customHeight="1" x14ac:dyDescent="0.2">
      <c r="A162" s="141">
        <v>5</v>
      </c>
      <c r="B162" s="161" t="s">
        <v>292</v>
      </c>
      <c r="C162" s="146">
        <v>865133</v>
      </c>
      <c r="D162" s="146">
        <v>850117</v>
      </c>
      <c r="E162" s="146">
        <f t="shared" si="10"/>
        <v>-15016</v>
      </c>
      <c r="F162" s="150">
        <f t="shared" si="11"/>
        <v>-1.7356868828261089E-2</v>
      </c>
      <c r="G162" s="155"/>
    </row>
    <row r="163" spans="1:7" ht="15" customHeight="1" x14ac:dyDescent="0.2">
      <c r="A163" s="141">
        <v>6</v>
      </c>
      <c r="B163" s="161" t="s">
        <v>293</v>
      </c>
      <c r="C163" s="146">
        <v>847490</v>
      </c>
      <c r="D163" s="146">
        <v>975522</v>
      </c>
      <c r="E163" s="146">
        <f t="shared" si="10"/>
        <v>128032</v>
      </c>
      <c r="F163" s="150">
        <f t="shared" si="11"/>
        <v>0.15107198905001828</v>
      </c>
      <c r="G163" s="155"/>
    </row>
    <row r="164" spans="1:7" ht="15" customHeight="1" x14ac:dyDescent="0.2">
      <c r="A164" s="141">
        <v>7</v>
      </c>
      <c r="B164" s="161" t="s">
        <v>294</v>
      </c>
      <c r="C164" s="146">
        <v>328023</v>
      </c>
      <c r="D164" s="146">
        <v>306919</v>
      </c>
      <c r="E164" s="146">
        <f t="shared" si="10"/>
        <v>-21104</v>
      </c>
      <c r="F164" s="150">
        <f t="shared" si="11"/>
        <v>-6.4336951982025645E-2</v>
      </c>
      <c r="G164" s="155"/>
    </row>
    <row r="165" spans="1:7" ht="15" customHeight="1" x14ac:dyDescent="0.2">
      <c r="A165" s="141">
        <v>8</v>
      </c>
      <c r="B165" s="161" t="s">
        <v>295</v>
      </c>
      <c r="C165" s="146">
        <v>0</v>
      </c>
      <c r="D165" s="146">
        <v>0</v>
      </c>
      <c r="E165" s="146">
        <f t="shared" si="10"/>
        <v>0</v>
      </c>
      <c r="F165" s="150">
        <f t="shared" si="11"/>
        <v>0</v>
      </c>
      <c r="G165" s="155"/>
    </row>
    <row r="166" spans="1:7" ht="15" customHeight="1" x14ac:dyDescent="0.2">
      <c r="A166" s="141">
        <v>9</v>
      </c>
      <c r="B166" s="161" t="s">
        <v>296</v>
      </c>
      <c r="C166" s="146">
        <v>0</v>
      </c>
      <c r="D166" s="146">
        <v>0</v>
      </c>
      <c r="E166" s="146">
        <f t="shared" si="10"/>
        <v>0</v>
      </c>
      <c r="F166" s="150">
        <f t="shared" si="11"/>
        <v>0</v>
      </c>
      <c r="G166" s="155"/>
    </row>
    <row r="167" spans="1:7" ht="15" customHeight="1" x14ac:dyDescent="0.2">
      <c r="A167" s="141">
        <v>10</v>
      </c>
      <c r="B167" s="161" t="s">
        <v>297</v>
      </c>
      <c r="C167" s="146">
        <v>695819</v>
      </c>
      <c r="D167" s="146">
        <v>692926</v>
      </c>
      <c r="E167" s="146">
        <f t="shared" si="10"/>
        <v>-2893</v>
      </c>
      <c r="F167" s="150">
        <f t="shared" si="11"/>
        <v>-4.1576904338628297E-3</v>
      </c>
      <c r="G167" s="155"/>
    </row>
    <row r="168" spans="1:7" ht="15" customHeight="1" x14ac:dyDescent="0.2">
      <c r="A168" s="141">
        <v>11</v>
      </c>
      <c r="B168" s="161" t="s">
        <v>298</v>
      </c>
      <c r="C168" s="146">
        <v>0</v>
      </c>
      <c r="D168" s="146">
        <v>0</v>
      </c>
      <c r="E168" s="146">
        <f t="shared" si="10"/>
        <v>0</v>
      </c>
      <c r="F168" s="150">
        <f t="shared" si="11"/>
        <v>0</v>
      </c>
      <c r="G168" s="155"/>
    </row>
    <row r="169" spans="1:7" ht="15" customHeight="1" x14ac:dyDescent="0.2">
      <c r="A169" s="141">
        <v>12</v>
      </c>
      <c r="B169" s="161" t="s">
        <v>299</v>
      </c>
      <c r="C169" s="146">
        <v>3426977</v>
      </c>
      <c r="D169" s="146">
        <v>5878772</v>
      </c>
      <c r="E169" s="146">
        <f t="shared" si="10"/>
        <v>2451795</v>
      </c>
      <c r="F169" s="150">
        <f t="shared" si="11"/>
        <v>0.71543958421664344</v>
      </c>
      <c r="G169" s="155"/>
    </row>
    <row r="170" spans="1:7" ht="15" customHeight="1" x14ac:dyDescent="0.2">
      <c r="A170" s="141">
        <v>13</v>
      </c>
      <c r="B170" s="161" t="s">
        <v>300</v>
      </c>
      <c r="C170" s="146">
        <v>1447596</v>
      </c>
      <c r="D170" s="146">
        <v>1291445</v>
      </c>
      <c r="E170" s="146">
        <f t="shared" si="10"/>
        <v>-156151</v>
      </c>
      <c r="F170" s="150">
        <f t="shared" si="11"/>
        <v>-0.10786918449622684</v>
      </c>
      <c r="G170" s="155"/>
    </row>
    <row r="171" spans="1:7" ht="15.75" customHeight="1" x14ac:dyDescent="0.25">
      <c r="A171" s="141"/>
      <c r="B171" s="154" t="s">
        <v>301</v>
      </c>
      <c r="C171" s="147">
        <f>SUM(C158:C170)</f>
        <v>18861969</v>
      </c>
      <c r="D171" s="147">
        <f>SUM(D158:D170)</f>
        <v>21857459</v>
      </c>
      <c r="E171" s="147">
        <f t="shared" si="10"/>
        <v>2995490</v>
      </c>
      <c r="F171" s="148">
        <f t="shared" si="11"/>
        <v>0.15881109761128331</v>
      </c>
      <c r="G171" s="155"/>
    </row>
    <row r="172" spans="1:7" ht="15.75" customHeight="1" x14ac:dyDescent="0.25">
      <c r="A172" s="141"/>
      <c r="B172" s="162"/>
      <c r="C172" s="146"/>
      <c r="D172" s="146"/>
      <c r="E172" s="147"/>
      <c r="F172" s="160"/>
      <c r="G172" s="155"/>
    </row>
    <row r="173" spans="1:7" ht="15.75" customHeight="1" x14ac:dyDescent="0.25">
      <c r="A173" s="144" t="s">
        <v>176</v>
      </c>
      <c r="B173" s="145" t="s">
        <v>302</v>
      </c>
      <c r="C173" s="146"/>
      <c r="D173" s="146"/>
      <c r="E173" s="147"/>
      <c r="F173" s="160"/>
      <c r="G173" s="155"/>
    </row>
    <row r="174" spans="1:7" ht="15" customHeight="1" x14ac:dyDescent="0.2">
      <c r="A174" s="141">
        <v>1</v>
      </c>
      <c r="B174" s="161" t="s">
        <v>303</v>
      </c>
      <c r="C174" s="146">
        <v>362332</v>
      </c>
      <c r="D174" s="146">
        <v>288610</v>
      </c>
      <c r="E174" s="146">
        <f>D174-C174</f>
        <v>-73722</v>
      </c>
      <c r="F174" s="150">
        <f>IF(C174=0,0,E174/C174)</f>
        <v>-0.20346533013920934</v>
      </c>
      <c r="G174" s="155"/>
    </row>
    <row r="175" spans="1:7" ht="15.75" customHeight="1" x14ac:dyDescent="0.25">
      <c r="A175" s="141"/>
      <c r="B175" s="162"/>
      <c r="C175" s="146"/>
      <c r="D175" s="146"/>
      <c r="E175" s="147"/>
      <c r="F175" s="160"/>
      <c r="G175" s="155"/>
    </row>
    <row r="176" spans="1:7" ht="15.75" customHeight="1" x14ac:dyDescent="0.25">
      <c r="A176" s="153"/>
      <c r="B176" s="154" t="s">
        <v>304</v>
      </c>
      <c r="C176" s="147">
        <f>+C174+C171+C155+C118+C109</f>
        <v>108897163</v>
      </c>
      <c r="D176" s="147">
        <f>+D174+D171+D155+D118+D109</f>
        <v>113880767</v>
      </c>
      <c r="E176" s="147">
        <f>D176-C176</f>
        <v>4983604</v>
      </c>
      <c r="F176" s="148">
        <f>IF(C176=0,0,E176/C176)</f>
        <v>4.5764314355921286E-2</v>
      </c>
      <c r="G176" s="155"/>
    </row>
    <row r="177" spans="1:7" ht="15.75" customHeight="1" x14ac:dyDescent="0.25">
      <c r="A177" s="153"/>
      <c r="B177" s="162"/>
      <c r="C177" s="146"/>
      <c r="D177" s="146"/>
      <c r="E177" s="147"/>
      <c r="F177" s="148"/>
      <c r="G177" s="155"/>
    </row>
    <row r="178" spans="1:7" ht="15.75" customHeight="1" x14ac:dyDescent="0.25">
      <c r="A178" s="153"/>
      <c r="B178" s="157" t="s">
        <v>305</v>
      </c>
      <c r="C178" s="146"/>
      <c r="D178" s="146"/>
      <c r="E178" s="147"/>
      <c r="F178" s="148"/>
      <c r="G178" s="155"/>
    </row>
    <row r="179" spans="1:7" ht="15" customHeight="1" x14ac:dyDescent="0.2">
      <c r="A179" s="153"/>
      <c r="B179" s="162"/>
      <c r="C179" s="163"/>
      <c r="D179" s="163"/>
      <c r="E179" s="163"/>
      <c r="F179" s="163"/>
      <c r="G179" s="155"/>
    </row>
  </sheetData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FILING&amp;RCHARLOTTE HUNGERFORD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306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307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308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95678590</v>
      </c>
      <c r="D11" s="164">
        <v>103193652</v>
      </c>
      <c r="E11" s="51">
        <v>109579717</v>
      </c>
      <c r="F11" s="13"/>
    </row>
    <row r="12" spans="1:6" ht="24" customHeight="1" x14ac:dyDescent="0.25">
      <c r="A12" s="44">
        <v>2</v>
      </c>
      <c r="B12" s="165" t="s">
        <v>309</v>
      </c>
      <c r="C12" s="49">
        <v>5573529</v>
      </c>
      <c r="D12" s="49">
        <v>5277783</v>
      </c>
      <c r="E12" s="49">
        <v>4949386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101252119</v>
      </c>
      <c r="D13" s="51">
        <f>+D11+D12</f>
        <v>108471435</v>
      </c>
      <c r="E13" s="51">
        <f>+E11+E12</f>
        <v>114529103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100402359</v>
      </c>
      <c r="D14" s="49">
        <v>108897163</v>
      </c>
      <c r="E14" s="49">
        <v>113880767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849760</v>
      </c>
      <c r="D15" s="51">
        <f>+D13-D14</f>
        <v>-425728</v>
      </c>
      <c r="E15" s="51">
        <f>+E13-E14</f>
        <v>648336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-669899</v>
      </c>
      <c r="D16" s="49">
        <v>1978820</v>
      </c>
      <c r="E16" s="49">
        <v>2011113</v>
      </c>
      <c r="F16" s="13"/>
    </row>
    <row r="17" spans="1:6" ht="24" customHeight="1" x14ac:dyDescent="0.25">
      <c r="A17" s="44">
        <v>7</v>
      </c>
      <c r="B17" s="45" t="s">
        <v>310</v>
      </c>
      <c r="C17" s="51">
        <f>C15+C16</f>
        <v>179861</v>
      </c>
      <c r="D17" s="51">
        <f>D15+D16</f>
        <v>1553092</v>
      </c>
      <c r="E17" s="51">
        <f>E15+E16</f>
        <v>2659449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311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312</v>
      </c>
      <c r="C20" s="169">
        <f>IF(+C27=0,0,+C24/+C27)</f>
        <v>8.4484116576468479E-3</v>
      </c>
      <c r="D20" s="169">
        <f>IF(+D27=0,0,+D24/+D27)</f>
        <v>-3.8544772938731557E-3</v>
      </c>
      <c r="E20" s="169">
        <f>IF(+E27=0,0,+E24/+E27)</f>
        <v>5.5631954552066388E-3</v>
      </c>
      <c r="F20" s="13"/>
    </row>
    <row r="21" spans="1:6" ht="24" customHeight="1" x14ac:dyDescent="0.25">
      <c r="A21" s="25">
        <v>2</v>
      </c>
      <c r="B21" s="48" t="s">
        <v>313</v>
      </c>
      <c r="C21" s="169">
        <f>IF(C27=0,0,+C26/C27)</f>
        <v>-6.6602129084046861E-3</v>
      </c>
      <c r="D21" s="169">
        <f>IF(D27=0,0,+D26/D27)</f>
        <v>1.7915938718294493E-2</v>
      </c>
      <c r="E21" s="169">
        <f>IF(E27=0,0,+E26/E27)</f>
        <v>1.7256815449870112E-2</v>
      </c>
      <c r="F21" s="13"/>
    </row>
    <row r="22" spans="1:6" ht="24" customHeight="1" x14ac:dyDescent="0.25">
      <c r="A22" s="25">
        <v>3</v>
      </c>
      <c r="B22" s="48" t="s">
        <v>314</v>
      </c>
      <c r="C22" s="169">
        <f>IF(C27=0,0,+C28/C27)</f>
        <v>1.7881987492421622E-3</v>
      </c>
      <c r="D22" s="169">
        <f>IF(D27=0,0,+D28/D27)</f>
        <v>1.4061461424421337E-2</v>
      </c>
      <c r="E22" s="169">
        <f>IF(E27=0,0,+E28/E27)</f>
        <v>2.2820010905076751E-2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849760</v>
      </c>
      <c r="D24" s="51">
        <f>+D15</f>
        <v>-425728</v>
      </c>
      <c r="E24" s="51">
        <f>+E15</f>
        <v>648336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101252119</v>
      </c>
      <c r="D25" s="51">
        <f>+D13</f>
        <v>108471435</v>
      </c>
      <c r="E25" s="51">
        <f>+E13</f>
        <v>114529103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-669899</v>
      </c>
      <c r="D26" s="51">
        <f>+D16</f>
        <v>1978820</v>
      </c>
      <c r="E26" s="51">
        <f>+E16</f>
        <v>2011113</v>
      </c>
      <c r="F26" s="13"/>
    </row>
    <row r="27" spans="1:6" ht="24" customHeight="1" x14ac:dyDescent="0.25">
      <c r="A27" s="21">
        <v>7</v>
      </c>
      <c r="B27" s="48" t="s">
        <v>315</v>
      </c>
      <c r="C27" s="51">
        <f>+C25+C26</f>
        <v>100582220</v>
      </c>
      <c r="D27" s="51">
        <f>+D25+D26</f>
        <v>110450255</v>
      </c>
      <c r="E27" s="51">
        <f>+E25+E26</f>
        <v>116540216</v>
      </c>
      <c r="F27" s="13"/>
    </row>
    <row r="28" spans="1:6" ht="24" customHeight="1" x14ac:dyDescent="0.25">
      <c r="A28" s="21">
        <v>8</v>
      </c>
      <c r="B28" s="45" t="s">
        <v>310</v>
      </c>
      <c r="C28" s="51">
        <f>+C17</f>
        <v>179861</v>
      </c>
      <c r="D28" s="51">
        <f>+D17</f>
        <v>1553092</v>
      </c>
      <c r="E28" s="51">
        <f>+E17</f>
        <v>2659449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316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317</v>
      </c>
      <c r="C31" s="51">
        <v>41545959</v>
      </c>
      <c r="D31" s="51">
        <v>39188881</v>
      </c>
      <c r="E31" s="51">
        <v>47062165</v>
      </c>
      <c r="F31" s="13"/>
    </row>
    <row r="32" spans="1:6" ht="24" customHeight="1" x14ac:dyDescent="0.25">
      <c r="A32" s="25">
        <v>2</v>
      </c>
      <c r="B32" s="48" t="s">
        <v>318</v>
      </c>
      <c r="C32" s="51">
        <v>60028996</v>
      </c>
      <c r="D32" s="51">
        <v>58541584</v>
      </c>
      <c r="E32" s="51">
        <v>65985850</v>
      </c>
      <c r="F32" s="13"/>
    </row>
    <row r="33" spans="1:6" ht="24" customHeight="1" x14ac:dyDescent="0.2">
      <c r="A33" s="25">
        <v>3</v>
      </c>
      <c r="B33" s="48" t="s">
        <v>319</v>
      </c>
      <c r="C33" s="51">
        <v>-20769345</v>
      </c>
      <c r="D33" s="51">
        <f>+D32-C32</f>
        <v>-1487412</v>
      </c>
      <c r="E33" s="51">
        <f>+E32-D32</f>
        <v>7444266</v>
      </c>
      <c r="F33" s="5"/>
    </row>
    <row r="34" spans="1:6" ht="24" customHeight="1" x14ac:dyDescent="0.2">
      <c r="A34" s="25">
        <v>4</v>
      </c>
      <c r="B34" s="48" t="s">
        <v>320</v>
      </c>
      <c r="C34" s="171">
        <v>0.7429</v>
      </c>
      <c r="D34" s="171">
        <f>IF(C32=0,0,+D33/C32)</f>
        <v>-2.4778225509552085E-2</v>
      </c>
      <c r="E34" s="171">
        <f>IF(D32=0,0,+E33/D32)</f>
        <v>0.12716201871134883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321</v>
      </c>
      <c r="B36" s="41" t="s">
        <v>322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323</v>
      </c>
      <c r="C38" s="172">
        <f>IF((C40+C41)=0,0,+C39/(C40+C41))</f>
        <v>0.5517664095294107</v>
      </c>
      <c r="D38" s="172">
        <f>IF((D40+D41)=0,0,+D39/(D40+D41))</f>
        <v>0.56277432313138853</v>
      </c>
      <c r="E38" s="172">
        <f>IF((E40+E41)=0,0,+E39/(E40+E41))</f>
        <v>0.53320212223315999</v>
      </c>
      <c r="F38" s="5"/>
    </row>
    <row r="39" spans="1:6" ht="24" customHeight="1" x14ac:dyDescent="0.2">
      <c r="A39" s="21">
        <v>2</v>
      </c>
      <c r="B39" s="48" t="s">
        <v>324</v>
      </c>
      <c r="C39" s="51">
        <v>100402359</v>
      </c>
      <c r="D39" s="51">
        <v>108897163</v>
      </c>
      <c r="E39" s="23">
        <v>113880767</v>
      </c>
      <c r="F39" s="5"/>
    </row>
    <row r="40" spans="1:6" ht="24" customHeight="1" x14ac:dyDescent="0.2">
      <c r="A40" s="21">
        <v>3</v>
      </c>
      <c r="B40" s="48" t="s">
        <v>325</v>
      </c>
      <c r="C40" s="51">
        <v>176391805</v>
      </c>
      <c r="D40" s="51">
        <v>188222806</v>
      </c>
      <c r="E40" s="23">
        <v>208629597</v>
      </c>
      <c r="F40" s="5"/>
    </row>
    <row r="41" spans="1:6" ht="24" customHeight="1" x14ac:dyDescent="0.2">
      <c r="A41" s="21">
        <v>4</v>
      </c>
      <c r="B41" s="48" t="s">
        <v>326</v>
      </c>
      <c r="C41" s="51">
        <v>5573529</v>
      </c>
      <c r="D41" s="51">
        <v>5277783</v>
      </c>
      <c r="E41" s="23">
        <v>4949386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327</v>
      </c>
      <c r="C43" s="173">
        <f>IF(C38=0,0,IF((C46-C47)=0,0,((+C44-C45)/(C46-C47)/C38)))</f>
        <v>1.0300966557307398</v>
      </c>
      <c r="D43" s="173">
        <f>IF(D38=0,0,IF((D46-D47)=0,0,((+D44-D45)/(D46-D47)/D38)))</f>
        <v>1.0313345104216762</v>
      </c>
      <c r="E43" s="173">
        <f>IF(E38=0,0,IF((E46-E47)=0,0,((+E44-E45)/(E46-E47)/E38)))</f>
        <v>1.0709201957973216</v>
      </c>
      <c r="F43" s="5"/>
    </row>
    <row r="44" spans="1:6" ht="24" customHeight="1" x14ac:dyDescent="0.2">
      <c r="A44" s="21">
        <v>6</v>
      </c>
      <c r="B44" s="48" t="s">
        <v>328</v>
      </c>
      <c r="C44" s="51">
        <v>36229111</v>
      </c>
      <c r="D44" s="51">
        <v>38469968</v>
      </c>
      <c r="E44" s="23">
        <v>41153855</v>
      </c>
      <c r="F44" s="5"/>
    </row>
    <row r="45" spans="1:6" ht="24" customHeight="1" x14ac:dyDescent="0.2">
      <c r="A45" s="21">
        <v>7</v>
      </c>
      <c r="B45" s="48" t="s">
        <v>329</v>
      </c>
      <c r="C45" s="51">
        <v>1278927</v>
      </c>
      <c r="D45" s="51">
        <v>1223252</v>
      </c>
      <c r="E45" s="23">
        <v>1467954</v>
      </c>
      <c r="F45" s="5"/>
    </row>
    <row r="46" spans="1:6" ht="24" customHeight="1" x14ac:dyDescent="0.2">
      <c r="A46" s="21">
        <v>8</v>
      </c>
      <c r="B46" s="48" t="s">
        <v>330</v>
      </c>
      <c r="C46" s="51">
        <v>66299978</v>
      </c>
      <c r="D46" s="51">
        <v>69006889</v>
      </c>
      <c r="E46" s="23">
        <v>74660403</v>
      </c>
      <c r="F46" s="5"/>
    </row>
    <row r="47" spans="1:6" ht="24" customHeight="1" x14ac:dyDescent="0.2">
      <c r="A47" s="21">
        <v>9</v>
      </c>
      <c r="B47" s="48" t="s">
        <v>331</v>
      </c>
      <c r="C47" s="51">
        <v>4808316</v>
      </c>
      <c r="D47" s="51">
        <v>4833620</v>
      </c>
      <c r="E47" s="174">
        <v>5160009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332</v>
      </c>
      <c r="C49" s="175">
        <f>IF(C38=0,0,IF(C51=0,0,(C50/C51)/C38))</f>
        <v>1.0323379172021521</v>
      </c>
      <c r="D49" s="175">
        <f>IF(D38=0,0,IF(D51=0,0,(D50/D51)/D38))</f>
        <v>1.0243547178596137</v>
      </c>
      <c r="E49" s="175">
        <f>IF(E38=0,0,IF(E51=0,0,(E50/E51)/E38))</f>
        <v>1.009001542060008</v>
      </c>
      <c r="F49" s="7"/>
    </row>
    <row r="50" spans="1:6" ht="24" customHeight="1" x14ac:dyDescent="0.25">
      <c r="A50" s="21">
        <v>11</v>
      </c>
      <c r="B50" s="48" t="s">
        <v>333</v>
      </c>
      <c r="C50" s="176">
        <v>46424315</v>
      </c>
      <c r="D50" s="176">
        <v>48430129</v>
      </c>
      <c r="E50" s="176">
        <v>50742113</v>
      </c>
      <c r="F50" s="11"/>
    </row>
    <row r="51" spans="1:6" ht="24" customHeight="1" x14ac:dyDescent="0.25">
      <c r="A51" s="21">
        <v>12</v>
      </c>
      <c r="B51" s="48" t="s">
        <v>334</v>
      </c>
      <c r="C51" s="176">
        <v>81502019</v>
      </c>
      <c r="D51" s="176">
        <v>84009999</v>
      </c>
      <c r="E51" s="176">
        <v>94315886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335</v>
      </c>
      <c r="C53" s="175">
        <f>IF(C38=0,0,IF(C55=0,0,(C54/C55)/C38))</f>
        <v>0.71537930525933857</v>
      </c>
      <c r="D53" s="175">
        <f>IF(D38=0,0,IF(D55=0,0,(D54/D55)/D38))</f>
        <v>0.70415256150727779</v>
      </c>
      <c r="E53" s="175">
        <f>IF(E38=0,0,IF(E55=0,0,(E54/E55)/E38))</f>
        <v>0.72273863651223824</v>
      </c>
      <c r="F53" s="13"/>
    </row>
    <row r="54" spans="1:6" ht="24" customHeight="1" x14ac:dyDescent="0.25">
      <c r="A54" s="21">
        <v>14</v>
      </c>
      <c r="B54" s="48" t="s">
        <v>336</v>
      </c>
      <c r="C54" s="176">
        <v>7895688</v>
      </c>
      <c r="D54" s="176">
        <v>11060952</v>
      </c>
      <c r="E54" s="176">
        <v>14852649</v>
      </c>
      <c r="F54" s="13"/>
    </row>
    <row r="55" spans="1:6" ht="24" customHeight="1" x14ac:dyDescent="0.25">
      <c r="A55" s="21">
        <v>15</v>
      </c>
      <c r="B55" s="48" t="s">
        <v>337</v>
      </c>
      <c r="C55" s="176">
        <v>20003148</v>
      </c>
      <c r="D55" s="176">
        <v>27912033</v>
      </c>
      <c r="E55" s="176">
        <v>38541692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338</v>
      </c>
      <c r="C57" s="53">
        <f>+C60*C38</f>
        <v>2033394.9536526226</v>
      </c>
      <c r="D57" s="53">
        <f>+D60*D38</f>
        <v>2158433.123576032</v>
      </c>
      <c r="E57" s="53">
        <f>+E60*E38</f>
        <v>2056055.6430435432</v>
      </c>
      <c r="F57" s="13"/>
    </row>
    <row r="58" spans="1:6" ht="24" customHeight="1" x14ac:dyDescent="0.25">
      <c r="A58" s="21">
        <v>17</v>
      </c>
      <c r="B58" s="48" t="s">
        <v>339</v>
      </c>
      <c r="C58" s="51">
        <v>1438204</v>
      </c>
      <c r="D58" s="51">
        <v>1421695</v>
      </c>
      <c r="E58" s="52">
        <v>1726098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2247042</v>
      </c>
      <c r="D59" s="51">
        <v>2413649</v>
      </c>
      <c r="E59" s="52">
        <v>2129955</v>
      </c>
      <c r="F59" s="28"/>
    </row>
    <row r="60" spans="1:6" ht="24" customHeight="1" x14ac:dyDescent="0.25">
      <c r="A60" s="21">
        <v>19</v>
      </c>
      <c r="B60" s="48" t="s">
        <v>340</v>
      </c>
      <c r="C60" s="51">
        <v>3685246</v>
      </c>
      <c r="D60" s="51">
        <v>3835344</v>
      </c>
      <c r="E60" s="52">
        <v>3856053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341</v>
      </c>
      <c r="C62" s="178">
        <f>IF(C63=0,0,+C57/C63)</f>
        <v>2.0252461933216358E-2</v>
      </c>
      <c r="D62" s="178">
        <f>IF(D63=0,0,+D57/D63)</f>
        <v>1.9820838891606681E-2</v>
      </c>
      <c r="E62" s="178">
        <f>IF(E63=0,0,+E57/E63)</f>
        <v>1.8054459038228495E-2</v>
      </c>
      <c r="F62" s="13"/>
    </row>
    <row r="63" spans="1:6" ht="24" customHeight="1" x14ac:dyDescent="0.25">
      <c r="A63" s="21">
        <v>21</v>
      </c>
      <c r="B63" s="45" t="s">
        <v>324</v>
      </c>
      <c r="C63" s="176">
        <v>100402359</v>
      </c>
      <c r="D63" s="176">
        <v>108897163</v>
      </c>
      <c r="E63" s="176">
        <v>113880767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342</v>
      </c>
      <c r="B65" s="41" t="s">
        <v>343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344</v>
      </c>
      <c r="C67" s="179">
        <f>IF(C69=0,0,C68/C69)</f>
        <v>1.0870380519095353</v>
      </c>
      <c r="D67" s="179">
        <f>IF(D69=0,0,D68/D69)</f>
        <v>1.2324425595398183</v>
      </c>
      <c r="E67" s="179">
        <f>IF(E69=0,0,E68/E69)</f>
        <v>1.3292836663716678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17465011</v>
      </c>
      <c r="D68" s="180">
        <v>20414902</v>
      </c>
      <c r="E68" s="180">
        <v>25471279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16066605</v>
      </c>
      <c r="D69" s="180">
        <v>16564587</v>
      </c>
      <c r="E69" s="180">
        <v>19161658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345</v>
      </c>
      <c r="C71" s="181">
        <f>IF((C77/365)=0,0,+C74/(C77/365))</f>
        <v>15.452218102866722</v>
      </c>
      <c r="D71" s="181">
        <f>IF((D77/365)=0,0,+D74/(D77/365))</f>
        <v>19.386298220777928</v>
      </c>
      <c r="E71" s="181">
        <f>IF((E77/365)=0,0,+E74/(E77/365))</f>
        <v>28.655601668612068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3989039</v>
      </c>
      <c r="D72" s="182">
        <v>5456105</v>
      </c>
      <c r="E72" s="182">
        <v>8455576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0</v>
      </c>
      <c r="D73" s="184">
        <v>0</v>
      </c>
      <c r="E73" s="184">
        <v>0</v>
      </c>
      <c r="F73" s="28"/>
    </row>
    <row r="74" spans="1:6" ht="24" customHeight="1" x14ac:dyDescent="0.25">
      <c r="A74" s="21">
        <v>7</v>
      </c>
      <c r="B74" s="48" t="s">
        <v>346</v>
      </c>
      <c r="C74" s="180">
        <f>+C72+C73</f>
        <v>3989039</v>
      </c>
      <c r="D74" s="180">
        <f>+D72+D73</f>
        <v>5456105</v>
      </c>
      <c r="E74" s="180">
        <f>+E72+E73</f>
        <v>8455576</v>
      </c>
      <c r="F74" s="28"/>
    </row>
    <row r="75" spans="1:6" ht="24" customHeight="1" x14ac:dyDescent="0.25">
      <c r="A75" s="21">
        <v>8</v>
      </c>
      <c r="B75" s="48" t="s">
        <v>324</v>
      </c>
      <c r="C75" s="180">
        <f>+C14</f>
        <v>100402359</v>
      </c>
      <c r="D75" s="180">
        <f>+D14</f>
        <v>108897163</v>
      </c>
      <c r="E75" s="180">
        <f>+E14</f>
        <v>113880767</v>
      </c>
      <c r="F75" s="28"/>
    </row>
    <row r="76" spans="1:6" ht="24" customHeight="1" x14ac:dyDescent="0.25">
      <c r="A76" s="21">
        <v>9</v>
      </c>
      <c r="B76" s="45" t="s">
        <v>347</v>
      </c>
      <c r="C76" s="180">
        <v>6176454</v>
      </c>
      <c r="D76" s="180">
        <v>6171088</v>
      </c>
      <c r="E76" s="180">
        <v>6178082</v>
      </c>
      <c r="F76" s="28"/>
    </row>
    <row r="77" spans="1:6" ht="24" customHeight="1" x14ac:dyDescent="0.25">
      <c r="A77" s="21">
        <v>10</v>
      </c>
      <c r="B77" s="45" t="s">
        <v>348</v>
      </c>
      <c r="C77" s="180">
        <f>+C75-C76</f>
        <v>94225905</v>
      </c>
      <c r="D77" s="180">
        <f>+D75-D76</f>
        <v>102726075</v>
      </c>
      <c r="E77" s="180">
        <f>+E75-E76</f>
        <v>107702685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349</v>
      </c>
      <c r="C79" s="179">
        <f>IF((C84/365)=0,0,+C83/(C84/365))</f>
        <v>28.260140905086498</v>
      </c>
      <c r="D79" s="179">
        <f>IF((D84/365)=0,0,+D83/(D84/365))</f>
        <v>30.484892617231917</v>
      </c>
      <c r="E79" s="179">
        <f>IF((E84/365)=0,0,+E83/(E84/365))</f>
        <v>36.529769327657604</v>
      </c>
      <c r="F79" s="28"/>
    </row>
    <row r="80" spans="1:6" ht="24" customHeight="1" x14ac:dyDescent="0.25">
      <c r="A80" s="21">
        <v>12</v>
      </c>
      <c r="B80" s="188" t="s">
        <v>350</v>
      </c>
      <c r="C80" s="189">
        <v>9671762</v>
      </c>
      <c r="D80" s="189">
        <v>9573323</v>
      </c>
      <c r="E80" s="189">
        <v>11144540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102157</v>
      </c>
      <c r="D81" s="190">
        <v>1079437</v>
      </c>
      <c r="E81" s="190">
        <v>1516187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2366000</v>
      </c>
      <c r="D82" s="190">
        <v>2034000</v>
      </c>
      <c r="E82" s="190">
        <v>1693818</v>
      </c>
      <c r="F82" s="28"/>
    </row>
    <row r="83" spans="1:6" ht="33.950000000000003" customHeight="1" x14ac:dyDescent="0.25">
      <c r="A83" s="21">
        <v>15</v>
      </c>
      <c r="B83" s="45" t="s">
        <v>351</v>
      </c>
      <c r="C83" s="191">
        <f>+C80+C81-C82</f>
        <v>7407919</v>
      </c>
      <c r="D83" s="191">
        <f>+D80+D81-D82</f>
        <v>8618760</v>
      </c>
      <c r="E83" s="191">
        <f>+E80+E81-E82</f>
        <v>10966909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95678590</v>
      </c>
      <c r="D84" s="191">
        <f>+D11</f>
        <v>103193652</v>
      </c>
      <c r="E84" s="191">
        <f>+E11</f>
        <v>109579717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352</v>
      </c>
      <c r="C86" s="179">
        <f>IF((C90/365)=0,0,+C87/(C90/365))</f>
        <v>62.236715317300479</v>
      </c>
      <c r="D86" s="179">
        <f>IF((D90/365)=0,0,+D87/(D90/365))</f>
        <v>58.856276315434023</v>
      </c>
      <c r="E86" s="179">
        <f>IF((E90/365)=0,0,+E87/(E90/365))</f>
        <v>64.938076242017544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16066605</v>
      </c>
      <c r="D87" s="51">
        <f>+D69</f>
        <v>16564587</v>
      </c>
      <c r="E87" s="51">
        <f>+E69</f>
        <v>19161658</v>
      </c>
      <c r="F87" s="28"/>
    </row>
    <row r="88" spans="1:6" ht="24" customHeight="1" x14ac:dyDescent="0.25">
      <c r="A88" s="21">
        <v>19</v>
      </c>
      <c r="B88" s="48" t="s">
        <v>324</v>
      </c>
      <c r="C88" s="51">
        <f t="shared" ref="C88:E89" si="0">+C75</f>
        <v>100402359</v>
      </c>
      <c r="D88" s="51">
        <f t="shared" si="0"/>
        <v>108897163</v>
      </c>
      <c r="E88" s="51">
        <f t="shared" si="0"/>
        <v>113880767</v>
      </c>
      <c r="F88" s="28"/>
    </row>
    <row r="89" spans="1:6" ht="24" customHeight="1" x14ac:dyDescent="0.25">
      <c r="A89" s="21">
        <v>20</v>
      </c>
      <c r="B89" s="48" t="s">
        <v>347</v>
      </c>
      <c r="C89" s="52">
        <f t="shared" si="0"/>
        <v>6176454</v>
      </c>
      <c r="D89" s="52">
        <f t="shared" si="0"/>
        <v>6171088</v>
      </c>
      <c r="E89" s="52">
        <f t="shared" si="0"/>
        <v>6178082</v>
      </c>
      <c r="F89" s="28"/>
    </row>
    <row r="90" spans="1:6" ht="24" customHeight="1" x14ac:dyDescent="0.25">
      <c r="A90" s="21">
        <v>21</v>
      </c>
      <c r="B90" s="48" t="s">
        <v>353</v>
      </c>
      <c r="C90" s="51">
        <f>+C88-C89</f>
        <v>94225905</v>
      </c>
      <c r="D90" s="51">
        <f>+D88-D89</f>
        <v>102726075</v>
      </c>
      <c r="E90" s="51">
        <f>+E88-E89</f>
        <v>107702685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354</v>
      </c>
      <c r="B92" s="41" t="s">
        <v>355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356</v>
      </c>
      <c r="C94" s="192">
        <f>IF(C96=0,0,(C95/C96)*100)</f>
        <v>52.62313765941623</v>
      </c>
      <c r="D94" s="192">
        <f>IF(D96=0,0,(D95/D96)*100)</f>
        <v>49.746815191647649</v>
      </c>
      <c r="E94" s="192">
        <f>IF(E96=0,0,(E95/E96)*100)</f>
        <v>55.531253084854548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60028996</v>
      </c>
      <c r="D95" s="51">
        <f>+D32</f>
        <v>58541584</v>
      </c>
      <c r="E95" s="51">
        <f>+E32</f>
        <v>65985850</v>
      </c>
      <c r="F95" s="28"/>
    </row>
    <row r="96" spans="1:6" ht="24" customHeight="1" x14ac:dyDescent="0.25">
      <c r="A96" s="21">
        <v>3</v>
      </c>
      <c r="B96" s="48" t="s">
        <v>43</v>
      </c>
      <c r="C96" s="51">
        <v>114073388</v>
      </c>
      <c r="D96" s="51">
        <v>117679059</v>
      </c>
      <c r="E96" s="51">
        <v>118826510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357</v>
      </c>
      <c r="C98" s="192">
        <f>IF(C104=0,0,(C101/C104)*100)</f>
        <v>27.045163610450828</v>
      </c>
      <c r="D98" s="192">
        <f>IF(D104=0,0,(D101/D104)*100)</f>
        <v>34.196645698909094</v>
      </c>
      <c r="E98" s="192">
        <f>IF(E104=0,0,(E101/E104)*100)</f>
        <v>37.154344934725458</v>
      </c>
      <c r="F98" s="28"/>
    </row>
    <row r="99" spans="1:6" ht="24" customHeight="1" x14ac:dyDescent="0.25">
      <c r="A99" s="21">
        <v>5</v>
      </c>
      <c r="B99" s="48" t="s">
        <v>358</v>
      </c>
      <c r="C99" s="51">
        <f>+C28</f>
        <v>179861</v>
      </c>
      <c r="D99" s="51">
        <f>+D28</f>
        <v>1553092</v>
      </c>
      <c r="E99" s="51">
        <f>+E28</f>
        <v>2659449</v>
      </c>
      <c r="F99" s="28"/>
    </row>
    <row r="100" spans="1:6" ht="24" customHeight="1" x14ac:dyDescent="0.25">
      <c r="A100" s="21">
        <v>6</v>
      </c>
      <c r="B100" s="48" t="s">
        <v>347</v>
      </c>
      <c r="C100" s="52">
        <f>+C76</f>
        <v>6176454</v>
      </c>
      <c r="D100" s="52">
        <f>+D76</f>
        <v>6171088</v>
      </c>
      <c r="E100" s="52">
        <f>+E76</f>
        <v>6178082</v>
      </c>
      <c r="F100" s="28"/>
    </row>
    <row r="101" spans="1:6" ht="24" customHeight="1" x14ac:dyDescent="0.25">
      <c r="A101" s="21">
        <v>7</v>
      </c>
      <c r="B101" s="48" t="s">
        <v>359</v>
      </c>
      <c r="C101" s="51">
        <f>+C99+C100</f>
        <v>6356315</v>
      </c>
      <c r="D101" s="51">
        <f>+D99+D100</f>
        <v>7724180</v>
      </c>
      <c r="E101" s="51">
        <f>+E99+E100</f>
        <v>8837531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16066605</v>
      </c>
      <c r="D102" s="180">
        <f>+D69</f>
        <v>16564587</v>
      </c>
      <c r="E102" s="180">
        <f>+E69</f>
        <v>19161658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7435989</v>
      </c>
      <c r="D103" s="194">
        <v>6022950</v>
      </c>
      <c r="E103" s="194">
        <v>4624338</v>
      </c>
      <c r="F103" s="28"/>
    </row>
    <row r="104" spans="1:6" ht="24" customHeight="1" x14ac:dyDescent="0.25">
      <c r="A104" s="21">
        <v>10</v>
      </c>
      <c r="B104" s="195" t="s">
        <v>360</v>
      </c>
      <c r="C104" s="180">
        <f>+C102+C103</f>
        <v>23502594</v>
      </c>
      <c r="D104" s="180">
        <f>+D102+D103</f>
        <v>22587537</v>
      </c>
      <c r="E104" s="180">
        <f>+E102+E103</f>
        <v>23785996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361</v>
      </c>
      <c r="C106" s="197">
        <f>IF(C109=0,0,(C107/C109)*100)</f>
        <v>11.021997559178292</v>
      </c>
      <c r="D106" s="197">
        <f>IF(D109=0,0,(D107/D109)*100)</f>
        <v>9.3285734858707414</v>
      </c>
      <c r="E106" s="197">
        <f>IF(E109=0,0,(E107/E109)*100)</f>
        <v>6.5491087490094202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7435989</v>
      </c>
      <c r="D107" s="180">
        <f>+D103</f>
        <v>6022950</v>
      </c>
      <c r="E107" s="180">
        <f>+E103</f>
        <v>4624338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60028996</v>
      </c>
      <c r="D108" s="180">
        <f>+D32</f>
        <v>58541584</v>
      </c>
      <c r="E108" s="180">
        <f>+E32</f>
        <v>65985850</v>
      </c>
      <c r="F108" s="28"/>
    </row>
    <row r="109" spans="1:6" ht="24" customHeight="1" x14ac:dyDescent="0.25">
      <c r="A109" s="17">
        <v>14</v>
      </c>
      <c r="B109" s="48" t="s">
        <v>362</v>
      </c>
      <c r="C109" s="180">
        <f>+C107+C108</f>
        <v>67464985</v>
      </c>
      <c r="D109" s="180">
        <f>+D107+D108</f>
        <v>64564534</v>
      </c>
      <c r="E109" s="180">
        <f>+E107+E108</f>
        <v>70610188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363</v>
      </c>
      <c r="C111" s="197">
        <f>IF((+C113+C115)=0,0,((+C112+C113+C114)/(+C113+C115)))</f>
        <v>3.5599308552796165</v>
      </c>
      <c r="D111" s="197">
        <f>IF((+D113+D115)=0,0,((+D112+D113+D114)/(+D113+D115)))</f>
        <v>4.0528255046316364</v>
      </c>
      <c r="E111" s="197">
        <f>IF((+E113+E115)=0,0,((+E112+E113+E114)/(+E113+E115)))</f>
        <v>5.318563063683885</v>
      </c>
    </row>
    <row r="112" spans="1:6" ht="24" customHeight="1" x14ac:dyDescent="0.25">
      <c r="A112" s="17">
        <v>16</v>
      </c>
      <c r="B112" s="48" t="s">
        <v>364</v>
      </c>
      <c r="C112" s="180">
        <f>+C17</f>
        <v>179861</v>
      </c>
      <c r="D112" s="180">
        <f>+D17</f>
        <v>1553092</v>
      </c>
      <c r="E112" s="180">
        <f>+E17</f>
        <v>2659449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417080</v>
      </c>
      <c r="D113" s="180">
        <v>333980</v>
      </c>
      <c r="E113" s="180">
        <v>308286</v>
      </c>
      <c r="F113" s="28"/>
    </row>
    <row r="114" spans="1:8" ht="24" customHeight="1" x14ac:dyDescent="0.25">
      <c r="A114" s="17">
        <v>18</v>
      </c>
      <c r="B114" s="48" t="s">
        <v>365</v>
      </c>
      <c r="C114" s="180">
        <v>6176454</v>
      </c>
      <c r="D114" s="180">
        <v>6171088</v>
      </c>
      <c r="E114" s="180">
        <v>6178082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1485596</v>
      </c>
      <c r="D115" s="180">
        <v>1654302</v>
      </c>
      <c r="E115" s="180">
        <v>1411317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366</v>
      </c>
      <c r="B117" s="30" t="s">
        <v>367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368</v>
      </c>
      <c r="C119" s="197">
        <f>IF(+C121=0,0,(+C120)/(+C121))</f>
        <v>14.832736550778165</v>
      </c>
      <c r="D119" s="197">
        <f>IF(+D121=0,0,(+D120)/(+D121))</f>
        <v>15.650840500086856</v>
      </c>
      <c r="E119" s="197">
        <f>IF(+E121=0,0,(+E120)/(+E121))</f>
        <v>16.589814605892251</v>
      </c>
    </row>
    <row r="120" spans="1:8" ht="24" customHeight="1" x14ac:dyDescent="0.25">
      <c r="A120" s="17">
        <v>21</v>
      </c>
      <c r="B120" s="48" t="s">
        <v>369</v>
      </c>
      <c r="C120" s="180">
        <v>91613715</v>
      </c>
      <c r="D120" s="180">
        <v>96582714</v>
      </c>
      <c r="E120" s="180">
        <v>102493235</v>
      </c>
      <c r="F120" s="28"/>
    </row>
    <row r="121" spans="1:8" ht="24" customHeight="1" x14ac:dyDescent="0.25">
      <c r="A121" s="17">
        <v>22</v>
      </c>
      <c r="B121" s="48" t="s">
        <v>365</v>
      </c>
      <c r="C121" s="180">
        <v>6176454</v>
      </c>
      <c r="D121" s="180">
        <v>6171088</v>
      </c>
      <c r="E121" s="180">
        <v>6178082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370</v>
      </c>
      <c r="B123" s="30" t="s">
        <v>371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372</v>
      </c>
      <c r="C124" s="198">
        <v>28581</v>
      </c>
      <c r="D124" s="198">
        <v>27979</v>
      </c>
      <c r="E124" s="198">
        <v>27425</v>
      </c>
    </row>
    <row r="125" spans="1:8" ht="24" customHeight="1" x14ac:dyDescent="0.2">
      <c r="A125" s="44">
        <v>2</v>
      </c>
      <c r="B125" s="48" t="s">
        <v>373</v>
      </c>
      <c r="C125" s="198">
        <v>6320</v>
      </c>
      <c r="D125" s="198">
        <v>6438</v>
      </c>
      <c r="E125" s="198">
        <v>6512</v>
      </c>
    </row>
    <row r="126" spans="1:8" ht="24" customHeight="1" x14ac:dyDescent="0.2">
      <c r="A126" s="44">
        <v>3</v>
      </c>
      <c r="B126" s="48" t="s">
        <v>374</v>
      </c>
      <c r="C126" s="199">
        <f>IF(C125=0,0,C124/C125)</f>
        <v>4.522310126582278</v>
      </c>
      <c r="D126" s="199">
        <f>IF(D125=0,0,D124/D125)</f>
        <v>4.3459148803976388</v>
      </c>
      <c r="E126" s="199">
        <f>IF(E125=0,0,E124/E125)</f>
        <v>4.2114557739557741</v>
      </c>
    </row>
    <row r="127" spans="1:8" ht="24" customHeight="1" x14ac:dyDescent="0.2">
      <c r="A127" s="44">
        <v>4</v>
      </c>
      <c r="B127" s="48" t="s">
        <v>375</v>
      </c>
      <c r="C127" s="198">
        <v>81</v>
      </c>
      <c r="D127" s="198">
        <v>81</v>
      </c>
      <c r="E127" s="198">
        <v>81</v>
      </c>
    </row>
    <row r="128" spans="1:8" ht="24" customHeight="1" x14ac:dyDescent="0.2">
      <c r="A128" s="44">
        <v>5</v>
      </c>
      <c r="B128" s="48" t="s">
        <v>376</v>
      </c>
      <c r="C128" s="198">
        <v>0</v>
      </c>
      <c r="D128" s="198">
        <v>122</v>
      </c>
      <c r="E128" s="198">
        <v>122</v>
      </c>
      <c r="G128" s="6"/>
      <c r="H128" s="12"/>
    </row>
    <row r="129" spans="1:8" ht="24" customHeight="1" x14ac:dyDescent="0.2">
      <c r="A129" s="44">
        <v>6</v>
      </c>
      <c r="B129" s="48" t="s">
        <v>377</v>
      </c>
      <c r="C129" s="198">
        <v>122</v>
      </c>
      <c r="D129" s="198">
        <v>122</v>
      </c>
      <c r="E129" s="198">
        <v>122</v>
      </c>
      <c r="G129" s="6"/>
      <c r="H129" s="12"/>
    </row>
    <row r="130" spans="1:8" ht="24" customHeight="1" x14ac:dyDescent="0.2">
      <c r="A130" s="44">
        <v>6</v>
      </c>
      <c r="B130" s="48" t="s">
        <v>378</v>
      </c>
      <c r="C130" s="171">
        <v>0.9667</v>
      </c>
      <c r="D130" s="171">
        <v>0.94630000000000003</v>
      </c>
      <c r="E130" s="171">
        <v>0.92759999999999998</v>
      </c>
    </row>
    <row r="131" spans="1:8" ht="24" customHeight="1" x14ac:dyDescent="0.2">
      <c r="A131" s="44">
        <v>7</v>
      </c>
      <c r="B131" s="48" t="s">
        <v>379</v>
      </c>
      <c r="C131" s="171">
        <v>0.64180000000000004</v>
      </c>
      <c r="D131" s="171">
        <v>0.62829999999999997</v>
      </c>
      <c r="E131" s="171">
        <v>0.61580000000000001</v>
      </c>
    </row>
    <row r="132" spans="1:8" ht="24" customHeight="1" x14ac:dyDescent="0.2">
      <c r="A132" s="44">
        <v>8</v>
      </c>
      <c r="B132" s="48" t="s">
        <v>380</v>
      </c>
      <c r="C132" s="199">
        <v>684.8</v>
      </c>
      <c r="D132" s="199">
        <v>713.2</v>
      </c>
      <c r="E132" s="199">
        <v>744.3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381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382</v>
      </c>
      <c r="C135" s="203">
        <f>IF(C149=0,0,C143/C149)</f>
        <v>0.34860838347903972</v>
      </c>
      <c r="D135" s="203">
        <f>IF(D149=0,0,D143/D149)</f>
        <v>0.34094311079391731</v>
      </c>
      <c r="E135" s="203">
        <f>IF(E149=0,0,E143/E149)</f>
        <v>0.33312816110170601</v>
      </c>
      <c r="G135" s="6"/>
    </row>
    <row r="136" spans="1:8" ht="20.100000000000001" customHeight="1" x14ac:dyDescent="0.2">
      <c r="A136" s="202">
        <v>2</v>
      </c>
      <c r="B136" s="195" t="s">
        <v>383</v>
      </c>
      <c r="C136" s="203">
        <f>IF(C149=0,0,C144/C149)</f>
        <v>0.46205105163474008</v>
      </c>
      <c r="D136" s="203">
        <f>IF(D149=0,0,D144/D149)</f>
        <v>0.44633273079565078</v>
      </c>
      <c r="E136" s="203">
        <f>IF(E149=0,0,E144/E149)</f>
        <v>0.45207337480501386</v>
      </c>
    </row>
    <row r="137" spans="1:8" ht="20.100000000000001" customHeight="1" x14ac:dyDescent="0.2">
      <c r="A137" s="202">
        <v>3</v>
      </c>
      <c r="B137" s="195" t="s">
        <v>384</v>
      </c>
      <c r="C137" s="203">
        <f>IF(C149=0,0,C145/C149)</f>
        <v>0.11340179891010242</v>
      </c>
      <c r="D137" s="203">
        <f>IF(D149=0,0,D145/D149)</f>
        <v>0.14829251350125977</v>
      </c>
      <c r="E137" s="203">
        <f>IF(E149=0,0,E145/E149)</f>
        <v>0.1847374128801102</v>
      </c>
      <c r="G137" s="6"/>
    </row>
    <row r="138" spans="1:8" ht="20.100000000000001" customHeight="1" x14ac:dyDescent="0.2">
      <c r="A138" s="202">
        <v>4</v>
      </c>
      <c r="B138" s="195" t="s">
        <v>385</v>
      </c>
      <c r="C138" s="203">
        <f>IF(C149=0,0,C146/C149)</f>
        <v>4.4712264268739699E-2</v>
      </c>
      <c r="D138" s="203">
        <f>IF(D149=0,0,D146/D149)</f>
        <v>3.3145244896625334E-2</v>
      </c>
      <c r="E138" s="203">
        <f>IF(E149=0,0,E146/E149)</f>
        <v>1.1168070271448591E-3</v>
      </c>
      <c r="G138" s="6"/>
    </row>
    <row r="139" spans="1:8" ht="20.100000000000001" customHeight="1" x14ac:dyDescent="0.2">
      <c r="A139" s="202">
        <v>5</v>
      </c>
      <c r="B139" s="195" t="s">
        <v>386</v>
      </c>
      <c r="C139" s="203">
        <f>IF(C149=0,0,C147/C149)</f>
        <v>2.725929359359977E-2</v>
      </c>
      <c r="D139" s="203">
        <f>IF(D149=0,0,D147/D149)</f>
        <v>2.5680309962013849E-2</v>
      </c>
      <c r="E139" s="203">
        <f>IF(E149=0,0,E147/E149)</f>
        <v>2.4732871434343998E-2</v>
      </c>
    </row>
    <row r="140" spans="1:8" ht="20.100000000000001" customHeight="1" x14ac:dyDescent="0.2">
      <c r="A140" s="202">
        <v>6</v>
      </c>
      <c r="B140" s="195" t="s">
        <v>387</v>
      </c>
      <c r="C140" s="203">
        <f>IF(C149=0,0,C148/C149)</f>
        <v>3.9672081137783017E-3</v>
      </c>
      <c r="D140" s="203">
        <f>IF(D149=0,0,D148/D149)</f>
        <v>5.6060900505329834E-3</v>
      </c>
      <c r="E140" s="203">
        <f>IF(E149=0,0,E148/E149)</f>
        <v>4.2113727516810574E-3</v>
      </c>
    </row>
    <row r="141" spans="1:8" ht="20.100000000000001" customHeight="1" x14ac:dyDescent="0.2">
      <c r="A141" s="202">
        <v>7</v>
      </c>
      <c r="B141" s="195" t="s">
        <v>388</v>
      </c>
      <c r="C141" s="203">
        <f>SUM(C135:C140)</f>
        <v>1</v>
      </c>
      <c r="D141" s="203">
        <f>SUM(D135:D140)</f>
        <v>1</v>
      </c>
      <c r="E141" s="203">
        <f>SUM(E135:E140)</f>
        <v>1.0000000000000002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389</v>
      </c>
      <c r="C143" s="204">
        <f>+C46-C147</f>
        <v>61491662</v>
      </c>
      <c r="D143" s="205">
        <f>+D46-D147</f>
        <v>64173269</v>
      </c>
      <c r="E143" s="205">
        <f>+E46-E147</f>
        <v>69500394</v>
      </c>
    </row>
    <row r="144" spans="1:8" ht="20.100000000000001" customHeight="1" x14ac:dyDescent="0.2">
      <c r="A144" s="202">
        <v>9</v>
      </c>
      <c r="B144" s="201" t="s">
        <v>390</v>
      </c>
      <c r="C144" s="206">
        <f>+C51</f>
        <v>81502019</v>
      </c>
      <c r="D144" s="205">
        <f>+D51</f>
        <v>84009999</v>
      </c>
      <c r="E144" s="205">
        <f>+E51</f>
        <v>94315886</v>
      </c>
    </row>
    <row r="145" spans="1:7" ht="20.100000000000001" customHeight="1" x14ac:dyDescent="0.2">
      <c r="A145" s="202">
        <v>10</v>
      </c>
      <c r="B145" s="201" t="s">
        <v>391</v>
      </c>
      <c r="C145" s="206">
        <f>+C55</f>
        <v>20003148</v>
      </c>
      <c r="D145" s="205">
        <f>+D55</f>
        <v>27912033</v>
      </c>
      <c r="E145" s="205">
        <f>+E55</f>
        <v>38541692</v>
      </c>
    </row>
    <row r="146" spans="1:7" ht="20.100000000000001" customHeight="1" x14ac:dyDescent="0.2">
      <c r="A146" s="202">
        <v>11</v>
      </c>
      <c r="B146" s="201" t="s">
        <v>392</v>
      </c>
      <c r="C146" s="204">
        <v>7886877</v>
      </c>
      <c r="D146" s="205">
        <v>6238691</v>
      </c>
      <c r="E146" s="205">
        <v>232999</v>
      </c>
    </row>
    <row r="147" spans="1:7" ht="20.100000000000001" customHeight="1" x14ac:dyDescent="0.2">
      <c r="A147" s="202">
        <v>12</v>
      </c>
      <c r="B147" s="201" t="s">
        <v>393</v>
      </c>
      <c r="C147" s="206">
        <f>+C47</f>
        <v>4808316</v>
      </c>
      <c r="D147" s="205">
        <f>+D47</f>
        <v>4833620</v>
      </c>
      <c r="E147" s="205">
        <f>+E47</f>
        <v>5160009</v>
      </c>
    </row>
    <row r="148" spans="1:7" ht="20.100000000000001" customHeight="1" x14ac:dyDescent="0.2">
      <c r="A148" s="202">
        <v>13</v>
      </c>
      <c r="B148" s="201" t="s">
        <v>394</v>
      </c>
      <c r="C148" s="206">
        <v>699783</v>
      </c>
      <c r="D148" s="205">
        <v>1055194</v>
      </c>
      <c r="E148" s="205">
        <v>878617</v>
      </c>
    </row>
    <row r="149" spans="1:7" ht="20.100000000000001" customHeight="1" x14ac:dyDescent="0.2">
      <c r="A149" s="202">
        <v>14</v>
      </c>
      <c r="B149" s="201" t="s">
        <v>395</v>
      </c>
      <c r="C149" s="204">
        <f>SUM(C143:C148)</f>
        <v>176391805</v>
      </c>
      <c r="D149" s="205">
        <f>SUM(D143:D148)</f>
        <v>188222806</v>
      </c>
      <c r="E149" s="205">
        <f>SUM(E143:E148)</f>
        <v>208629597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396</v>
      </c>
      <c r="B151" s="30" t="s">
        <v>397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398</v>
      </c>
      <c r="C152" s="203">
        <f>IF(C166=0,0,C160/C166)</f>
        <v>0.37666186489081788</v>
      </c>
      <c r="D152" s="203">
        <f>IF(D166=0,0,D160/D166)</f>
        <v>0.3704350091052997</v>
      </c>
      <c r="E152" s="203">
        <f>IF(E166=0,0,E160/E166)</f>
        <v>0.36994302121248096</v>
      </c>
    </row>
    <row r="153" spans="1:7" ht="20.100000000000001" customHeight="1" x14ac:dyDescent="0.2">
      <c r="A153" s="202">
        <v>2</v>
      </c>
      <c r="B153" s="195" t="s">
        <v>399</v>
      </c>
      <c r="C153" s="203">
        <f>IF(C166=0,0,C161/C166)</f>
        <v>0.50031979986654063</v>
      </c>
      <c r="D153" s="203">
        <f>IF(D166=0,0,D161/D166)</f>
        <v>0.48165898107864968</v>
      </c>
      <c r="E153" s="203">
        <f>IF(E166=0,0,E161/E166)</f>
        <v>0.47300653665202425</v>
      </c>
    </row>
    <row r="154" spans="1:7" ht="20.100000000000001" customHeight="1" x14ac:dyDescent="0.2">
      <c r="A154" s="202">
        <v>3</v>
      </c>
      <c r="B154" s="195" t="s">
        <v>400</v>
      </c>
      <c r="C154" s="203">
        <f>IF(C166=0,0,C162/C166)</f>
        <v>8.5092672664500199E-2</v>
      </c>
      <c r="D154" s="203">
        <f>IF(D166=0,0,D162/D166)</f>
        <v>0.11000604334710429</v>
      </c>
      <c r="E154" s="203">
        <f>IF(E166=0,0,E162/E166)</f>
        <v>0.13845304517764467</v>
      </c>
    </row>
    <row r="155" spans="1:7" ht="20.100000000000001" customHeight="1" x14ac:dyDescent="0.2">
      <c r="A155" s="202">
        <v>4</v>
      </c>
      <c r="B155" s="195" t="s">
        <v>401</v>
      </c>
      <c r="C155" s="203">
        <f>IF(C166=0,0,C163/C166)</f>
        <v>2.0685751184064557E-2</v>
      </c>
      <c r="D155" s="203">
        <f>IF(D166=0,0,D163/D166)</f>
        <v>2.1442032227504744E-2</v>
      </c>
      <c r="E155" s="203">
        <f>IF(E166=0,0,E163/E166)</f>
        <v>6.3265951569727171E-4</v>
      </c>
      <c r="G155" s="6"/>
    </row>
    <row r="156" spans="1:7" ht="20.100000000000001" customHeight="1" x14ac:dyDescent="0.2">
      <c r="A156" s="202">
        <v>5</v>
      </c>
      <c r="B156" s="195" t="s">
        <v>402</v>
      </c>
      <c r="C156" s="203">
        <f>IF(C166=0,0,C164/C166)</f>
        <v>1.3783132840708909E-2</v>
      </c>
      <c r="D156" s="203">
        <f>IF(D166=0,0,D164/D166)</f>
        <v>1.2165780353845855E-2</v>
      </c>
      <c r="E156" s="203">
        <f>IF(E166=0,0,E164/E166)</f>
        <v>1.3683936211022305E-2</v>
      </c>
    </row>
    <row r="157" spans="1:7" ht="20.100000000000001" customHeight="1" x14ac:dyDescent="0.2">
      <c r="A157" s="202">
        <v>6</v>
      </c>
      <c r="B157" s="195" t="s">
        <v>403</v>
      </c>
      <c r="C157" s="203">
        <f>IF(C166=0,0,C165/C166)</f>
        <v>3.456778553367834E-3</v>
      </c>
      <c r="D157" s="203">
        <f>IF(D166=0,0,D165/D166)</f>
        <v>4.292153887595733E-3</v>
      </c>
      <c r="E157" s="203">
        <f>IF(E166=0,0,E165/E166)</f>
        <v>4.2808012311304914E-3</v>
      </c>
    </row>
    <row r="158" spans="1:7" ht="20.100000000000001" customHeight="1" x14ac:dyDescent="0.2">
      <c r="A158" s="202">
        <v>7</v>
      </c>
      <c r="B158" s="195" t="s">
        <v>404</v>
      </c>
      <c r="C158" s="203">
        <f>SUM(C152:C157)</f>
        <v>0.99999999999999989</v>
      </c>
      <c r="D158" s="203">
        <f>SUM(D152:D157)</f>
        <v>1</v>
      </c>
      <c r="E158" s="203">
        <f>SUM(E152:E157)</f>
        <v>0.99999999999999989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405</v>
      </c>
      <c r="C160" s="207">
        <f>+C44-C164</f>
        <v>34950184</v>
      </c>
      <c r="D160" s="208">
        <f>+D44-D164</f>
        <v>37246716</v>
      </c>
      <c r="E160" s="208">
        <f>+E44-E164</f>
        <v>39685901</v>
      </c>
    </row>
    <row r="161" spans="1:6" ht="20.100000000000001" customHeight="1" x14ac:dyDescent="0.2">
      <c r="A161" s="202">
        <v>9</v>
      </c>
      <c r="B161" s="201" t="s">
        <v>406</v>
      </c>
      <c r="C161" s="209">
        <f>+C50</f>
        <v>46424315</v>
      </c>
      <c r="D161" s="208">
        <f>+D50</f>
        <v>48430129</v>
      </c>
      <c r="E161" s="208">
        <f>+E50</f>
        <v>50742113</v>
      </c>
    </row>
    <row r="162" spans="1:6" ht="20.100000000000001" customHeight="1" x14ac:dyDescent="0.2">
      <c r="A162" s="202">
        <v>10</v>
      </c>
      <c r="B162" s="201" t="s">
        <v>407</v>
      </c>
      <c r="C162" s="209">
        <f>+C54</f>
        <v>7895688</v>
      </c>
      <c r="D162" s="208">
        <f>+D54</f>
        <v>11060952</v>
      </c>
      <c r="E162" s="208">
        <f>+E54</f>
        <v>14852649</v>
      </c>
    </row>
    <row r="163" spans="1:6" ht="20.100000000000001" customHeight="1" x14ac:dyDescent="0.2">
      <c r="A163" s="202">
        <v>11</v>
      </c>
      <c r="B163" s="201" t="s">
        <v>408</v>
      </c>
      <c r="C163" s="207">
        <v>1919416</v>
      </c>
      <c r="D163" s="208">
        <v>2155966</v>
      </c>
      <c r="E163" s="208">
        <v>67869</v>
      </c>
    </row>
    <row r="164" spans="1:6" ht="20.100000000000001" customHeight="1" x14ac:dyDescent="0.2">
      <c r="A164" s="202">
        <v>12</v>
      </c>
      <c r="B164" s="201" t="s">
        <v>409</v>
      </c>
      <c r="C164" s="209">
        <f>+C45</f>
        <v>1278927</v>
      </c>
      <c r="D164" s="208">
        <f>+D45</f>
        <v>1223252</v>
      </c>
      <c r="E164" s="208">
        <f>+E45</f>
        <v>1467954</v>
      </c>
    </row>
    <row r="165" spans="1:6" ht="20.100000000000001" customHeight="1" x14ac:dyDescent="0.2">
      <c r="A165" s="202">
        <v>13</v>
      </c>
      <c r="B165" s="201" t="s">
        <v>410</v>
      </c>
      <c r="C165" s="209">
        <v>320752</v>
      </c>
      <c r="D165" s="208">
        <v>431570</v>
      </c>
      <c r="E165" s="208">
        <v>459226</v>
      </c>
    </row>
    <row r="166" spans="1:6" ht="20.100000000000001" customHeight="1" x14ac:dyDescent="0.2">
      <c r="A166" s="202">
        <v>14</v>
      </c>
      <c r="B166" s="201" t="s">
        <v>411</v>
      </c>
      <c r="C166" s="207">
        <f>SUM(C160:C165)</f>
        <v>92789282</v>
      </c>
      <c r="D166" s="208">
        <f>SUM(D160:D165)</f>
        <v>100548585</v>
      </c>
      <c r="E166" s="208">
        <f>SUM(E160:E165)</f>
        <v>107275712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412</v>
      </c>
      <c r="B168" s="30" t="s">
        <v>373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413</v>
      </c>
      <c r="C169" s="198">
        <v>1896</v>
      </c>
      <c r="D169" s="198">
        <v>1900</v>
      </c>
      <c r="E169" s="198">
        <v>1747</v>
      </c>
    </row>
    <row r="170" spans="1:6" ht="20.100000000000001" customHeight="1" x14ac:dyDescent="0.2">
      <c r="A170" s="202">
        <v>2</v>
      </c>
      <c r="B170" s="201" t="s">
        <v>414</v>
      </c>
      <c r="C170" s="198">
        <v>3405</v>
      </c>
      <c r="D170" s="198">
        <v>3371</v>
      </c>
      <c r="E170" s="198">
        <v>3532</v>
      </c>
    </row>
    <row r="171" spans="1:6" ht="20.100000000000001" customHeight="1" x14ac:dyDescent="0.2">
      <c r="A171" s="202">
        <v>3</v>
      </c>
      <c r="B171" s="201" t="s">
        <v>415</v>
      </c>
      <c r="C171" s="198">
        <v>994</v>
      </c>
      <c r="D171" s="198">
        <v>1133</v>
      </c>
      <c r="E171" s="198">
        <v>1200</v>
      </c>
    </row>
    <row r="172" spans="1:6" ht="20.100000000000001" customHeight="1" x14ac:dyDescent="0.2">
      <c r="A172" s="202">
        <v>4</v>
      </c>
      <c r="B172" s="201" t="s">
        <v>416</v>
      </c>
      <c r="C172" s="198">
        <v>735</v>
      </c>
      <c r="D172" s="198">
        <v>935</v>
      </c>
      <c r="E172" s="198">
        <v>1192</v>
      </c>
    </row>
    <row r="173" spans="1:6" ht="20.100000000000001" customHeight="1" x14ac:dyDescent="0.2">
      <c r="A173" s="202">
        <v>5</v>
      </c>
      <c r="B173" s="201" t="s">
        <v>417</v>
      </c>
      <c r="C173" s="198">
        <v>259</v>
      </c>
      <c r="D173" s="198">
        <v>198</v>
      </c>
      <c r="E173" s="198">
        <v>8</v>
      </c>
    </row>
    <row r="174" spans="1:6" ht="20.100000000000001" customHeight="1" x14ac:dyDescent="0.2">
      <c r="A174" s="202">
        <v>6</v>
      </c>
      <c r="B174" s="201" t="s">
        <v>418</v>
      </c>
      <c r="C174" s="198">
        <v>25</v>
      </c>
      <c r="D174" s="198">
        <v>34</v>
      </c>
      <c r="E174" s="198">
        <v>33</v>
      </c>
    </row>
    <row r="175" spans="1:6" ht="20.100000000000001" customHeight="1" x14ac:dyDescent="0.2">
      <c r="A175" s="202">
        <v>7</v>
      </c>
      <c r="B175" s="201" t="s">
        <v>419</v>
      </c>
      <c r="C175" s="198">
        <v>123</v>
      </c>
      <c r="D175" s="198">
        <v>155</v>
      </c>
      <c r="E175" s="198">
        <v>90</v>
      </c>
    </row>
    <row r="176" spans="1:6" ht="20.100000000000001" customHeight="1" x14ac:dyDescent="0.2">
      <c r="A176" s="202">
        <v>8</v>
      </c>
      <c r="B176" s="201" t="s">
        <v>420</v>
      </c>
      <c r="C176" s="198">
        <f>+C169+C170+C171+C174</f>
        <v>6320</v>
      </c>
      <c r="D176" s="198">
        <f>+D169+D170+D171+D174</f>
        <v>6438</v>
      </c>
      <c r="E176" s="198">
        <f>+E169+E170+E171+E174</f>
        <v>6512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421</v>
      </c>
      <c r="B178" s="30" t="s">
        <v>422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413</v>
      </c>
      <c r="C179" s="210">
        <v>1.0369999999999999</v>
      </c>
      <c r="D179" s="210">
        <v>1.1143000000000001</v>
      </c>
      <c r="E179" s="210">
        <v>1.1544000000000001</v>
      </c>
    </row>
    <row r="180" spans="1:6" ht="20.100000000000001" customHeight="1" x14ac:dyDescent="0.2">
      <c r="A180" s="202">
        <v>2</v>
      </c>
      <c r="B180" s="201" t="s">
        <v>414</v>
      </c>
      <c r="C180" s="210">
        <v>1.4336</v>
      </c>
      <c r="D180" s="210">
        <v>1.4221999999999999</v>
      </c>
      <c r="E180" s="210">
        <v>1.4061999999999999</v>
      </c>
    </row>
    <row r="181" spans="1:6" ht="20.100000000000001" customHeight="1" x14ac:dyDescent="0.2">
      <c r="A181" s="202">
        <v>3</v>
      </c>
      <c r="B181" s="201" t="s">
        <v>415</v>
      </c>
      <c r="C181" s="210">
        <v>0.83513999999999999</v>
      </c>
      <c r="D181" s="210">
        <v>0.88289799999999996</v>
      </c>
      <c r="E181" s="210">
        <v>0.97322900000000001</v>
      </c>
    </row>
    <row r="182" spans="1:6" ht="20.100000000000001" customHeight="1" x14ac:dyDescent="0.2">
      <c r="A182" s="202">
        <v>4</v>
      </c>
      <c r="B182" s="201" t="s">
        <v>416</v>
      </c>
      <c r="C182" s="210">
        <v>0.77680000000000005</v>
      </c>
      <c r="D182" s="210">
        <v>0.8599</v>
      </c>
      <c r="E182" s="210">
        <v>0.97260000000000002</v>
      </c>
    </row>
    <row r="183" spans="1:6" ht="20.100000000000001" customHeight="1" x14ac:dyDescent="0.2">
      <c r="A183" s="202">
        <v>5</v>
      </c>
      <c r="B183" s="201" t="s">
        <v>417</v>
      </c>
      <c r="C183" s="210">
        <v>1.0006999999999999</v>
      </c>
      <c r="D183" s="210">
        <v>0.99150000000000005</v>
      </c>
      <c r="E183" s="210">
        <v>1.0669999999999999</v>
      </c>
    </row>
    <row r="184" spans="1:6" ht="20.100000000000001" customHeight="1" x14ac:dyDescent="0.2">
      <c r="A184" s="202">
        <v>6</v>
      </c>
      <c r="B184" s="201" t="s">
        <v>418</v>
      </c>
      <c r="C184" s="210">
        <v>1.2313000000000001</v>
      </c>
      <c r="D184" s="210">
        <v>1.2007000000000001</v>
      </c>
      <c r="E184" s="210">
        <v>1.1505000000000001</v>
      </c>
    </row>
    <row r="185" spans="1:6" ht="20.100000000000001" customHeight="1" x14ac:dyDescent="0.2">
      <c r="A185" s="202">
        <v>7</v>
      </c>
      <c r="B185" s="201" t="s">
        <v>419</v>
      </c>
      <c r="C185" s="210">
        <v>0.88380000000000003</v>
      </c>
      <c r="D185" s="210">
        <v>0.97219999999999995</v>
      </c>
      <c r="E185" s="210">
        <v>0.97450000000000003</v>
      </c>
    </row>
    <row r="186" spans="1:6" ht="20.100000000000001" customHeight="1" x14ac:dyDescent="0.2">
      <c r="A186" s="202">
        <v>8</v>
      </c>
      <c r="B186" s="201" t="s">
        <v>423</v>
      </c>
      <c r="C186" s="210">
        <v>1.2196940000000001</v>
      </c>
      <c r="D186" s="210">
        <v>1.235252</v>
      </c>
      <c r="E186" s="210">
        <v>1.2575670000000001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424</v>
      </c>
      <c r="B188" s="30" t="s">
        <v>425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426</v>
      </c>
      <c r="C189" s="198">
        <v>4476</v>
      </c>
      <c r="D189" s="198">
        <v>4589</v>
      </c>
      <c r="E189" s="198">
        <v>5055</v>
      </c>
    </row>
    <row r="190" spans="1:6" ht="20.100000000000001" customHeight="1" x14ac:dyDescent="0.2">
      <c r="A190" s="202">
        <v>2</v>
      </c>
      <c r="B190" s="201" t="s">
        <v>427</v>
      </c>
      <c r="C190" s="198">
        <v>34464</v>
      </c>
      <c r="D190" s="198">
        <v>34004</v>
      </c>
      <c r="E190" s="198">
        <v>34480</v>
      </c>
    </row>
    <row r="191" spans="1:6" ht="20.100000000000001" customHeight="1" x14ac:dyDescent="0.2">
      <c r="A191" s="202">
        <v>3</v>
      </c>
      <c r="B191" s="201" t="s">
        <v>428</v>
      </c>
      <c r="C191" s="198">
        <f>+C190+C189</f>
        <v>38940</v>
      </c>
      <c r="D191" s="198">
        <f>+D190+D189</f>
        <v>38593</v>
      </c>
      <c r="E191" s="198">
        <f>+E190+E189</f>
        <v>39535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FILING&amp;RCHARLOTTE HUNGERFORD HOSPITAL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workbookViewId="0"/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4" width="21.140625" style="211" customWidth="1"/>
    <col min="5" max="5" width="21.7109375" style="211" customWidth="1"/>
    <col min="6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90" t="s">
        <v>0</v>
      </c>
      <c r="B2" s="690"/>
      <c r="C2" s="690"/>
      <c r="D2" s="690"/>
      <c r="E2" s="690"/>
      <c r="F2" s="690"/>
    </row>
    <row r="3" spans="1:7" ht="20.25" customHeight="1" x14ac:dyDescent="0.3">
      <c r="A3" s="690" t="s">
        <v>1</v>
      </c>
      <c r="B3" s="690"/>
      <c r="C3" s="690"/>
      <c r="D3" s="690"/>
      <c r="E3" s="690"/>
      <c r="F3" s="690"/>
    </row>
    <row r="4" spans="1:7" ht="20.25" customHeight="1" x14ac:dyDescent="0.3">
      <c r="A4" s="690" t="s">
        <v>2</v>
      </c>
      <c r="B4" s="690"/>
      <c r="C4" s="690"/>
      <c r="D4" s="690"/>
      <c r="E4" s="690"/>
      <c r="F4" s="690"/>
    </row>
    <row r="5" spans="1:7" ht="20.25" customHeight="1" x14ac:dyDescent="0.3">
      <c r="A5" s="690" t="s">
        <v>429</v>
      </c>
      <c r="B5" s="690"/>
      <c r="C5" s="690"/>
      <c r="D5" s="690"/>
      <c r="E5" s="690"/>
      <c r="F5" s="690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25"/>
      <c r="B9" s="226"/>
      <c r="C9" s="691"/>
      <c r="D9" s="692"/>
      <c r="E9" s="692"/>
      <c r="F9" s="693"/>
      <c r="G9" s="212"/>
    </row>
    <row r="10" spans="1:7" ht="20.25" customHeight="1" x14ac:dyDescent="0.3">
      <c r="A10" s="694" t="s">
        <v>12</v>
      </c>
      <c r="B10" s="674" t="s">
        <v>113</v>
      </c>
      <c r="C10" s="676"/>
      <c r="D10" s="677"/>
      <c r="E10" s="677"/>
      <c r="F10" s="678"/>
    </row>
    <row r="11" spans="1:7" ht="20.25" customHeight="1" x14ac:dyDescent="0.3">
      <c r="A11" s="683"/>
      <c r="B11" s="675"/>
      <c r="C11" s="679"/>
      <c r="D11" s="680"/>
      <c r="E11" s="680"/>
      <c r="F11" s="681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433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134656</v>
      </c>
      <c r="D14" s="237">
        <v>112283</v>
      </c>
      <c r="E14" s="237">
        <f t="shared" ref="E14:E24" si="0">D14-C14</f>
        <v>-22373</v>
      </c>
      <c r="F14" s="238">
        <f t="shared" ref="F14:F24" si="1">IF(C14=0,0,E14/C14)</f>
        <v>-0.16614929895437264</v>
      </c>
    </row>
    <row r="15" spans="1:7" ht="20.25" customHeight="1" x14ac:dyDescent="0.3">
      <c r="A15" s="235">
        <v>2</v>
      </c>
      <c r="B15" s="236" t="s">
        <v>435</v>
      </c>
      <c r="C15" s="237">
        <v>88212</v>
      </c>
      <c r="D15" s="237">
        <v>56369</v>
      </c>
      <c r="E15" s="237">
        <f t="shared" si="0"/>
        <v>-31843</v>
      </c>
      <c r="F15" s="238">
        <f t="shared" si="1"/>
        <v>-0.36098263274837888</v>
      </c>
    </row>
    <row r="16" spans="1:7" ht="20.25" customHeight="1" x14ac:dyDescent="0.3">
      <c r="A16" s="235">
        <v>3</v>
      </c>
      <c r="B16" s="236" t="s">
        <v>436</v>
      </c>
      <c r="C16" s="237">
        <v>38837</v>
      </c>
      <c r="D16" s="237">
        <v>73096</v>
      </c>
      <c r="E16" s="237">
        <f t="shared" si="0"/>
        <v>34259</v>
      </c>
      <c r="F16" s="238">
        <f t="shared" si="1"/>
        <v>0.88212271802662412</v>
      </c>
    </row>
    <row r="17" spans="1:6" ht="20.25" customHeight="1" x14ac:dyDescent="0.3">
      <c r="A17" s="235">
        <v>4</v>
      </c>
      <c r="B17" s="236" t="s">
        <v>437</v>
      </c>
      <c r="C17" s="237">
        <v>11761</v>
      </c>
      <c r="D17" s="237">
        <v>29994</v>
      </c>
      <c r="E17" s="237">
        <f t="shared" si="0"/>
        <v>18233</v>
      </c>
      <c r="F17" s="238">
        <f t="shared" si="1"/>
        <v>1.5502933424028569</v>
      </c>
    </row>
    <row r="18" spans="1:6" ht="20.25" customHeight="1" x14ac:dyDescent="0.3">
      <c r="A18" s="235">
        <v>5</v>
      </c>
      <c r="B18" s="236" t="s">
        <v>373</v>
      </c>
      <c r="C18" s="239">
        <v>8</v>
      </c>
      <c r="D18" s="239">
        <v>5</v>
      </c>
      <c r="E18" s="239">
        <f t="shared" si="0"/>
        <v>-3</v>
      </c>
      <c r="F18" s="238">
        <f t="shared" si="1"/>
        <v>-0.375</v>
      </c>
    </row>
    <row r="19" spans="1:6" ht="20.25" customHeight="1" x14ac:dyDescent="0.3">
      <c r="A19" s="235">
        <v>6</v>
      </c>
      <c r="B19" s="236" t="s">
        <v>372</v>
      </c>
      <c r="C19" s="239">
        <v>35</v>
      </c>
      <c r="D19" s="239">
        <v>21</v>
      </c>
      <c r="E19" s="239">
        <f t="shared" si="0"/>
        <v>-14</v>
      </c>
      <c r="F19" s="238">
        <f t="shared" si="1"/>
        <v>-0.4</v>
      </c>
    </row>
    <row r="20" spans="1:6" ht="20.25" customHeight="1" x14ac:dyDescent="0.3">
      <c r="A20" s="235">
        <v>7</v>
      </c>
      <c r="B20" s="236" t="s">
        <v>438</v>
      </c>
      <c r="C20" s="239">
        <v>78</v>
      </c>
      <c r="D20" s="239">
        <v>130</v>
      </c>
      <c r="E20" s="239">
        <f t="shared" si="0"/>
        <v>52</v>
      </c>
      <c r="F20" s="238">
        <f t="shared" si="1"/>
        <v>0.66666666666666663</v>
      </c>
    </row>
    <row r="21" spans="1:6" ht="20.25" customHeight="1" x14ac:dyDescent="0.3">
      <c r="A21" s="235">
        <v>8</v>
      </c>
      <c r="B21" s="236" t="s">
        <v>439</v>
      </c>
      <c r="C21" s="239">
        <v>13</v>
      </c>
      <c r="D21" s="239">
        <v>22</v>
      </c>
      <c r="E21" s="239">
        <f t="shared" si="0"/>
        <v>9</v>
      </c>
      <c r="F21" s="238">
        <f t="shared" si="1"/>
        <v>0.69230769230769229</v>
      </c>
    </row>
    <row r="22" spans="1:6" ht="20.25" customHeight="1" x14ac:dyDescent="0.3">
      <c r="A22" s="235">
        <v>9</v>
      </c>
      <c r="B22" s="236" t="s">
        <v>440</v>
      </c>
      <c r="C22" s="239">
        <v>7</v>
      </c>
      <c r="D22" s="239">
        <v>4</v>
      </c>
      <c r="E22" s="239">
        <f t="shared" si="0"/>
        <v>-3</v>
      </c>
      <c r="F22" s="238">
        <f t="shared" si="1"/>
        <v>-0.42857142857142855</v>
      </c>
    </row>
    <row r="23" spans="1:6" s="240" customFormat="1" ht="20.25" customHeight="1" x14ac:dyDescent="0.3">
      <c r="A23" s="241"/>
      <c r="B23" s="242" t="s">
        <v>441</v>
      </c>
      <c r="C23" s="243">
        <f>+C14+C16</f>
        <v>173493</v>
      </c>
      <c r="D23" s="243">
        <f>+D14+D16</f>
        <v>185379</v>
      </c>
      <c r="E23" s="243">
        <f t="shared" si="0"/>
        <v>11886</v>
      </c>
      <c r="F23" s="244">
        <f t="shared" si="1"/>
        <v>6.8509968701907287E-2</v>
      </c>
    </row>
    <row r="24" spans="1:6" s="240" customFormat="1" ht="20.25" customHeight="1" x14ac:dyDescent="0.3">
      <c r="A24" s="241"/>
      <c r="B24" s="242" t="s">
        <v>442</v>
      </c>
      <c r="C24" s="243">
        <f>+C15+C17</f>
        <v>99973</v>
      </c>
      <c r="D24" s="243">
        <f>+D15+D17</f>
        <v>86363</v>
      </c>
      <c r="E24" s="243">
        <f t="shared" si="0"/>
        <v>-13610</v>
      </c>
      <c r="F24" s="244">
        <f t="shared" si="1"/>
        <v>-0.13613675692436958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443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434</v>
      </c>
      <c r="C27" s="237">
        <v>74501</v>
      </c>
      <c r="D27" s="237">
        <v>0</v>
      </c>
      <c r="E27" s="237">
        <f t="shared" ref="E27:E37" si="2">D27-C27</f>
        <v>-74501</v>
      </c>
      <c r="F27" s="238">
        <f t="shared" ref="F27:F37" si="3">IF(C27=0,0,E27/C27)</f>
        <v>-1</v>
      </c>
    </row>
    <row r="28" spans="1:6" ht="20.25" customHeight="1" x14ac:dyDescent="0.3">
      <c r="A28" s="235">
        <v>2</v>
      </c>
      <c r="B28" s="236" t="s">
        <v>435</v>
      </c>
      <c r="C28" s="237">
        <v>59590</v>
      </c>
      <c r="D28" s="237">
        <v>0</v>
      </c>
      <c r="E28" s="237">
        <f t="shared" si="2"/>
        <v>-59590</v>
      </c>
      <c r="F28" s="238">
        <f t="shared" si="3"/>
        <v>-1</v>
      </c>
    </row>
    <row r="29" spans="1:6" ht="20.25" customHeight="1" x14ac:dyDescent="0.3">
      <c r="A29" s="235">
        <v>3</v>
      </c>
      <c r="B29" s="236" t="s">
        <v>436</v>
      </c>
      <c r="C29" s="237">
        <v>8718</v>
      </c>
      <c r="D29" s="237">
        <v>6436</v>
      </c>
      <c r="E29" s="237">
        <f t="shared" si="2"/>
        <v>-2282</v>
      </c>
      <c r="F29" s="238">
        <f t="shared" si="3"/>
        <v>-0.26175728378068364</v>
      </c>
    </row>
    <row r="30" spans="1:6" ht="20.25" customHeight="1" x14ac:dyDescent="0.3">
      <c r="A30" s="235">
        <v>4</v>
      </c>
      <c r="B30" s="236" t="s">
        <v>437</v>
      </c>
      <c r="C30" s="237">
        <v>2182</v>
      </c>
      <c r="D30" s="237">
        <v>3474</v>
      </c>
      <c r="E30" s="237">
        <f t="shared" si="2"/>
        <v>1292</v>
      </c>
      <c r="F30" s="238">
        <f t="shared" si="3"/>
        <v>0.59211732355637026</v>
      </c>
    </row>
    <row r="31" spans="1:6" ht="20.25" customHeight="1" x14ac:dyDescent="0.3">
      <c r="A31" s="235">
        <v>5</v>
      </c>
      <c r="B31" s="236" t="s">
        <v>373</v>
      </c>
      <c r="C31" s="239">
        <v>3</v>
      </c>
      <c r="D31" s="239">
        <v>0</v>
      </c>
      <c r="E31" s="239">
        <f t="shared" si="2"/>
        <v>-3</v>
      </c>
      <c r="F31" s="238">
        <f t="shared" si="3"/>
        <v>-1</v>
      </c>
    </row>
    <row r="32" spans="1:6" ht="20.25" customHeight="1" x14ac:dyDescent="0.3">
      <c r="A32" s="235">
        <v>6</v>
      </c>
      <c r="B32" s="236" t="s">
        <v>372</v>
      </c>
      <c r="C32" s="239">
        <v>16</v>
      </c>
      <c r="D32" s="239">
        <v>0</v>
      </c>
      <c r="E32" s="239">
        <f t="shared" si="2"/>
        <v>-16</v>
      </c>
      <c r="F32" s="238">
        <f t="shared" si="3"/>
        <v>-1</v>
      </c>
    </row>
    <row r="33" spans="1:6" ht="20.25" customHeight="1" x14ac:dyDescent="0.3">
      <c r="A33" s="235">
        <v>7</v>
      </c>
      <c r="B33" s="236" t="s">
        <v>438</v>
      </c>
      <c r="C33" s="239">
        <v>22</v>
      </c>
      <c r="D33" s="239">
        <v>8</v>
      </c>
      <c r="E33" s="239">
        <f t="shared" si="2"/>
        <v>-14</v>
      </c>
      <c r="F33" s="238">
        <f t="shared" si="3"/>
        <v>-0.63636363636363635</v>
      </c>
    </row>
    <row r="34" spans="1:6" ht="20.25" customHeight="1" x14ac:dyDescent="0.3">
      <c r="A34" s="235">
        <v>8</v>
      </c>
      <c r="B34" s="236" t="s">
        <v>439</v>
      </c>
      <c r="C34" s="239">
        <v>5</v>
      </c>
      <c r="D34" s="239">
        <v>0</v>
      </c>
      <c r="E34" s="239">
        <f t="shared" si="2"/>
        <v>-5</v>
      </c>
      <c r="F34" s="238">
        <f t="shared" si="3"/>
        <v>-1</v>
      </c>
    </row>
    <row r="35" spans="1:6" ht="20.25" customHeight="1" x14ac:dyDescent="0.3">
      <c r="A35" s="235">
        <v>9</v>
      </c>
      <c r="B35" s="236" t="s">
        <v>440</v>
      </c>
      <c r="C35" s="239">
        <v>2</v>
      </c>
      <c r="D35" s="239">
        <v>0</v>
      </c>
      <c r="E35" s="239">
        <f t="shared" si="2"/>
        <v>-2</v>
      </c>
      <c r="F35" s="238">
        <f t="shared" si="3"/>
        <v>-1</v>
      </c>
    </row>
    <row r="36" spans="1:6" s="240" customFormat="1" ht="20.25" customHeight="1" x14ac:dyDescent="0.3">
      <c r="A36" s="241"/>
      <c r="B36" s="242" t="s">
        <v>441</v>
      </c>
      <c r="C36" s="243">
        <f>+C27+C29</f>
        <v>83219</v>
      </c>
      <c r="D36" s="243">
        <f>+D27+D29</f>
        <v>6436</v>
      </c>
      <c r="E36" s="243">
        <f t="shared" si="2"/>
        <v>-76783</v>
      </c>
      <c r="F36" s="244">
        <f t="shared" si="3"/>
        <v>-0.92266189211598315</v>
      </c>
    </row>
    <row r="37" spans="1:6" s="240" customFormat="1" ht="20.25" customHeight="1" x14ac:dyDescent="0.3">
      <c r="A37" s="241"/>
      <c r="B37" s="242" t="s">
        <v>442</v>
      </c>
      <c r="C37" s="243">
        <f>+C28+C30</f>
        <v>61772</v>
      </c>
      <c r="D37" s="243">
        <f>+D28+D30</f>
        <v>3474</v>
      </c>
      <c r="E37" s="243">
        <f t="shared" si="2"/>
        <v>-58298</v>
      </c>
      <c r="F37" s="244">
        <f t="shared" si="3"/>
        <v>-0.94376092728096872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444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434</v>
      </c>
      <c r="C40" s="237">
        <v>862202</v>
      </c>
      <c r="D40" s="237">
        <v>1991166</v>
      </c>
      <c r="E40" s="237">
        <f t="shared" ref="E40:E50" si="4">D40-C40</f>
        <v>1128964</v>
      </c>
      <c r="F40" s="238">
        <f t="shared" ref="F40:F50" si="5">IF(C40=0,0,E40/C40)</f>
        <v>1.3093961739824311</v>
      </c>
    </row>
    <row r="41" spans="1:6" ht="20.25" customHeight="1" x14ac:dyDescent="0.3">
      <c r="A41" s="235">
        <v>2</v>
      </c>
      <c r="B41" s="236" t="s">
        <v>435</v>
      </c>
      <c r="C41" s="237">
        <v>631964</v>
      </c>
      <c r="D41" s="237">
        <v>1132326</v>
      </c>
      <c r="E41" s="237">
        <f t="shared" si="4"/>
        <v>500362</v>
      </c>
      <c r="F41" s="238">
        <f t="shared" si="5"/>
        <v>0.7917571254058775</v>
      </c>
    </row>
    <row r="42" spans="1:6" ht="20.25" customHeight="1" x14ac:dyDescent="0.3">
      <c r="A42" s="235">
        <v>3</v>
      </c>
      <c r="B42" s="236" t="s">
        <v>436</v>
      </c>
      <c r="C42" s="237">
        <v>1234314</v>
      </c>
      <c r="D42" s="237">
        <v>2114587</v>
      </c>
      <c r="E42" s="237">
        <f t="shared" si="4"/>
        <v>880273</v>
      </c>
      <c r="F42" s="238">
        <f t="shared" si="5"/>
        <v>0.71316780008976643</v>
      </c>
    </row>
    <row r="43" spans="1:6" ht="20.25" customHeight="1" x14ac:dyDescent="0.3">
      <c r="A43" s="235">
        <v>4</v>
      </c>
      <c r="B43" s="236" t="s">
        <v>437</v>
      </c>
      <c r="C43" s="237">
        <v>560799</v>
      </c>
      <c r="D43" s="237">
        <v>728828</v>
      </c>
      <c r="E43" s="237">
        <f t="shared" si="4"/>
        <v>168029</v>
      </c>
      <c r="F43" s="238">
        <f t="shared" si="5"/>
        <v>0.29962428606327757</v>
      </c>
    </row>
    <row r="44" spans="1:6" ht="20.25" customHeight="1" x14ac:dyDescent="0.3">
      <c r="A44" s="235">
        <v>5</v>
      </c>
      <c r="B44" s="236" t="s">
        <v>373</v>
      </c>
      <c r="C44" s="239">
        <v>55</v>
      </c>
      <c r="D44" s="239">
        <v>123</v>
      </c>
      <c r="E44" s="239">
        <f t="shared" si="4"/>
        <v>68</v>
      </c>
      <c r="F44" s="238">
        <f t="shared" si="5"/>
        <v>1.2363636363636363</v>
      </c>
    </row>
    <row r="45" spans="1:6" ht="20.25" customHeight="1" x14ac:dyDescent="0.3">
      <c r="A45" s="235">
        <v>6</v>
      </c>
      <c r="B45" s="236" t="s">
        <v>372</v>
      </c>
      <c r="C45" s="239">
        <v>274</v>
      </c>
      <c r="D45" s="239">
        <v>564</v>
      </c>
      <c r="E45" s="239">
        <f t="shared" si="4"/>
        <v>290</v>
      </c>
      <c r="F45" s="238">
        <f t="shared" si="5"/>
        <v>1.0583941605839415</v>
      </c>
    </row>
    <row r="46" spans="1:6" ht="20.25" customHeight="1" x14ac:dyDescent="0.3">
      <c r="A46" s="235">
        <v>7</v>
      </c>
      <c r="B46" s="236" t="s">
        <v>438</v>
      </c>
      <c r="C46" s="239">
        <v>2256</v>
      </c>
      <c r="D46" s="239">
        <v>3844</v>
      </c>
      <c r="E46" s="239">
        <f t="shared" si="4"/>
        <v>1588</v>
      </c>
      <c r="F46" s="238">
        <f t="shared" si="5"/>
        <v>0.70390070921985815</v>
      </c>
    </row>
    <row r="47" spans="1:6" ht="20.25" customHeight="1" x14ac:dyDescent="0.3">
      <c r="A47" s="235">
        <v>8</v>
      </c>
      <c r="B47" s="236" t="s">
        <v>439</v>
      </c>
      <c r="C47" s="239">
        <v>219</v>
      </c>
      <c r="D47" s="239">
        <v>305</v>
      </c>
      <c r="E47" s="239">
        <f t="shared" si="4"/>
        <v>86</v>
      </c>
      <c r="F47" s="238">
        <f t="shared" si="5"/>
        <v>0.39269406392694062</v>
      </c>
    </row>
    <row r="48" spans="1:6" ht="20.25" customHeight="1" x14ac:dyDescent="0.3">
      <c r="A48" s="235">
        <v>9</v>
      </c>
      <c r="B48" s="236" t="s">
        <v>440</v>
      </c>
      <c r="C48" s="239">
        <v>38</v>
      </c>
      <c r="D48" s="239">
        <v>98</v>
      </c>
      <c r="E48" s="239">
        <f t="shared" si="4"/>
        <v>60</v>
      </c>
      <c r="F48" s="238">
        <f t="shared" si="5"/>
        <v>1.5789473684210527</v>
      </c>
    </row>
    <row r="49" spans="1:6" s="240" customFormat="1" ht="20.25" customHeight="1" x14ac:dyDescent="0.3">
      <c r="A49" s="241"/>
      <c r="B49" s="242" t="s">
        <v>441</v>
      </c>
      <c r="C49" s="243">
        <f>+C40+C42</f>
        <v>2096516</v>
      </c>
      <c r="D49" s="243">
        <f>+D40+D42</f>
        <v>4105753</v>
      </c>
      <c r="E49" s="243">
        <f t="shared" si="4"/>
        <v>2009237</v>
      </c>
      <c r="F49" s="244">
        <f t="shared" si="5"/>
        <v>0.95836950445405611</v>
      </c>
    </row>
    <row r="50" spans="1:6" s="240" customFormat="1" ht="20.25" customHeight="1" x14ac:dyDescent="0.3">
      <c r="A50" s="241"/>
      <c r="B50" s="242" t="s">
        <v>442</v>
      </c>
      <c r="C50" s="243">
        <f>+C41+C43</f>
        <v>1192763</v>
      </c>
      <c r="D50" s="243">
        <f>+D41+D43</f>
        <v>1861154</v>
      </c>
      <c r="E50" s="243">
        <f t="shared" si="4"/>
        <v>668391</v>
      </c>
      <c r="F50" s="244">
        <f t="shared" si="5"/>
        <v>0.56037201019817018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445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434</v>
      </c>
      <c r="C53" s="237">
        <v>1155650</v>
      </c>
      <c r="D53" s="237">
        <v>227216</v>
      </c>
      <c r="E53" s="237">
        <f t="shared" ref="E53:E63" si="6">D53-C53</f>
        <v>-928434</v>
      </c>
      <c r="F53" s="238">
        <f t="shared" ref="F53:F63" si="7">IF(C53=0,0,E53/C53)</f>
        <v>-0.80338683857569337</v>
      </c>
    </row>
    <row r="54" spans="1:6" ht="20.25" customHeight="1" x14ac:dyDescent="0.3">
      <c r="A54" s="235">
        <v>2</v>
      </c>
      <c r="B54" s="236" t="s">
        <v>435</v>
      </c>
      <c r="C54" s="237">
        <v>868678</v>
      </c>
      <c r="D54" s="237">
        <v>156424</v>
      </c>
      <c r="E54" s="237">
        <f t="shared" si="6"/>
        <v>-712254</v>
      </c>
      <c r="F54" s="238">
        <f t="shared" si="7"/>
        <v>-0.81992867322529173</v>
      </c>
    </row>
    <row r="55" spans="1:6" ht="20.25" customHeight="1" x14ac:dyDescent="0.3">
      <c r="A55" s="235">
        <v>3</v>
      </c>
      <c r="B55" s="236" t="s">
        <v>436</v>
      </c>
      <c r="C55" s="237">
        <v>922609</v>
      </c>
      <c r="D55" s="237">
        <v>327751</v>
      </c>
      <c r="E55" s="237">
        <f t="shared" si="6"/>
        <v>-594858</v>
      </c>
      <c r="F55" s="238">
        <f t="shared" si="7"/>
        <v>-0.64475633773353613</v>
      </c>
    </row>
    <row r="56" spans="1:6" ht="20.25" customHeight="1" x14ac:dyDescent="0.3">
      <c r="A56" s="235">
        <v>4</v>
      </c>
      <c r="B56" s="236" t="s">
        <v>437</v>
      </c>
      <c r="C56" s="237">
        <v>369767</v>
      </c>
      <c r="D56" s="237">
        <v>142194</v>
      </c>
      <c r="E56" s="237">
        <f t="shared" si="6"/>
        <v>-227573</v>
      </c>
      <c r="F56" s="238">
        <f t="shared" si="7"/>
        <v>-0.61544972915376439</v>
      </c>
    </row>
    <row r="57" spans="1:6" ht="20.25" customHeight="1" x14ac:dyDescent="0.3">
      <c r="A57" s="235">
        <v>5</v>
      </c>
      <c r="B57" s="236" t="s">
        <v>373</v>
      </c>
      <c r="C57" s="239">
        <v>81</v>
      </c>
      <c r="D57" s="239">
        <v>15</v>
      </c>
      <c r="E57" s="239">
        <f t="shared" si="6"/>
        <v>-66</v>
      </c>
      <c r="F57" s="238">
        <f t="shared" si="7"/>
        <v>-0.81481481481481477</v>
      </c>
    </row>
    <row r="58" spans="1:6" ht="20.25" customHeight="1" x14ac:dyDescent="0.3">
      <c r="A58" s="235">
        <v>6</v>
      </c>
      <c r="B58" s="236" t="s">
        <v>372</v>
      </c>
      <c r="C58" s="239">
        <v>328</v>
      </c>
      <c r="D58" s="239">
        <v>78</v>
      </c>
      <c r="E58" s="239">
        <f t="shared" si="6"/>
        <v>-250</v>
      </c>
      <c r="F58" s="238">
        <f t="shared" si="7"/>
        <v>-0.76219512195121952</v>
      </c>
    </row>
    <row r="59" spans="1:6" ht="20.25" customHeight="1" x14ac:dyDescent="0.3">
      <c r="A59" s="235">
        <v>7</v>
      </c>
      <c r="B59" s="236" t="s">
        <v>438</v>
      </c>
      <c r="C59" s="239">
        <v>1351</v>
      </c>
      <c r="D59" s="239">
        <v>441</v>
      </c>
      <c r="E59" s="239">
        <f t="shared" si="6"/>
        <v>-910</v>
      </c>
      <c r="F59" s="238">
        <f t="shared" si="7"/>
        <v>-0.67357512953367871</v>
      </c>
    </row>
    <row r="60" spans="1:6" ht="20.25" customHeight="1" x14ac:dyDescent="0.3">
      <c r="A60" s="235">
        <v>8</v>
      </c>
      <c r="B60" s="236" t="s">
        <v>439</v>
      </c>
      <c r="C60" s="239">
        <v>165</v>
      </c>
      <c r="D60" s="239">
        <v>42</v>
      </c>
      <c r="E60" s="239">
        <f t="shared" si="6"/>
        <v>-123</v>
      </c>
      <c r="F60" s="238">
        <f t="shared" si="7"/>
        <v>-0.74545454545454548</v>
      </c>
    </row>
    <row r="61" spans="1:6" ht="20.25" customHeight="1" x14ac:dyDescent="0.3">
      <c r="A61" s="235">
        <v>9</v>
      </c>
      <c r="B61" s="236" t="s">
        <v>440</v>
      </c>
      <c r="C61" s="239">
        <v>69</v>
      </c>
      <c r="D61" s="239">
        <v>13</v>
      </c>
      <c r="E61" s="239">
        <f t="shared" si="6"/>
        <v>-56</v>
      </c>
      <c r="F61" s="238">
        <f t="shared" si="7"/>
        <v>-0.81159420289855078</v>
      </c>
    </row>
    <row r="62" spans="1:6" s="240" customFormat="1" ht="20.25" customHeight="1" x14ac:dyDescent="0.3">
      <c r="A62" s="241"/>
      <c r="B62" s="242" t="s">
        <v>441</v>
      </c>
      <c r="C62" s="243">
        <f>+C53+C55</f>
        <v>2078259</v>
      </c>
      <c r="D62" s="243">
        <f>+D53+D55</f>
        <v>554967</v>
      </c>
      <c r="E62" s="243">
        <f t="shared" si="6"/>
        <v>-1523292</v>
      </c>
      <c r="F62" s="244">
        <f t="shared" si="7"/>
        <v>-0.73296542923668317</v>
      </c>
    </row>
    <row r="63" spans="1:6" s="240" customFormat="1" ht="20.25" customHeight="1" x14ac:dyDescent="0.3">
      <c r="A63" s="241"/>
      <c r="B63" s="242" t="s">
        <v>442</v>
      </c>
      <c r="C63" s="243">
        <f>+C54+C56</f>
        <v>1238445</v>
      </c>
      <c r="D63" s="243">
        <f>+D54+D56</f>
        <v>298618</v>
      </c>
      <c r="E63" s="243">
        <f t="shared" si="6"/>
        <v>-939827</v>
      </c>
      <c r="F63" s="244">
        <f t="shared" si="7"/>
        <v>-0.75887665580627317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446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434</v>
      </c>
      <c r="C66" s="237">
        <v>89011</v>
      </c>
      <c r="D66" s="237">
        <v>17760</v>
      </c>
      <c r="E66" s="237">
        <f t="shared" ref="E66:E76" si="8">D66-C66</f>
        <v>-71251</v>
      </c>
      <c r="F66" s="238">
        <f t="shared" ref="F66:F76" si="9">IF(C66=0,0,E66/C66)</f>
        <v>-0.80047409870690145</v>
      </c>
    </row>
    <row r="67" spans="1:6" ht="20.25" customHeight="1" x14ac:dyDescent="0.3">
      <c r="A67" s="235">
        <v>2</v>
      </c>
      <c r="B67" s="236" t="s">
        <v>435</v>
      </c>
      <c r="C67" s="237">
        <v>59771</v>
      </c>
      <c r="D67" s="237">
        <v>9706</v>
      </c>
      <c r="E67" s="237">
        <f t="shared" si="8"/>
        <v>-50065</v>
      </c>
      <c r="F67" s="238">
        <f t="shared" si="9"/>
        <v>-0.83761355841461582</v>
      </c>
    </row>
    <row r="68" spans="1:6" ht="20.25" customHeight="1" x14ac:dyDescent="0.3">
      <c r="A68" s="235">
        <v>3</v>
      </c>
      <c r="B68" s="236" t="s">
        <v>436</v>
      </c>
      <c r="C68" s="237">
        <v>23882</v>
      </c>
      <c r="D68" s="237">
        <v>22090</v>
      </c>
      <c r="E68" s="237">
        <f t="shared" si="8"/>
        <v>-1792</v>
      </c>
      <c r="F68" s="238">
        <f t="shared" si="9"/>
        <v>-7.5035591658990028E-2</v>
      </c>
    </row>
    <row r="69" spans="1:6" ht="20.25" customHeight="1" x14ac:dyDescent="0.3">
      <c r="A69" s="235">
        <v>4</v>
      </c>
      <c r="B69" s="236" t="s">
        <v>437</v>
      </c>
      <c r="C69" s="237">
        <v>6686</v>
      </c>
      <c r="D69" s="237">
        <v>8521</v>
      </c>
      <c r="E69" s="237">
        <f t="shared" si="8"/>
        <v>1835</v>
      </c>
      <c r="F69" s="238">
        <f t="shared" si="9"/>
        <v>0.27445408315883935</v>
      </c>
    </row>
    <row r="70" spans="1:6" ht="20.25" customHeight="1" x14ac:dyDescent="0.3">
      <c r="A70" s="235">
        <v>5</v>
      </c>
      <c r="B70" s="236" t="s">
        <v>373</v>
      </c>
      <c r="C70" s="239">
        <v>9</v>
      </c>
      <c r="D70" s="239">
        <v>1</v>
      </c>
      <c r="E70" s="239">
        <f t="shared" si="8"/>
        <v>-8</v>
      </c>
      <c r="F70" s="238">
        <f t="shared" si="9"/>
        <v>-0.88888888888888884</v>
      </c>
    </row>
    <row r="71" spans="1:6" ht="20.25" customHeight="1" x14ac:dyDescent="0.3">
      <c r="A71" s="235">
        <v>6</v>
      </c>
      <c r="B71" s="236" t="s">
        <v>372</v>
      </c>
      <c r="C71" s="239">
        <v>29</v>
      </c>
      <c r="D71" s="239">
        <v>8</v>
      </c>
      <c r="E71" s="239">
        <f t="shared" si="8"/>
        <v>-21</v>
      </c>
      <c r="F71" s="238">
        <f t="shared" si="9"/>
        <v>-0.72413793103448276</v>
      </c>
    </row>
    <row r="72" spans="1:6" ht="20.25" customHeight="1" x14ac:dyDescent="0.3">
      <c r="A72" s="235">
        <v>7</v>
      </c>
      <c r="B72" s="236" t="s">
        <v>438</v>
      </c>
      <c r="C72" s="239">
        <v>43</v>
      </c>
      <c r="D72" s="239">
        <v>35</v>
      </c>
      <c r="E72" s="239">
        <f t="shared" si="8"/>
        <v>-8</v>
      </c>
      <c r="F72" s="238">
        <f t="shared" si="9"/>
        <v>-0.18604651162790697</v>
      </c>
    </row>
    <row r="73" spans="1:6" ht="20.25" customHeight="1" x14ac:dyDescent="0.3">
      <c r="A73" s="235">
        <v>8</v>
      </c>
      <c r="B73" s="236" t="s">
        <v>439</v>
      </c>
      <c r="C73" s="239">
        <v>13</v>
      </c>
      <c r="D73" s="239">
        <v>11</v>
      </c>
      <c r="E73" s="239">
        <f t="shared" si="8"/>
        <v>-2</v>
      </c>
      <c r="F73" s="238">
        <f t="shared" si="9"/>
        <v>-0.15384615384615385</v>
      </c>
    </row>
    <row r="74" spans="1:6" ht="20.25" customHeight="1" x14ac:dyDescent="0.3">
      <c r="A74" s="235">
        <v>9</v>
      </c>
      <c r="B74" s="236" t="s">
        <v>440</v>
      </c>
      <c r="C74" s="239">
        <v>8</v>
      </c>
      <c r="D74" s="239">
        <v>1</v>
      </c>
      <c r="E74" s="239">
        <f t="shared" si="8"/>
        <v>-7</v>
      </c>
      <c r="F74" s="238">
        <f t="shared" si="9"/>
        <v>-0.875</v>
      </c>
    </row>
    <row r="75" spans="1:6" s="240" customFormat="1" ht="20.25" customHeight="1" x14ac:dyDescent="0.3">
      <c r="A75" s="241"/>
      <c r="B75" s="242" t="s">
        <v>441</v>
      </c>
      <c r="C75" s="243">
        <f>+C66+C68</f>
        <v>112893</v>
      </c>
      <c r="D75" s="243">
        <f>+D66+D68</f>
        <v>39850</v>
      </c>
      <c r="E75" s="243">
        <f t="shared" si="8"/>
        <v>-73043</v>
      </c>
      <c r="F75" s="244">
        <f t="shared" si="9"/>
        <v>-0.6470108864145695</v>
      </c>
    </row>
    <row r="76" spans="1:6" s="240" customFormat="1" ht="20.25" customHeight="1" x14ac:dyDescent="0.3">
      <c r="A76" s="241"/>
      <c r="B76" s="242" t="s">
        <v>442</v>
      </c>
      <c r="C76" s="243">
        <f>+C67+C69</f>
        <v>66457</v>
      </c>
      <c r="D76" s="243">
        <f>+D67+D69</f>
        <v>18227</v>
      </c>
      <c r="E76" s="243">
        <f t="shared" si="8"/>
        <v>-48230</v>
      </c>
      <c r="F76" s="244">
        <f t="shared" si="9"/>
        <v>-0.72573242848759345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447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434</v>
      </c>
      <c r="C79" s="237">
        <v>0</v>
      </c>
      <c r="D79" s="237">
        <v>6514</v>
      </c>
      <c r="E79" s="237">
        <f t="shared" ref="E79:E89" si="10">D79-C79</f>
        <v>6514</v>
      </c>
      <c r="F79" s="238">
        <f t="shared" ref="F79:F89" si="11">IF(C79=0,0,E79/C79)</f>
        <v>0</v>
      </c>
    </row>
    <row r="80" spans="1:6" ht="20.25" customHeight="1" x14ac:dyDescent="0.3">
      <c r="A80" s="235">
        <v>2</v>
      </c>
      <c r="B80" s="236" t="s">
        <v>435</v>
      </c>
      <c r="C80" s="237">
        <v>0</v>
      </c>
      <c r="D80" s="237">
        <v>3891</v>
      </c>
      <c r="E80" s="237">
        <f t="shared" si="10"/>
        <v>3891</v>
      </c>
      <c r="F80" s="238">
        <f t="shared" si="11"/>
        <v>0</v>
      </c>
    </row>
    <row r="81" spans="1:6" ht="20.25" customHeight="1" x14ac:dyDescent="0.3">
      <c r="A81" s="235">
        <v>3</v>
      </c>
      <c r="B81" s="236" t="s">
        <v>436</v>
      </c>
      <c r="C81" s="237">
        <v>1587</v>
      </c>
      <c r="D81" s="237">
        <v>9613</v>
      </c>
      <c r="E81" s="237">
        <f t="shared" si="10"/>
        <v>8026</v>
      </c>
      <c r="F81" s="238">
        <f t="shared" si="11"/>
        <v>5.0573408947700065</v>
      </c>
    </row>
    <row r="82" spans="1:6" ht="20.25" customHeight="1" x14ac:dyDescent="0.3">
      <c r="A82" s="235">
        <v>4</v>
      </c>
      <c r="B82" s="236" t="s">
        <v>437</v>
      </c>
      <c r="C82" s="237">
        <v>442</v>
      </c>
      <c r="D82" s="237">
        <v>1842</v>
      </c>
      <c r="E82" s="237">
        <f t="shared" si="10"/>
        <v>1400</v>
      </c>
      <c r="F82" s="238">
        <f t="shared" si="11"/>
        <v>3.1674208144796379</v>
      </c>
    </row>
    <row r="83" spans="1:6" ht="20.25" customHeight="1" x14ac:dyDescent="0.3">
      <c r="A83" s="235">
        <v>5</v>
      </c>
      <c r="B83" s="236" t="s">
        <v>373</v>
      </c>
      <c r="C83" s="239">
        <v>0</v>
      </c>
      <c r="D83" s="239">
        <v>1</v>
      </c>
      <c r="E83" s="239">
        <f t="shared" si="10"/>
        <v>1</v>
      </c>
      <c r="F83" s="238">
        <f t="shared" si="11"/>
        <v>0</v>
      </c>
    </row>
    <row r="84" spans="1:6" ht="20.25" customHeight="1" x14ac:dyDescent="0.3">
      <c r="A84" s="235">
        <v>6</v>
      </c>
      <c r="B84" s="236" t="s">
        <v>372</v>
      </c>
      <c r="C84" s="239">
        <v>0</v>
      </c>
      <c r="D84" s="239">
        <v>1</v>
      </c>
      <c r="E84" s="239">
        <f t="shared" si="10"/>
        <v>1</v>
      </c>
      <c r="F84" s="238">
        <f t="shared" si="11"/>
        <v>0</v>
      </c>
    </row>
    <row r="85" spans="1:6" ht="20.25" customHeight="1" x14ac:dyDescent="0.3">
      <c r="A85" s="235">
        <v>7</v>
      </c>
      <c r="B85" s="236" t="s">
        <v>438</v>
      </c>
      <c r="C85" s="239">
        <v>3</v>
      </c>
      <c r="D85" s="239">
        <v>12</v>
      </c>
      <c r="E85" s="239">
        <f t="shared" si="10"/>
        <v>9</v>
      </c>
      <c r="F85" s="238">
        <f t="shared" si="11"/>
        <v>3</v>
      </c>
    </row>
    <row r="86" spans="1:6" ht="20.25" customHeight="1" x14ac:dyDescent="0.3">
      <c r="A86" s="235">
        <v>8</v>
      </c>
      <c r="B86" s="236" t="s">
        <v>439</v>
      </c>
      <c r="C86" s="239">
        <v>1</v>
      </c>
      <c r="D86" s="239">
        <v>2</v>
      </c>
      <c r="E86" s="239">
        <f t="shared" si="10"/>
        <v>1</v>
      </c>
      <c r="F86" s="238">
        <f t="shared" si="11"/>
        <v>1</v>
      </c>
    </row>
    <row r="87" spans="1:6" ht="20.25" customHeight="1" x14ac:dyDescent="0.3">
      <c r="A87" s="235">
        <v>9</v>
      </c>
      <c r="B87" s="236" t="s">
        <v>440</v>
      </c>
      <c r="C87" s="239">
        <v>0</v>
      </c>
      <c r="D87" s="239">
        <v>1</v>
      </c>
      <c r="E87" s="239">
        <f t="shared" si="10"/>
        <v>1</v>
      </c>
      <c r="F87" s="238">
        <f t="shared" si="11"/>
        <v>0</v>
      </c>
    </row>
    <row r="88" spans="1:6" s="240" customFormat="1" ht="20.25" customHeight="1" x14ac:dyDescent="0.3">
      <c r="A88" s="241"/>
      <c r="B88" s="242" t="s">
        <v>441</v>
      </c>
      <c r="C88" s="243">
        <f>+C79+C81</f>
        <v>1587</v>
      </c>
      <c r="D88" s="243">
        <f>+D79+D81</f>
        <v>16127</v>
      </c>
      <c r="E88" s="243">
        <f t="shared" si="10"/>
        <v>14540</v>
      </c>
      <c r="F88" s="244">
        <f t="shared" si="11"/>
        <v>9.1619407687460619</v>
      </c>
    </row>
    <row r="89" spans="1:6" s="240" customFormat="1" ht="20.25" customHeight="1" x14ac:dyDescent="0.3">
      <c r="A89" s="241"/>
      <c r="B89" s="242" t="s">
        <v>442</v>
      </c>
      <c r="C89" s="243">
        <f>+C80+C82</f>
        <v>442</v>
      </c>
      <c r="D89" s="243">
        <f>+D80+D82</f>
        <v>5733</v>
      </c>
      <c r="E89" s="243">
        <f t="shared" si="10"/>
        <v>5291</v>
      </c>
      <c r="F89" s="244">
        <f t="shared" si="11"/>
        <v>11.970588235294118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448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434</v>
      </c>
      <c r="C92" s="237">
        <v>177500</v>
      </c>
      <c r="D92" s="237">
        <v>1034520</v>
      </c>
      <c r="E92" s="237">
        <f t="shared" ref="E92:E102" si="12">D92-C92</f>
        <v>857020</v>
      </c>
      <c r="F92" s="238">
        <f t="shared" ref="F92:F102" si="13">IF(C92=0,0,E92/C92)</f>
        <v>4.8282816901408454</v>
      </c>
    </row>
    <row r="93" spans="1:6" ht="20.25" customHeight="1" x14ac:dyDescent="0.3">
      <c r="A93" s="235">
        <v>2</v>
      </c>
      <c r="B93" s="236" t="s">
        <v>435</v>
      </c>
      <c r="C93" s="237">
        <v>86825</v>
      </c>
      <c r="D93" s="237">
        <v>575860</v>
      </c>
      <c r="E93" s="237">
        <f t="shared" si="12"/>
        <v>489035</v>
      </c>
      <c r="F93" s="238">
        <f t="shared" si="13"/>
        <v>5.6324215375755831</v>
      </c>
    </row>
    <row r="94" spans="1:6" ht="20.25" customHeight="1" x14ac:dyDescent="0.3">
      <c r="A94" s="235">
        <v>3</v>
      </c>
      <c r="B94" s="236" t="s">
        <v>436</v>
      </c>
      <c r="C94" s="237">
        <v>238709</v>
      </c>
      <c r="D94" s="237">
        <v>1306292</v>
      </c>
      <c r="E94" s="237">
        <f t="shared" si="12"/>
        <v>1067583</v>
      </c>
      <c r="F94" s="238">
        <f t="shared" si="13"/>
        <v>4.4723198538806663</v>
      </c>
    </row>
    <row r="95" spans="1:6" ht="20.25" customHeight="1" x14ac:dyDescent="0.3">
      <c r="A95" s="235">
        <v>4</v>
      </c>
      <c r="B95" s="236" t="s">
        <v>437</v>
      </c>
      <c r="C95" s="237">
        <v>85059</v>
      </c>
      <c r="D95" s="237">
        <v>440544</v>
      </c>
      <c r="E95" s="237">
        <f t="shared" si="12"/>
        <v>355485</v>
      </c>
      <c r="F95" s="238">
        <f t="shared" si="13"/>
        <v>4.179275561668959</v>
      </c>
    </row>
    <row r="96" spans="1:6" ht="20.25" customHeight="1" x14ac:dyDescent="0.3">
      <c r="A96" s="235">
        <v>5</v>
      </c>
      <c r="B96" s="236" t="s">
        <v>373</v>
      </c>
      <c r="C96" s="239">
        <v>14</v>
      </c>
      <c r="D96" s="239">
        <v>81</v>
      </c>
      <c r="E96" s="239">
        <f t="shared" si="12"/>
        <v>67</v>
      </c>
      <c r="F96" s="238">
        <f t="shared" si="13"/>
        <v>4.7857142857142856</v>
      </c>
    </row>
    <row r="97" spans="1:6" ht="20.25" customHeight="1" x14ac:dyDescent="0.3">
      <c r="A97" s="235">
        <v>6</v>
      </c>
      <c r="B97" s="236" t="s">
        <v>372</v>
      </c>
      <c r="C97" s="239">
        <v>53</v>
      </c>
      <c r="D97" s="239">
        <v>318</v>
      </c>
      <c r="E97" s="239">
        <f t="shared" si="12"/>
        <v>265</v>
      </c>
      <c r="F97" s="238">
        <f t="shared" si="13"/>
        <v>5</v>
      </c>
    </row>
    <row r="98" spans="1:6" ht="20.25" customHeight="1" x14ac:dyDescent="0.3">
      <c r="A98" s="235">
        <v>7</v>
      </c>
      <c r="B98" s="236" t="s">
        <v>438</v>
      </c>
      <c r="C98" s="239">
        <v>458</v>
      </c>
      <c r="D98" s="239">
        <v>1860</v>
      </c>
      <c r="E98" s="239">
        <f t="shared" si="12"/>
        <v>1402</v>
      </c>
      <c r="F98" s="238">
        <f t="shared" si="13"/>
        <v>3.0611353711790392</v>
      </c>
    </row>
    <row r="99" spans="1:6" ht="20.25" customHeight="1" x14ac:dyDescent="0.3">
      <c r="A99" s="235">
        <v>8</v>
      </c>
      <c r="B99" s="236" t="s">
        <v>439</v>
      </c>
      <c r="C99" s="239">
        <v>45</v>
      </c>
      <c r="D99" s="239">
        <v>180</v>
      </c>
      <c r="E99" s="239">
        <f t="shared" si="12"/>
        <v>135</v>
      </c>
      <c r="F99" s="238">
        <f t="shared" si="13"/>
        <v>3</v>
      </c>
    </row>
    <row r="100" spans="1:6" ht="20.25" customHeight="1" x14ac:dyDescent="0.3">
      <c r="A100" s="235">
        <v>9</v>
      </c>
      <c r="B100" s="236" t="s">
        <v>440</v>
      </c>
      <c r="C100" s="239">
        <v>12</v>
      </c>
      <c r="D100" s="239">
        <v>73</v>
      </c>
      <c r="E100" s="239">
        <f t="shared" si="12"/>
        <v>61</v>
      </c>
      <c r="F100" s="238">
        <f t="shared" si="13"/>
        <v>5.083333333333333</v>
      </c>
    </row>
    <row r="101" spans="1:6" s="240" customFormat="1" ht="20.25" customHeight="1" x14ac:dyDescent="0.3">
      <c r="A101" s="241"/>
      <c r="B101" s="242" t="s">
        <v>441</v>
      </c>
      <c r="C101" s="243">
        <f>+C92+C94</f>
        <v>416209</v>
      </c>
      <c r="D101" s="243">
        <f>+D92+D94</f>
        <v>2340812</v>
      </c>
      <c r="E101" s="243">
        <f t="shared" si="12"/>
        <v>1924603</v>
      </c>
      <c r="F101" s="244">
        <f t="shared" si="13"/>
        <v>4.624126340372265</v>
      </c>
    </row>
    <row r="102" spans="1:6" s="240" customFormat="1" ht="20.25" customHeight="1" x14ac:dyDescent="0.3">
      <c r="A102" s="241"/>
      <c r="B102" s="242" t="s">
        <v>442</v>
      </c>
      <c r="C102" s="243">
        <f>+C93+C95</f>
        <v>171884</v>
      </c>
      <c r="D102" s="243">
        <f>+D93+D95</f>
        <v>1016404</v>
      </c>
      <c r="E102" s="243">
        <f t="shared" si="12"/>
        <v>844520</v>
      </c>
      <c r="F102" s="244">
        <f t="shared" si="13"/>
        <v>4.9133136301226408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449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434</v>
      </c>
      <c r="C105" s="237">
        <v>14709</v>
      </c>
      <c r="D105" s="237">
        <v>11270</v>
      </c>
      <c r="E105" s="237">
        <f t="shared" ref="E105:E115" si="14">D105-C105</f>
        <v>-3439</v>
      </c>
      <c r="F105" s="238">
        <f t="shared" ref="F105:F115" si="15">IF(C105=0,0,E105/C105)</f>
        <v>-0.23380243388401659</v>
      </c>
    </row>
    <row r="106" spans="1:6" ht="20.25" customHeight="1" x14ac:dyDescent="0.3">
      <c r="A106" s="235">
        <v>2</v>
      </c>
      <c r="B106" s="236" t="s">
        <v>435</v>
      </c>
      <c r="C106" s="237">
        <v>8526</v>
      </c>
      <c r="D106" s="237">
        <v>7270</v>
      </c>
      <c r="E106" s="237">
        <f t="shared" si="14"/>
        <v>-1256</v>
      </c>
      <c r="F106" s="238">
        <f t="shared" si="15"/>
        <v>-0.14731409805301432</v>
      </c>
    </row>
    <row r="107" spans="1:6" ht="20.25" customHeight="1" x14ac:dyDescent="0.3">
      <c r="A107" s="235">
        <v>3</v>
      </c>
      <c r="B107" s="236" t="s">
        <v>436</v>
      </c>
      <c r="C107" s="237">
        <v>983</v>
      </c>
      <c r="D107" s="237">
        <v>13529</v>
      </c>
      <c r="E107" s="237">
        <f t="shared" si="14"/>
        <v>12546</v>
      </c>
      <c r="F107" s="238">
        <f t="shared" si="15"/>
        <v>12.76297049847406</v>
      </c>
    </row>
    <row r="108" spans="1:6" ht="20.25" customHeight="1" x14ac:dyDescent="0.3">
      <c r="A108" s="235">
        <v>4</v>
      </c>
      <c r="B108" s="236" t="s">
        <v>437</v>
      </c>
      <c r="C108" s="237">
        <v>273</v>
      </c>
      <c r="D108" s="237">
        <v>2944</v>
      </c>
      <c r="E108" s="237">
        <f t="shared" si="14"/>
        <v>2671</v>
      </c>
      <c r="F108" s="238">
        <f t="shared" si="15"/>
        <v>9.7838827838827847</v>
      </c>
    </row>
    <row r="109" spans="1:6" ht="20.25" customHeight="1" x14ac:dyDescent="0.3">
      <c r="A109" s="235">
        <v>5</v>
      </c>
      <c r="B109" s="236" t="s">
        <v>373</v>
      </c>
      <c r="C109" s="239">
        <v>1</v>
      </c>
      <c r="D109" s="239">
        <v>2</v>
      </c>
      <c r="E109" s="239">
        <f t="shared" si="14"/>
        <v>1</v>
      </c>
      <c r="F109" s="238">
        <f t="shared" si="15"/>
        <v>1</v>
      </c>
    </row>
    <row r="110" spans="1:6" ht="20.25" customHeight="1" x14ac:dyDescent="0.3">
      <c r="A110" s="235">
        <v>6</v>
      </c>
      <c r="B110" s="236" t="s">
        <v>372</v>
      </c>
      <c r="C110" s="239">
        <v>4</v>
      </c>
      <c r="D110" s="239">
        <v>4</v>
      </c>
      <c r="E110" s="239">
        <f t="shared" si="14"/>
        <v>0</v>
      </c>
      <c r="F110" s="238">
        <f t="shared" si="15"/>
        <v>0</v>
      </c>
    </row>
    <row r="111" spans="1:6" ht="20.25" customHeight="1" x14ac:dyDescent="0.3">
      <c r="A111" s="235">
        <v>7</v>
      </c>
      <c r="B111" s="236" t="s">
        <v>438</v>
      </c>
      <c r="C111" s="239">
        <v>4</v>
      </c>
      <c r="D111" s="239">
        <v>18</v>
      </c>
      <c r="E111" s="239">
        <f t="shared" si="14"/>
        <v>14</v>
      </c>
      <c r="F111" s="238">
        <f t="shared" si="15"/>
        <v>3.5</v>
      </c>
    </row>
    <row r="112" spans="1:6" ht="20.25" customHeight="1" x14ac:dyDescent="0.3">
      <c r="A112" s="235">
        <v>8</v>
      </c>
      <c r="B112" s="236" t="s">
        <v>439</v>
      </c>
      <c r="C112" s="239">
        <v>0</v>
      </c>
      <c r="D112" s="239">
        <v>5</v>
      </c>
      <c r="E112" s="239">
        <f t="shared" si="14"/>
        <v>5</v>
      </c>
      <c r="F112" s="238">
        <f t="shared" si="15"/>
        <v>0</v>
      </c>
    </row>
    <row r="113" spans="1:6" ht="20.25" customHeight="1" x14ac:dyDescent="0.3">
      <c r="A113" s="235">
        <v>9</v>
      </c>
      <c r="B113" s="236" t="s">
        <v>440</v>
      </c>
      <c r="C113" s="239">
        <v>1</v>
      </c>
      <c r="D113" s="239">
        <v>2</v>
      </c>
      <c r="E113" s="239">
        <f t="shared" si="14"/>
        <v>1</v>
      </c>
      <c r="F113" s="238">
        <f t="shared" si="15"/>
        <v>1</v>
      </c>
    </row>
    <row r="114" spans="1:6" s="240" customFormat="1" ht="20.25" customHeight="1" x14ac:dyDescent="0.3">
      <c r="A114" s="241"/>
      <c r="B114" s="242" t="s">
        <v>441</v>
      </c>
      <c r="C114" s="243">
        <f>+C105+C107</f>
        <v>15692</v>
      </c>
      <c r="D114" s="243">
        <f>+D105+D107</f>
        <v>24799</v>
      </c>
      <c r="E114" s="243">
        <f t="shared" si="14"/>
        <v>9107</v>
      </c>
      <c r="F114" s="244">
        <f t="shared" si="15"/>
        <v>0.5803594188121336</v>
      </c>
    </row>
    <row r="115" spans="1:6" s="240" customFormat="1" ht="20.25" customHeight="1" x14ac:dyDescent="0.3">
      <c r="A115" s="241"/>
      <c r="B115" s="242" t="s">
        <v>442</v>
      </c>
      <c r="C115" s="243">
        <f>+C106+C108</f>
        <v>8799</v>
      </c>
      <c r="D115" s="243">
        <f>+D106+D108</f>
        <v>10214</v>
      </c>
      <c r="E115" s="243">
        <f t="shared" si="14"/>
        <v>1415</v>
      </c>
      <c r="F115" s="244">
        <f t="shared" si="15"/>
        <v>0.16081372883282191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450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434</v>
      </c>
      <c r="C118" s="237">
        <v>681710</v>
      </c>
      <c r="D118" s="237">
        <v>808197</v>
      </c>
      <c r="E118" s="237">
        <f t="shared" ref="E118:E128" si="16">D118-C118</f>
        <v>126487</v>
      </c>
      <c r="F118" s="238">
        <f t="shared" ref="F118:F128" si="17">IF(C118=0,0,E118/C118)</f>
        <v>0.18554370626806119</v>
      </c>
    </row>
    <row r="119" spans="1:6" ht="20.25" customHeight="1" x14ac:dyDescent="0.3">
      <c r="A119" s="235">
        <v>2</v>
      </c>
      <c r="B119" s="236" t="s">
        <v>435</v>
      </c>
      <c r="C119" s="237">
        <v>436307</v>
      </c>
      <c r="D119" s="237">
        <v>579236</v>
      </c>
      <c r="E119" s="237">
        <f t="shared" si="16"/>
        <v>142929</v>
      </c>
      <c r="F119" s="238">
        <f t="shared" si="17"/>
        <v>0.32758814321108759</v>
      </c>
    </row>
    <row r="120" spans="1:6" ht="20.25" customHeight="1" x14ac:dyDescent="0.3">
      <c r="A120" s="235">
        <v>3</v>
      </c>
      <c r="B120" s="236" t="s">
        <v>436</v>
      </c>
      <c r="C120" s="237">
        <v>837607</v>
      </c>
      <c r="D120" s="237">
        <v>1038394</v>
      </c>
      <c r="E120" s="237">
        <f t="shared" si="16"/>
        <v>200787</v>
      </c>
      <c r="F120" s="238">
        <f t="shared" si="17"/>
        <v>0.23971504536136876</v>
      </c>
    </row>
    <row r="121" spans="1:6" ht="20.25" customHeight="1" x14ac:dyDescent="0.3">
      <c r="A121" s="235">
        <v>4</v>
      </c>
      <c r="B121" s="236" t="s">
        <v>437</v>
      </c>
      <c r="C121" s="237">
        <v>403991</v>
      </c>
      <c r="D121" s="237">
        <v>421132</v>
      </c>
      <c r="E121" s="237">
        <f t="shared" si="16"/>
        <v>17141</v>
      </c>
      <c r="F121" s="238">
        <f t="shared" si="17"/>
        <v>4.2429163025908996E-2</v>
      </c>
    </row>
    <row r="122" spans="1:6" ht="20.25" customHeight="1" x14ac:dyDescent="0.3">
      <c r="A122" s="235">
        <v>5</v>
      </c>
      <c r="B122" s="236" t="s">
        <v>373</v>
      </c>
      <c r="C122" s="239">
        <v>52</v>
      </c>
      <c r="D122" s="239">
        <v>64</v>
      </c>
      <c r="E122" s="239">
        <f t="shared" si="16"/>
        <v>12</v>
      </c>
      <c r="F122" s="238">
        <f t="shared" si="17"/>
        <v>0.23076923076923078</v>
      </c>
    </row>
    <row r="123" spans="1:6" ht="20.25" customHeight="1" x14ac:dyDescent="0.3">
      <c r="A123" s="235">
        <v>6</v>
      </c>
      <c r="B123" s="236" t="s">
        <v>372</v>
      </c>
      <c r="C123" s="239">
        <v>218</v>
      </c>
      <c r="D123" s="239">
        <v>233</v>
      </c>
      <c r="E123" s="239">
        <f t="shared" si="16"/>
        <v>15</v>
      </c>
      <c r="F123" s="238">
        <f t="shared" si="17"/>
        <v>6.8807339449541288E-2</v>
      </c>
    </row>
    <row r="124" spans="1:6" ht="20.25" customHeight="1" x14ac:dyDescent="0.3">
      <c r="A124" s="235">
        <v>7</v>
      </c>
      <c r="B124" s="236" t="s">
        <v>438</v>
      </c>
      <c r="C124" s="239">
        <v>1381</v>
      </c>
      <c r="D124" s="239">
        <v>1443</v>
      </c>
      <c r="E124" s="239">
        <f t="shared" si="16"/>
        <v>62</v>
      </c>
      <c r="F124" s="238">
        <f t="shared" si="17"/>
        <v>4.4895003620564811E-2</v>
      </c>
    </row>
    <row r="125" spans="1:6" ht="20.25" customHeight="1" x14ac:dyDescent="0.3">
      <c r="A125" s="235">
        <v>8</v>
      </c>
      <c r="B125" s="236" t="s">
        <v>439</v>
      </c>
      <c r="C125" s="239">
        <v>137</v>
      </c>
      <c r="D125" s="239">
        <v>123</v>
      </c>
      <c r="E125" s="239">
        <f t="shared" si="16"/>
        <v>-14</v>
      </c>
      <c r="F125" s="238">
        <f t="shared" si="17"/>
        <v>-0.10218978102189781</v>
      </c>
    </row>
    <row r="126" spans="1:6" ht="20.25" customHeight="1" x14ac:dyDescent="0.3">
      <c r="A126" s="235">
        <v>9</v>
      </c>
      <c r="B126" s="236" t="s">
        <v>440</v>
      </c>
      <c r="C126" s="239">
        <v>43</v>
      </c>
      <c r="D126" s="239">
        <v>57</v>
      </c>
      <c r="E126" s="239">
        <f t="shared" si="16"/>
        <v>14</v>
      </c>
      <c r="F126" s="238">
        <f t="shared" si="17"/>
        <v>0.32558139534883723</v>
      </c>
    </row>
    <row r="127" spans="1:6" s="240" customFormat="1" ht="20.25" customHeight="1" x14ac:dyDescent="0.3">
      <c r="A127" s="241"/>
      <c r="B127" s="242" t="s">
        <v>441</v>
      </c>
      <c r="C127" s="243">
        <f>+C118+C120</f>
        <v>1519317</v>
      </c>
      <c r="D127" s="243">
        <f>+D118+D120</f>
        <v>1846591</v>
      </c>
      <c r="E127" s="243">
        <f t="shared" si="16"/>
        <v>327274</v>
      </c>
      <c r="F127" s="244">
        <f t="shared" si="17"/>
        <v>0.21540863427447993</v>
      </c>
    </row>
    <row r="128" spans="1:6" s="240" customFormat="1" ht="20.25" customHeight="1" x14ac:dyDescent="0.3">
      <c r="A128" s="241"/>
      <c r="B128" s="242" t="s">
        <v>442</v>
      </c>
      <c r="C128" s="243">
        <f>+C119+C121</f>
        <v>840298</v>
      </c>
      <c r="D128" s="243">
        <f>+D119+D121</f>
        <v>1000368</v>
      </c>
      <c r="E128" s="243">
        <f t="shared" si="16"/>
        <v>160070</v>
      </c>
      <c r="F128" s="244">
        <f t="shared" si="17"/>
        <v>0.19049194452444251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451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434</v>
      </c>
      <c r="C131" s="237">
        <v>11448</v>
      </c>
      <c r="D131" s="237">
        <v>21031</v>
      </c>
      <c r="E131" s="237">
        <f t="shared" ref="E131:E141" si="18">D131-C131</f>
        <v>9583</v>
      </c>
      <c r="F131" s="238">
        <f t="shared" ref="F131:F141" si="19">IF(C131=0,0,E131/C131)</f>
        <v>0.83708944793850459</v>
      </c>
    </row>
    <row r="132" spans="1:6" ht="20.25" customHeight="1" x14ac:dyDescent="0.3">
      <c r="A132" s="235">
        <v>2</v>
      </c>
      <c r="B132" s="236" t="s">
        <v>435</v>
      </c>
      <c r="C132" s="237">
        <v>8459</v>
      </c>
      <c r="D132" s="237">
        <v>11660</v>
      </c>
      <c r="E132" s="237">
        <f t="shared" si="18"/>
        <v>3201</v>
      </c>
      <c r="F132" s="238">
        <f t="shared" si="19"/>
        <v>0.37841352405721718</v>
      </c>
    </row>
    <row r="133" spans="1:6" ht="20.25" customHeight="1" x14ac:dyDescent="0.3">
      <c r="A133" s="235">
        <v>3</v>
      </c>
      <c r="B133" s="236" t="s">
        <v>436</v>
      </c>
      <c r="C133" s="237">
        <v>7159</v>
      </c>
      <c r="D133" s="237">
        <v>2644</v>
      </c>
      <c r="E133" s="237">
        <f t="shared" si="18"/>
        <v>-4515</v>
      </c>
      <c r="F133" s="238">
        <f t="shared" si="19"/>
        <v>-0.63067467523397125</v>
      </c>
    </row>
    <row r="134" spans="1:6" ht="20.25" customHeight="1" x14ac:dyDescent="0.3">
      <c r="A134" s="235">
        <v>4</v>
      </c>
      <c r="B134" s="236" t="s">
        <v>437</v>
      </c>
      <c r="C134" s="237">
        <v>2184</v>
      </c>
      <c r="D134" s="237">
        <v>1286</v>
      </c>
      <c r="E134" s="237">
        <f t="shared" si="18"/>
        <v>-898</v>
      </c>
      <c r="F134" s="238">
        <f t="shared" si="19"/>
        <v>-0.41117216117216115</v>
      </c>
    </row>
    <row r="135" spans="1:6" ht="20.25" customHeight="1" x14ac:dyDescent="0.3">
      <c r="A135" s="235">
        <v>5</v>
      </c>
      <c r="B135" s="236" t="s">
        <v>373</v>
      </c>
      <c r="C135" s="239">
        <v>1</v>
      </c>
      <c r="D135" s="239">
        <v>2</v>
      </c>
      <c r="E135" s="239">
        <f t="shared" si="18"/>
        <v>1</v>
      </c>
      <c r="F135" s="238">
        <f t="shared" si="19"/>
        <v>1</v>
      </c>
    </row>
    <row r="136" spans="1:6" ht="20.25" customHeight="1" x14ac:dyDescent="0.3">
      <c r="A136" s="235">
        <v>6</v>
      </c>
      <c r="B136" s="236" t="s">
        <v>372</v>
      </c>
      <c r="C136" s="239">
        <v>3</v>
      </c>
      <c r="D136" s="239">
        <v>4</v>
      </c>
      <c r="E136" s="239">
        <f t="shared" si="18"/>
        <v>1</v>
      </c>
      <c r="F136" s="238">
        <f t="shared" si="19"/>
        <v>0.33333333333333331</v>
      </c>
    </row>
    <row r="137" spans="1:6" ht="20.25" customHeight="1" x14ac:dyDescent="0.3">
      <c r="A137" s="235">
        <v>7</v>
      </c>
      <c r="B137" s="236" t="s">
        <v>438</v>
      </c>
      <c r="C137" s="239">
        <v>4</v>
      </c>
      <c r="D137" s="239">
        <v>3</v>
      </c>
      <c r="E137" s="239">
        <f t="shared" si="18"/>
        <v>-1</v>
      </c>
      <c r="F137" s="238">
        <f t="shared" si="19"/>
        <v>-0.25</v>
      </c>
    </row>
    <row r="138" spans="1:6" ht="20.25" customHeight="1" x14ac:dyDescent="0.3">
      <c r="A138" s="235">
        <v>8</v>
      </c>
      <c r="B138" s="236" t="s">
        <v>439</v>
      </c>
      <c r="C138" s="239">
        <v>5</v>
      </c>
      <c r="D138" s="239">
        <v>3</v>
      </c>
      <c r="E138" s="239">
        <f t="shared" si="18"/>
        <v>-2</v>
      </c>
      <c r="F138" s="238">
        <f t="shared" si="19"/>
        <v>-0.4</v>
      </c>
    </row>
    <row r="139" spans="1:6" ht="20.25" customHeight="1" x14ac:dyDescent="0.3">
      <c r="A139" s="235">
        <v>9</v>
      </c>
      <c r="B139" s="236" t="s">
        <v>440</v>
      </c>
      <c r="C139" s="239">
        <v>1</v>
      </c>
      <c r="D139" s="239">
        <v>2</v>
      </c>
      <c r="E139" s="239">
        <f t="shared" si="18"/>
        <v>1</v>
      </c>
      <c r="F139" s="238">
        <f t="shared" si="19"/>
        <v>1</v>
      </c>
    </row>
    <row r="140" spans="1:6" s="240" customFormat="1" ht="20.25" customHeight="1" x14ac:dyDescent="0.3">
      <c r="A140" s="241"/>
      <c r="B140" s="242" t="s">
        <v>441</v>
      </c>
      <c r="C140" s="243">
        <f>+C131+C133</f>
        <v>18607</v>
      </c>
      <c r="D140" s="243">
        <f>+D131+D133</f>
        <v>23675</v>
      </c>
      <c r="E140" s="243">
        <f t="shared" si="18"/>
        <v>5068</v>
      </c>
      <c r="F140" s="244">
        <f t="shared" si="19"/>
        <v>0.27237061321008221</v>
      </c>
    </row>
    <row r="141" spans="1:6" s="240" customFormat="1" ht="20.25" customHeight="1" x14ac:dyDescent="0.3">
      <c r="A141" s="241"/>
      <c r="B141" s="242" t="s">
        <v>442</v>
      </c>
      <c r="C141" s="243">
        <f>+C132+C134</f>
        <v>10643</v>
      </c>
      <c r="D141" s="243">
        <f>+D132+D134</f>
        <v>12946</v>
      </c>
      <c r="E141" s="243">
        <f t="shared" si="18"/>
        <v>2303</v>
      </c>
      <c r="F141" s="244">
        <f t="shared" si="19"/>
        <v>0.2163863572301043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218</v>
      </c>
      <c r="B143" s="231" t="s">
        <v>452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434</v>
      </c>
      <c r="C144" s="237">
        <v>65826</v>
      </c>
      <c r="D144" s="237">
        <v>60204</v>
      </c>
      <c r="E144" s="237">
        <f t="shared" ref="E144:E154" si="20">D144-C144</f>
        <v>-5622</v>
      </c>
      <c r="F144" s="238">
        <f t="shared" ref="F144:F154" si="21">IF(C144=0,0,E144/C144)</f>
        <v>-8.5406982043569404E-2</v>
      </c>
    </row>
    <row r="145" spans="1:6" ht="20.25" customHeight="1" x14ac:dyDescent="0.3">
      <c r="A145" s="235">
        <v>2</v>
      </c>
      <c r="B145" s="236" t="s">
        <v>435</v>
      </c>
      <c r="C145" s="237">
        <v>37008</v>
      </c>
      <c r="D145" s="237">
        <v>37104</v>
      </c>
      <c r="E145" s="237">
        <f t="shared" si="20"/>
        <v>96</v>
      </c>
      <c r="F145" s="238">
        <f t="shared" si="21"/>
        <v>2.5940337224383916E-3</v>
      </c>
    </row>
    <row r="146" spans="1:6" ht="20.25" customHeight="1" x14ac:dyDescent="0.3">
      <c r="A146" s="235">
        <v>3</v>
      </c>
      <c r="B146" s="236" t="s">
        <v>436</v>
      </c>
      <c r="C146" s="237">
        <v>29945</v>
      </c>
      <c r="D146" s="237">
        <v>27993</v>
      </c>
      <c r="E146" s="237">
        <f t="shared" si="20"/>
        <v>-1952</v>
      </c>
      <c r="F146" s="238">
        <f t="shared" si="21"/>
        <v>-6.5186174653531478E-2</v>
      </c>
    </row>
    <row r="147" spans="1:6" ht="20.25" customHeight="1" x14ac:dyDescent="0.3">
      <c r="A147" s="235">
        <v>4</v>
      </c>
      <c r="B147" s="236" t="s">
        <v>437</v>
      </c>
      <c r="C147" s="237">
        <v>9191</v>
      </c>
      <c r="D147" s="237">
        <v>16301</v>
      </c>
      <c r="E147" s="237">
        <f t="shared" si="20"/>
        <v>7110</v>
      </c>
      <c r="F147" s="238">
        <f t="shared" si="21"/>
        <v>0.77358285279077355</v>
      </c>
    </row>
    <row r="148" spans="1:6" ht="20.25" customHeight="1" x14ac:dyDescent="0.3">
      <c r="A148" s="235">
        <v>5</v>
      </c>
      <c r="B148" s="236" t="s">
        <v>373</v>
      </c>
      <c r="C148" s="239">
        <v>4</v>
      </c>
      <c r="D148" s="239">
        <v>3</v>
      </c>
      <c r="E148" s="239">
        <f t="shared" si="20"/>
        <v>-1</v>
      </c>
      <c r="F148" s="238">
        <f t="shared" si="21"/>
        <v>-0.25</v>
      </c>
    </row>
    <row r="149" spans="1:6" ht="20.25" customHeight="1" x14ac:dyDescent="0.3">
      <c r="A149" s="235">
        <v>6</v>
      </c>
      <c r="B149" s="236" t="s">
        <v>372</v>
      </c>
      <c r="C149" s="239">
        <v>23</v>
      </c>
      <c r="D149" s="239">
        <v>12</v>
      </c>
      <c r="E149" s="239">
        <f t="shared" si="20"/>
        <v>-11</v>
      </c>
      <c r="F149" s="238">
        <f t="shared" si="21"/>
        <v>-0.47826086956521741</v>
      </c>
    </row>
    <row r="150" spans="1:6" ht="20.25" customHeight="1" x14ac:dyDescent="0.3">
      <c r="A150" s="235">
        <v>7</v>
      </c>
      <c r="B150" s="236" t="s">
        <v>438</v>
      </c>
      <c r="C150" s="239">
        <v>61</v>
      </c>
      <c r="D150" s="239">
        <v>33</v>
      </c>
      <c r="E150" s="239">
        <f t="shared" si="20"/>
        <v>-28</v>
      </c>
      <c r="F150" s="238">
        <f t="shared" si="21"/>
        <v>-0.45901639344262296</v>
      </c>
    </row>
    <row r="151" spans="1:6" ht="20.25" customHeight="1" x14ac:dyDescent="0.3">
      <c r="A151" s="235">
        <v>8</v>
      </c>
      <c r="B151" s="236" t="s">
        <v>439</v>
      </c>
      <c r="C151" s="239">
        <v>2</v>
      </c>
      <c r="D151" s="239">
        <v>4</v>
      </c>
      <c r="E151" s="239">
        <f t="shared" si="20"/>
        <v>2</v>
      </c>
      <c r="F151" s="238">
        <f t="shared" si="21"/>
        <v>1</v>
      </c>
    </row>
    <row r="152" spans="1:6" ht="20.25" customHeight="1" x14ac:dyDescent="0.3">
      <c r="A152" s="235">
        <v>9</v>
      </c>
      <c r="B152" s="236" t="s">
        <v>440</v>
      </c>
      <c r="C152" s="239">
        <v>3</v>
      </c>
      <c r="D152" s="239">
        <v>1</v>
      </c>
      <c r="E152" s="239">
        <f t="shared" si="20"/>
        <v>-2</v>
      </c>
      <c r="F152" s="238">
        <f t="shared" si="21"/>
        <v>-0.66666666666666663</v>
      </c>
    </row>
    <row r="153" spans="1:6" s="240" customFormat="1" ht="20.25" customHeight="1" x14ac:dyDescent="0.3">
      <c r="A153" s="241"/>
      <c r="B153" s="242" t="s">
        <v>441</v>
      </c>
      <c r="C153" s="243">
        <f>+C144+C146</f>
        <v>95771</v>
      </c>
      <c r="D153" s="243">
        <f>+D144+D146</f>
        <v>88197</v>
      </c>
      <c r="E153" s="243">
        <f t="shared" si="20"/>
        <v>-7574</v>
      </c>
      <c r="F153" s="244">
        <f t="shared" si="21"/>
        <v>-7.9084482776623402E-2</v>
      </c>
    </row>
    <row r="154" spans="1:6" s="240" customFormat="1" ht="20.25" customHeight="1" x14ac:dyDescent="0.3">
      <c r="A154" s="241"/>
      <c r="B154" s="242" t="s">
        <v>442</v>
      </c>
      <c r="C154" s="243">
        <f>+C145+C147</f>
        <v>46199</v>
      </c>
      <c r="D154" s="243">
        <f>+D145+D147</f>
        <v>53405</v>
      </c>
      <c r="E154" s="243">
        <f t="shared" si="20"/>
        <v>7206</v>
      </c>
      <c r="F154" s="244">
        <f t="shared" si="21"/>
        <v>0.15597740210827074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453</v>
      </c>
      <c r="B156" s="231" t="s">
        <v>454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434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435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436</v>
      </c>
      <c r="C159" s="237">
        <v>2708</v>
      </c>
      <c r="D159" s="237">
        <v>180</v>
      </c>
      <c r="E159" s="237">
        <f t="shared" si="22"/>
        <v>-2528</v>
      </c>
      <c r="F159" s="238">
        <f t="shared" si="23"/>
        <v>-0.93353028064992616</v>
      </c>
    </row>
    <row r="160" spans="1:6" ht="20.25" customHeight="1" x14ac:dyDescent="0.3">
      <c r="A160" s="235">
        <v>4</v>
      </c>
      <c r="B160" s="236" t="s">
        <v>437</v>
      </c>
      <c r="C160" s="237">
        <v>809</v>
      </c>
      <c r="D160" s="237">
        <v>56</v>
      </c>
      <c r="E160" s="237">
        <f t="shared" si="22"/>
        <v>-753</v>
      </c>
      <c r="F160" s="238">
        <f t="shared" si="23"/>
        <v>-0.93077873918417797</v>
      </c>
    </row>
    <row r="161" spans="1:6" ht="20.25" customHeight="1" x14ac:dyDescent="0.3">
      <c r="A161" s="235">
        <v>5</v>
      </c>
      <c r="B161" s="236" t="s">
        <v>373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372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438</v>
      </c>
      <c r="C163" s="239">
        <v>4</v>
      </c>
      <c r="D163" s="239">
        <v>1</v>
      </c>
      <c r="E163" s="239">
        <f t="shared" si="22"/>
        <v>-3</v>
      </c>
      <c r="F163" s="238">
        <f t="shared" si="23"/>
        <v>-0.75</v>
      </c>
    </row>
    <row r="164" spans="1:6" ht="20.25" customHeight="1" x14ac:dyDescent="0.3">
      <c r="A164" s="235">
        <v>8</v>
      </c>
      <c r="B164" s="236" t="s">
        <v>439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440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441</v>
      </c>
      <c r="C166" s="243">
        <f>+C157+C159</f>
        <v>2708</v>
      </c>
      <c r="D166" s="243">
        <f>+D157+D159</f>
        <v>180</v>
      </c>
      <c r="E166" s="243">
        <f t="shared" si="22"/>
        <v>-2528</v>
      </c>
      <c r="F166" s="244">
        <f t="shared" si="23"/>
        <v>-0.93353028064992616</v>
      </c>
    </row>
    <row r="167" spans="1:6" s="240" customFormat="1" ht="20.25" customHeight="1" x14ac:dyDescent="0.3">
      <c r="A167" s="241"/>
      <c r="B167" s="242" t="s">
        <v>442</v>
      </c>
      <c r="C167" s="243">
        <f>+C158+C160</f>
        <v>809</v>
      </c>
      <c r="D167" s="243">
        <f>+D158+D160</f>
        <v>56</v>
      </c>
      <c r="E167" s="243">
        <f t="shared" si="22"/>
        <v>-753</v>
      </c>
      <c r="F167" s="244">
        <f t="shared" si="23"/>
        <v>-0.93077873918417797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455</v>
      </c>
      <c r="B169" s="231" t="s">
        <v>456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434</v>
      </c>
      <c r="C170" s="237">
        <v>19946</v>
      </c>
      <c r="D170" s="237">
        <v>0</v>
      </c>
      <c r="E170" s="237">
        <f t="shared" ref="E170:E180" si="24">D170-C170</f>
        <v>-19946</v>
      </c>
      <c r="F170" s="238">
        <f t="shared" ref="F170:F180" si="25">IF(C170=0,0,E170/C170)</f>
        <v>-1</v>
      </c>
    </row>
    <row r="171" spans="1:6" ht="20.25" customHeight="1" x14ac:dyDescent="0.3">
      <c r="A171" s="235">
        <v>2</v>
      </c>
      <c r="B171" s="236" t="s">
        <v>435</v>
      </c>
      <c r="C171" s="237">
        <v>5350</v>
      </c>
      <c r="D171" s="237">
        <v>0</v>
      </c>
      <c r="E171" s="237">
        <f t="shared" si="24"/>
        <v>-5350</v>
      </c>
      <c r="F171" s="238">
        <f t="shared" si="25"/>
        <v>-1</v>
      </c>
    </row>
    <row r="172" spans="1:6" ht="20.25" customHeight="1" x14ac:dyDescent="0.3">
      <c r="A172" s="235">
        <v>3</v>
      </c>
      <c r="B172" s="236" t="s">
        <v>436</v>
      </c>
      <c r="C172" s="237">
        <v>0</v>
      </c>
      <c r="D172" s="237">
        <v>728</v>
      </c>
      <c r="E172" s="237">
        <f t="shared" si="24"/>
        <v>728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437</v>
      </c>
      <c r="C173" s="237">
        <v>0</v>
      </c>
      <c r="D173" s="237">
        <v>352</v>
      </c>
      <c r="E173" s="237">
        <f t="shared" si="24"/>
        <v>352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373</v>
      </c>
      <c r="C174" s="239">
        <v>1</v>
      </c>
      <c r="D174" s="239">
        <v>0</v>
      </c>
      <c r="E174" s="239">
        <f t="shared" si="24"/>
        <v>-1</v>
      </c>
      <c r="F174" s="238">
        <f t="shared" si="25"/>
        <v>-1</v>
      </c>
    </row>
    <row r="175" spans="1:6" ht="20.25" customHeight="1" x14ac:dyDescent="0.3">
      <c r="A175" s="235">
        <v>6</v>
      </c>
      <c r="B175" s="236" t="s">
        <v>372</v>
      </c>
      <c r="C175" s="239">
        <v>4</v>
      </c>
      <c r="D175" s="239">
        <v>0</v>
      </c>
      <c r="E175" s="239">
        <f t="shared" si="24"/>
        <v>-4</v>
      </c>
      <c r="F175" s="238">
        <f t="shared" si="25"/>
        <v>-1</v>
      </c>
    </row>
    <row r="176" spans="1:6" ht="20.25" customHeight="1" x14ac:dyDescent="0.3">
      <c r="A176" s="235">
        <v>7</v>
      </c>
      <c r="B176" s="236" t="s">
        <v>438</v>
      </c>
      <c r="C176" s="239">
        <v>0</v>
      </c>
      <c r="D176" s="239">
        <v>2</v>
      </c>
      <c r="E176" s="239">
        <f t="shared" si="24"/>
        <v>2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439</v>
      </c>
      <c r="C177" s="239">
        <v>0</v>
      </c>
      <c r="D177" s="239">
        <v>1</v>
      </c>
      <c r="E177" s="239">
        <f t="shared" si="24"/>
        <v>1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440</v>
      </c>
      <c r="C178" s="239">
        <v>1</v>
      </c>
      <c r="D178" s="239">
        <v>0</v>
      </c>
      <c r="E178" s="239">
        <f t="shared" si="24"/>
        <v>-1</v>
      </c>
      <c r="F178" s="238">
        <f t="shared" si="25"/>
        <v>-1</v>
      </c>
    </row>
    <row r="179" spans="1:6" s="240" customFormat="1" ht="20.25" customHeight="1" x14ac:dyDescent="0.3">
      <c r="A179" s="241"/>
      <c r="B179" s="242" t="s">
        <v>441</v>
      </c>
      <c r="C179" s="243">
        <f>+C170+C172</f>
        <v>19946</v>
      </c>
      <c r="D179" s="243">
        <f>+D170+D172</f>
        <v>728</v>
      </c>
      <c r="E179" s="243">
        <f t="shared" si="24"/>
        <v>-19218</v>
      </c>
      <c r="F179" s="244">
        <f t="shared" si="25"/>
        <v>-0.96350145392559916</v>
      </c>
    </row>
    <row r="180" spans="1:6" s="240" customFormat="1" ht="20.25" customHeight="1" x14ac:dyDescent="0.3">
      <c r="A180" s="241"/>
      <c r="B180" s="242" t="s">
        <v>442</v>
      </c>
      <c r="C180" s="243">
        <f>+C171+C173</f>
        <v>5350</v>
      </c>
      <c r="D180" s="243">
        <f>+D171+D173</f>
        <v>352</v>
      </c>
      <c r="E180" s="243">
        <f t="shared" si="24"/>
        <v>-4998</v>
      </c>
      <c r="F180" s="244">
        <f t="shared" si="25"/>
        <v>-0.9342056074766355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457</v>
      </c>
      <c r="B182" s="231" t="s">
        <v>458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434</v>
      </c>
      <c r="C183" s="237">
        <v>61255</v>
      </c>
      <c r="D183" s="237">
        <v>0</v>
      </c>
      <c r="E183" s="237">
        <f t="shared" ref="E183:E193" si="26">D183-C183</f>
        <v>-61255</v>
      </c>
      <c r="F183" s="238">
        <f t="shared" ref="F183:F193" si="27">IF(C183=0,0,E183/C183)</f>
        <v>-1</v>
      </c>
    </row>
    <row r="184" spans="1:6" ht="20.25" customHeight="1" x14ac:dyDescent="0.3">
      <c r="A184" s="235">
        <v>2</v>
      </c>
      <c r="B184" s="236" t="s">
        <v>435</v>
      </c>
      <c r="C184" s="237">
        <v>43894</v>
      </c>
      <c r="D184" s="237">
        <v>0</v>
      </c>
      <c r="E184" s="237">
        <f t="shared" si="26"/>
        <v>-43894</v>
      </c>
      <c r="F184" s="238">
        <f t="shared" si="27"/>
        <v>-1</v>
      </c>
    </row>
    <row r="185" spans="1:6" ht="20.25" customHeight="1" x14ac:dyDescent="0.3">
      <c r="A185" s="235">
        <v>3</v>
      </c>
      <c r="B185" s="236" t="s">
        <v>436</v>
      </c>
      <c r="C185" s="237">
        <v>13121</v>
      </c>
      <c r="D185" s="237">
        <v>3149</v>
      </c>
      <c r="E185" s="237">
        <f t="shared" si="26"/>
        <v>-9972</v>
      </c>
      <c r="F185" s="238">
        <f t="shared" si="27"/>
        <v>-0.76000304854812895</v>
      </c>
    </row>
    <row r="186" spans="1:6" ht="20.25" customHeight="1" x14ac:dyDescent="0.3">
      <c r="A186" s="235">
        <v>4</v>
      </c>
      <c r="B186" s="236" t="s">
        <v>437</v>
      </c>
      <c r="C186" s="237">
        <v>10264</v>
      </c>
      <c r="D186" s="237">
        <v>651</v>
      </c>
      <c r="E186" s="237">
        <f t="shared" si="26"/>
        <v>-9613</v>
      </c>
      <c r="F186" s="238">
        <f t="shared" si="27"/>
        <v>-0.93657443491816061</v>
      </c>
    </row>
    <row r="187" spans="1:6" ht="20.25" customHeight="1" x14ac:dyDescent="0.3">
      <c r="A187" s="235">
        <v>5</v>
      </c>
      <c r="B187" s="236" t="s">
        <v>373</v>
      </c>
      <c r="C187" s="239">
        <v>2</v>
      </c>
      <c r="D187" s="239">
        <v>0</v>
      </c>
      <c r="E187" s="239">
        <f t="shared" si="26"/>
        <v>-2</v>
      </c>
      <c r="F187" s="238">
        <f t="shared" si="27"/>
        <v>-1</v>
      </c>
    </row>
    <row r="188" spans="1:6" ht="20.25" customHeight="1" x14ac:dyDescent="0.3">
      <c r="A188" s="235">
        <v>6</v>
      </c>
      <c r="B188" s="236" t="s">
        <v>372</v>
      </c>
      <c r="C188" s="239">
        <v>18</v>
      </c>
      <c r="D188" s="239">
        <v>0</v>
      </c>
      <c r="E188" s="239">
        <f t="shared" si="26"/>
        <v>-18</v>
      </c>
      <c r="F188" s="238">
        <f t="shared" si="27"/>
        <v>-1</v>
      </c>
    </row>
    <row r="189" spans="1:6" ht="20.25" customHeight="1" x14ac:dyDescent="0.3">
      <c r="A189" s="235">
        <v>7</v>
      </c>
      <c r="B189" s="236" t="s">
        <v>438</v>
      </c>
      <c r="C189" s="239">
        <v>26</v>
      </c>
      <c r="D189" s="239">
        <v>8</v>
      </c>
      <c r="E189" s="239">
        <f t="shared" si="26"/>
        <v>-18</v>
      </c>
      <c r="F189" s="238">
        <f t="shared" si="27"/>
        <v>-0.69230769230769229</v>
      </c>
    </row>
    <row r="190" spans="1:6" ht="20.25" customHeight="1" x14ac:dyDescent="0.3">
      <c r="A190" s="235">
        <v>8</v>
      </c>
      <c r="B190" s="236" t="s">
        <v>439</v>
      </c>
      <c r="C190" s="239">
        <v>4</v>
      </c>
      <c r="D190" s="239">
        <v>1</v>
      </c>
      <c r="E190" s="239">
        <f t="shared" si="26"/>
        <v>-3</v>
      </c>
      <c r="F190" s="238">
        <f t="shared" si="27"/>
        <v>-0.75</v>
      </c>
    </row>
    <row r="191" spans="1:6" ht="20.25" customHeight="1" x14ac:dyDescent="0.3">
      <c r="A191" s="235">
        <v>9</v>
      </c>
      <c r="B191" s="236" t="s">
        <v>440</v>
      </c>
      <c r="C191" s="239">
        <v>2</v>
      </c>
      <c r="D191" s="239">
        <v>0</v>
      </c>
      <c r="E191" s="239">
        <f t="shared" si="26"/>
        <v>-2</v>
      </c>
      <c r="F191" s="238">
        <f t="shared" si="27"/>
        <v>-1</v>
      </c>
    </row>
    <row r="192" spans="1:6" s="240" customFormat="1" ht="20.25" customHeight="1" x14ac:dyDescent="0.3">
      <c r="A192" s="241"/>
      <c r="B192" s="242" t="s">
        <v>441</v>
      </c>
      <c r="C192" s="243">
        <f>+C183+C185</f>
        <v>74376</v>
      </c>
      <c r="D192" s="243">
        <f>+D183+D185</f>
        <v>3149</v>
      </c>
      <c r="E192" s="243">
        <f t="shared" si="26"/>
        <v>-71227</v>
      </c>
      <c r="F192" s="244">
        <f t="shared" si="27"/>
        <v>-0.95766107346455842</v>
      </c>
    </row>
    <row r="193" spans="1:9" s="240" customFormat="1" ht="20.25" customHeight="1" x14ac:dyDescent="0.3">
      <c r="A193" s="241"/>
      <c r="B193" s="242" t="s">
        <v>442</v>
      </c>
      <c r="C193" s="243">
        <f>+C184+C186</f>
        <v>54158</v>
      </c>
      <c r="D193" s="243">
        <f>+D184+D186</f>
        <v>651</v>
      </c>
      <c r="E193" s="243">
        <f t="shared" si="26"/>
        <v>-53507</v>
      </c>
      <c r="F193" s="244">
        <f t="shared" si="27"/>
        <v>-0.98797961519997046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2" t="s">
        <v>44</v>
      </c>
      <c r="B195" s="684" t="s">
        <v>459</v>
      </c>
      <c r="C195" s="686"/>
      <c r="D195" s="687"/>
      <c r="E195" s="687"/>
      <c r="F195" s="688"/>
      <c r="G195" s="689"/>
      <c r="H195" s="689"/>
      <c r="I195" s="689"/>
    </row>
    <row r="196" spans="1:9" ht="20.25" customHeight="1" x14ac:dyDescent="0.3">
      <c r="A196" s="683"/>
      <c r="B196" s="685"/>
      <c r="C196" s="679"/>
      <c r="D196" s="680"/>
      <c r="E196" s="680"/>
      <c r="F196" s="681"/>
      <c r="G196" s="689"/>
      <c r="H196" s="689"/>
      <c r="I196" s="689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460</v>
      </c>
      <c r="C198" s="243">
        <f t="shared" ref="C198:D206" si="28">+C183+C170+C157+C144+C131+C118+C105+C92+C79+C66+C53+C40+C27+C14</f>
        <v>3348414</v>
      </c>
      <c r="D198" s="243">
        <f t="shared" si="28"/>
        <v>4290161</v>
      </c>
      <c r="E198" s="243">
        <f t="shared" ref="E198:E208" si="29">D198-C198</f>
        <v>941747</v>
      </c>
      <c r="F198" s="251">
        <f t="shared" ref="F198:F208" si="30">IF(C198=0,0,E198/C198)</f>
        <v>0.28125166123424405</v>
      </c>
    </row>
    <row r="199" spans="1:9" ht="20.25" customHeight="1" x14ac:dyDescent="0.3">
      <c r="A199" s="249"/>
      <c r="B199" s="250" t="s">
        <v>461</v>
      </c>
      <c r="C199" s="243">
        <f t="shared" si="28"/>
        <v>2334584</v>
      </c>
      <c r="D199" s="243">
        <f t="shared" si="28"/>
        <v>2569846</v>
      </c>
      <c r="E199" s="243">
        <f t="shared" si="29"/>
        <v>235262</v>
      </c>
      <c r="F199" s="251">
        <f t="shared" si="30"/>
        <v>0.10077255733783835</v>
      </c>
    </row>
    <row r="200" spans="1:9" ht="20.25" customHeight="1" x14ac:dyDescent="0.3">
      <c r="A200" s="249"/>
      <c r="B200" s="250" t="s">
        <v>462</v>
      </c>
      <c r="C200" s="243">
        <f t="shared" si="28"/>
        <v>3360179</v>
      </c>
      <c r="D200" s="243">
        <f t="shared" si="28"/>
        <v>4946482</v>
      </c>
      <c r="E200" s="243">
        <f t="shared" si="29"/>
        <v>1586303</v>
      </c>
      <c r="F200" s="251">
        <f t="shared" si="30"/>
        <v>0.47208883812439756</v>
      </c>
    </row>
    <row r="201" spans="1:9" ht="20.25" customHeight="1" x14ac:dyDescent="0.3">
      <c r="A201" s="249"/>
      <c r="B201" s="250" t="s">
        <v>463</v>
      </c>
      <c r="C201" s="243">
        <f t="shared" si="28"/>
        <v>1463408</v>
      </c>
      <c r="D201" s="243">
        <f t="shared" si="28"/>
        <v>1798119</v>
      </c>
      <c r="E201" s="243">
        <f t="shared" si="29"/>
        <v>334711</v>
      </c>
      <c r="F201" s="251">
        <f t="shared" si="30"/>
        <v>0.22872022019833158</v>
      </c>
    </row>
    <row r="202" spans="1:9" ht="20.25" customHeight="1" x14ac:dyDescent="0.3">
      <c r="A202" s="249"/>
      <c r="B202" s="250" t="s">
        <v>464</v>
      </c>
      <c r="C202" s="252">
        <f t="shared" si="28"/>
        <v>231</v>
      </c>
      <c r="D202" s="252">
        <f t="shared" si="28"/>
        <v>297</v>
      </c>
      <c r="E202" s="252">
        <f t="shared" si="29"/>
        <v>66</v>
      </c>
      <c r="F202" s="251">
        <f t="shared" si="30"/>
        <v>0.2857142857142857</v>
      </c>
    </row>
    <row r="203" spans="1:9" ht="20.25" customHeight="1" x14ac:dyDescent="0.3">
      <c r="A203" s="249"/>
      <c r="B203" s="250" t="s">
        <v>465</v>
      </c>
      <c r="C203" s="252">
        <f t="shared" si="28"/>
        <v>1005</v>
      </c>
      <c r="D203" s="252">
        <f t="shared" si="28"/>
        <v>1243</v>
      </c>
      <c r="E203" s="252">
        <f t="shared" si="29"/>
        <v>238</v>
      </c>
      <c r="F203" s="251">
        <f t="shared" si="30"/>
        <v>0.23681592039800994</v>
      </c>
    </row>
    <row r="204" spans="1:9" ht="39.950000000000003" customHeight="1" x14ac:dyDescent="0.3">
      <c r="A204" s="249"/>
      <c r="B204" s="250" t="s">
        <v>466</v>
      </c>
      <c r="C204" s="252">
        <f t="shared" si="28"/>
        <v>5691</v>
      </c>
      <c r="D204" s="252">
        <f t="shared" si="28"/>
        <v>7838</v>
      </c>
      <c r="E204" s="252">
        <f t="shared" si="29"/>
        <v>2147</v>
      </c>
      <c r="F204" s="251">
        <f t="shared" si="30"/>
        <v>0.37726234405201192</v>
      </c>
    </row>
    <row r="205" spans="1:9" ht="39.950000000000003" customHeight="1" x14ac:dyDescent="0.3">
      <c r="A205" s="249"/>
      <c r="B205" s="250" t="s">
        <v>467</v>
      </c>
      <c r="C205" s="252">
        <f t="shared" si="28"/>
        <v>609</v>
      </c>
      <c r="D205" s="252">
        <f t="shared" si="28"/>
        <v>699</v>
      </c>
      <c r="E205" s="252">
        <f t="shared" si="29"/>
        <v>90</v>
      </c>
      <c r="F205" s="251">
        <f t="shared" si="30"/>
        <v>0.14778325123152711</v>
      </c>
    </row>
    <row r="206" spans="1:9" ht="39.950000000000003" customHeight="1" x14ac:dyDescent="0.3">
      <c r="A206" s="249"/>
      <c r="B206" s="250" t="s">
        <v>468</v>
      </c>
      <c r="C206" s="252">
        <f t="shared" si="28"/>
        <v>187</v>
      </c>
      <c r="D206" s="252">
        <f t="shared" si="28"/>
        <v>252</v>
      </c>
      <c r="E206" s="252">
        <f t="shared" si="29"/>
        <v>65</v>
      </c>
      <c r="F206" s="251">
        <f t="shared" si="30"/>
        <v>0.34759358288770054</v>
      </c>
    </row>
    <row r="207" spans="1:9" ht="20.25" customHeight="1" x14ac:dyDescent="0.3">
      <c r="A207" s="249"/>
      <c r="B207" s="242" t="s">
        <v>469</v>
      </c>
      <c r="C207" s="243">
        <f>+C198+C200</f>
        <v>6708593</v>
      </c>
      <c r="D207" s="243">
        <f>+D198+D200</f>
        <v>9236643</v>
      </c>
      <c r="E207" s="243">
        <f t="shared" si="29"/>
        <v>2528050</v>
      </c>
      <c r="F207" s="251">
        <f t="shared" si="30"/>
        <v>0.37683758725562871</v>
      </c>
    </row>
    <row r="208" spans="1:9" ht="20.25" customHeight="1" x14ac:dyDescent="0.3">
      <c r="A208" s="249"/>
      <c r="B208" s="242" t="s">
        <v>470</v>
      </c>
      <c r="C208" s="243">
        <f>+C199+C201</f>
        <v>3797992</v>
      </c>
      <c r="D208" s="243">
        <f>+D199+D201</f>
        <v>4367965</v>
      </c>
      <c r="E208" s="243">
        <f t="shared" si="29"/>
        <v>569973</v>
      </c>
      <c r="F208" s="251">
        <f t="shared" si="30"/>
        <v>0.15007219604464675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FILING&amp;RCHARLOTTE HUNGERFORD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workbookViewId="0"/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90" t="s">
        <v>0</v>
      </c>
      <c r="B2" s="690"/>
      <c r="C2" s="690"/>
      <c r="D2" s="690"/>
      <c r="E2" s="690"/>
      <c r="F2" s="690"/>
    </row>
    <row r="3" spans="1:7" ht="20.25" customHeight="1" x14ac:dyDescent="0.3">
      <c r="A3" s="690" t="s">
        <v>1</v>
      </c>
      <c r="B3" s="690"/>
      <c r="C3" s="690"/>
      <c r="D3" s="690"/>
      <c r="E3" s="690"/>
      <c r="F3" s="690"/>
    </row>
    <row r="4" spans="1:7" ht="20.25" customHeight="1" x14ac:dyDescent="0.3">
      <c r="A4" s="690" t="s">
        <v>2</v>
      </c>
      <c r="B4" s="690"/>
      <c r="C4" s="690"/>
      <c r="D4" s="690"/>
      <c r="E4" s="690"/>
      <c r="F4" s="690"/>
    </row>
    <row r="5" spans="1:7" ht="20.25" customHeight="1" x14ac:dyDescent="0.3">
      <c r="A5" s="690" t="s">
        <v>471</v>
      </c>
      <c r="B5" s="690"/>
      <c r="C5" s="690"/>
      <c r="D5" s="690"/>
      <c r="E5" s="690"/>
      <c r="F5" s="690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2" t="s">
        <v>12</v>
      </c>
      <c r="B10" s="684" t="s">
        <v>115</v>
      </c>
      <c r="C10" s="686"/>
      <c r="D10" s="687"/>
      <c r="E10" s="687"/>
      <c r="F10" s="688"/>
    </row>
    <row r="11" spans="1:7" ht="20.25" customHeight="1" x14ac:dyDescent="0.3">
      <c r="A11" s="683"/>
      <c r="B11" s="685"/>
      <c r="C11" s="679"/>
      <c r="D11" s="680"/>
      <c r="E11" s="680"/>
      <c r="F11" s="681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472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0</v>
      </c>
      <c r="D14" s="237">
        <v>0</v>
      </c>
      <c r="E14" s="237">
        <f t="shared" ref="E14:E24" si="0">D14-C14</f>
        <v>0</v>
      </c>
      <c r="F14" s="238">
        <f t="shared" ref="F14:F24" si="1">IF(C14=0,0,E14/C14)</f>
        <v>0</v>
      </c>
    </row>
    <row r="15" spans="1:7" ht="20.25" customHeight="1" x14ac:dyDescent="0.3">
      <c r="A15" s="235">
        <v>2</v>
      </c>
      <c r="B15" s="236" t="s">
        <v>435</v>
      </c>
      <c r="C15" s="237">
        <v>0</v>
      </c>
      <c r="D15" s="237">
        <v>0</v>
      </c>
      <c r="E15" s="237">
        <f t="shared" si="0"/>
        <v>0</v>
      </c>
      <c r="F15" s="238">
        <f t="shared" si="1"/>
        <v>0</v>
      </c>
    </row>
    <row r="16" spans="1:7" ht="20.25" customHeight="1" x14ac:dyDescent="0.3">
      <c r="A16" s="235">
        <v>3</v>
      </c>
      <c r="B16" s="236" t="s">
        <v>436</v>
      </c>
      <c r="C16" s="237">
        <v>0</v>
      </c>
      <c r="D16" s="237">
        <v>0</v>
      </c>
      <c r="E16" s="237">
        <f t="shared" si="0"/>
        <v>0</v>
      </c>
      <c r="F16" s="238">
        <f t="shared" si="1"/>
        <v>0</v>
      </c>
    </row>
    <row r="17" spans="1:6" ht="20.25" customHeight="1" x14ac:dyDescent="0.3">
      <c r="A17" s="235">
        <v>4</v>
      </c>
      <c r="B17" s="236" t="s">
        <v>437</v>
      </c>
      <c r="C17" s="237">
        <v>0</v>
      </c>
      <c r="D17" s="237">
        <v>0</v>
      </c>
      <c r="E17" s="237">
        <f t="shared" si="0"/>
        <v>0</v>
      </c>
      <c r="F17" s="238">
        <f t="shared" si="1"/>
        <v>0</v>
      </c>
    </row>
    <row r="18" spans="1:6" ht="20.25" customHeight="1" x14ac:dyDescent="0.3">
      <c r="A18" s="235">
        <v>5</v>
      </c>
      <c r="B18" s="236" t="s">
        <v>373</v>
      </c>
      <c r="C18" s="239">
        <v>0</v>
      </c>
      <c r="D18" s="239">
        <v>0</v>
      </c>
      <c r="E18" s="239">
        <f t="shared" si="0"/>
        <v>0</v>
      </c>
      <c r="F18" s="238">
        <f t="shared" si="1"/>
        <v>0</v>
      </c>
    </row>
    <row r="19" spans="1:6" ht="20.25" customHeight="1" x14ac:dyDescent="0.3">
      <c r="A19" s="235">
        <v>6</v>
      </c>
      <c r="B19" s="236" t="s">
        <v>372</v>
      </c>
      <c r="C19" s="239">
        <v>0</v>
      </c>
      <c r="D19" s="239">
        <v>0</v>
      </c>
      <c r="E19" s="239">
        <f t="shared" si="0"/>
        <v>0</v>
      </c>
      <c r="F19" s="238">
        <f t="shared" si="1"/>
        <v>0</v>
      </c>
    </row>
    <row r="20" spans="1:6" ht="20.25" customHeight="1" x14ac:dyDescent="0.3">
      <c r="A20" s="235">
        <v>7</v>
      </c>
      <c r="B20" s="236" t="s">
        <v>438</v>
      </c>
      <c r="C20" s="239">
        <v>0</v>
      </c>
      <c r="D20" s="239">
        <v>0</v>
      </c>
      <c r="E20" s="239">
        <f t="shared" si="0"/>
        <v>0</v>
      </c>
      <c r="F20" s="238">
        <f t="shared" si="1"/>
        <v>0</v>
      </c>
    </row>
    <row r="21" spans="1:6" ht="20.25" customHeight="1" x14ac:dyDescent="0.3">
      <c r="A21" s="235">
        <v>8</v>
      </c>
      <c r="B21" s="236" t="s">
        <v>439</v>
      </c>
      <c r="C21" s="239">
        <v>0</v>
      </c>
      <c r="D21" s="239">
        <v>0</v>
      </c>
      <c r="E21" s="239">
        <f t="shared" si="0"/>
        <v>0</v>
      </c>
      <c r="F21" s="238">
        <f t="shared" si="1"/>
        <v>0</v>
      </c>
    </row>
    <row r="22" spans="1:6" ht="20.25" customHeight="1" x14ac:dyDescent="0.3">
      <c r="A22" s="235">
        <v>9</v>
      </c>
      <c r="B22" s="236" t="s">
        <v>440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39.950000000000003" customHeight="1" x14ac:dyDescent="0.3">
      <c r="A23" s="245"/>
      <c r="B23" s="242" t="s">
        <v>441</v>
      </c>
      <c r="C23" s="243">
        <f>+C14+C16</f>
        <v>0</v>
      </c>
      <c r="D23" s="243">
        <f>+D14+D16</f>
        <v>0</v>
      </c>
      <c r="E23" s="243">
        <f t="shared" si="0"/>
        <v>0</v>
      </c>
      <c r="F23" s="244">
        <f t="shared" si="1"/>
        <v>0</v>
      </c>
    </row>
    <row r="24" spans="1:6" s="240" customFormat="1" ht="39.950000000000003" customHeight="1" x14ac:dyDescent="0.3">
      <c r="A24" s="245"/>
      <c r="B24" s="242" t="s">
        <v>470</v>
      </c>
      <c r="C24" s="243">
        <f>+C15+C17</f>
        <v>0</v>
      </c>
      <c r="D24" s="243">
        <f>+D15+D17</f>
        <v>0</v>
      </c>
      <c r="E24" s="243">
        <f t="shared" si="0"/>
        <v>0</v>
      </c>
      <c r="F24" s="244">
        <f t="shared" si="1"/>
        <v>0</v>
      </c>
    </row>
    <row r="25" spans="1:6" ht="42" customHeight="1" x14ac:dyDescent="0.3">
      <c r="A25" s="227" t="s">
        <v>124</v>
      </c>
      <c r="B25" s="261" t="s">
        <v>473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434</v>
      </c>
      <c r="C26" s="237">
        <v>1839038</v>
      </c>
      <c r="D26" s="237">
        <v>2066890</v>
      </c>
      <c r="E26" s="237">
        <f t="shared" ref="E26:E36" si="2">D26-C26</f>
        <v>227852</v>
      </c>
      <c r="F26" s="238">
        <f t="shared" ref="F26:F36" si="3">IF(C26=0,0,E26/C26)</f>
        <v>0.12389738548088729</v>
      </c>
    </row>
    <row r="27" spans="1:6" ht="20.25" customHeight="1" x14ac:dyDescent="0.3">
      <c r="A27" s="235">
        <v>2</v>
      </c>
      <c r="B27" s="236" t="s">
        <v>435</v>
      </c>
      <c r="C27" s="237">
        <v>866682</v>
      </c>
      <c r="D27" s="237">
        <v>884117</v>
      </c>
      <c r="E27" s="237">
        <f t="shared" si="2"/>
        <v>17435</v>
      </c>
      <c r="F27" s="238">
        <f t="shared" si="3"/>
        <v>2.0116951777007022E-2</v>
      </c>
    </row>
    <row r="28" spans="1:6" ht="20.25" customHeight="1" x14ac:dyDescent="0.3">
      <c r="A28" s="235">
        <v>3</v>
      </c>
      <c r="B28" s="236" t="s">
        <v>436</v>
      </c>
      <c r="C28" s="237">
        <v>5858430</v>
      </c>
      <c r="D28" s="237">
        <v>6672663</v>
      </c>
      <c r="E28" s="237">
        <f t="shared" si="2"/>
        <v>814233</v>
      </c>
      <c r="F28" s="238">
        <f t="shared" si="3"/>
        <v>0.13898484747620096</v>
      </c>
    </row>
    <row r="29" spans="1:6" ht="20.25" customHeight="1" x14ac:dyDescent="0.3">
      <c r="A29" s="235">
        <v>4</v>
      </c>
      <c r="B29" s="236" t="s">
        <v>437</v>
      </c>
      <c r="C29" s="237">
        <v>2541529</v>
      </c>
      <c r="D29" s="237">
        <v>2768122</v>
      </c>
      <c r="E29" s="237">
        <f t="shared" si="2"/>
        <v>226593</v>
      </c>
      <c r="F29" s="238">
        <f t="shared" si="3"/>
        <v>8.915617331142002E-2</v>
      </c>
    </row>
    <row r="30" spans="1:6" ht="20.25" customHeight="1" x14ac:dyDescent="0.3">
      <c r="A30" s="235">
        <v>5</v>
      </c>
      <c r="B30" s="236" t="s">
        <v>373</v>
      </c>
      <c r="C30" s="239">
        <v>323</v>
      </c>
      <c r="D30" s="239">
        <v>263</v>
      </c>
      <c r="E30" s="239">
        <f t="shared" si="2"/>
        <v>-60</v>
      </c>
      <c r="F30" s="238">
        <f t="shared" si="3"/>
        <v>-0.18575851393188855</v>
      </c>
    </row>
    <row r="31" spans="1:6" ht="20.25" customHeight="1" x14ac:dyDescent="0.3">
      <c r="A31" s="235">
        <v>6</v>
      </c>
      <c r="B31" s="236" t="s">
        <v>372</v>
      </c>
      <c r="C31" s="239">
        <v>799</v>
      </c>
      <c r="D31" s="239">
        <v>669</v>
      </c>
      <c r="E31" s="239">
        <f t="shared" si="2"/>
        <v>-130</v>
      </c>
      <c r="F31" s="238">
        <f t="shared" si="3"/>
        <v>-0.16270337922403003</v>
      </c>
    </row>
    <row r="32" spans="1:6" ht="20.25" customHeight="1" x14ac:dyDescent="0.3">
      <c r="A32" s="235">
        <v>7</v>
      </c>
      <c r="B32" s="236" t="s">
        <v>438</v>
      </c>
      <c r="C32" s="239">
        <v>7372</v>
      </c>
      <c r="D32" s="239">
        <v>7595</v>
      </c>
      <c r="E32" s="239">
        <f t="shared" si="2"/>
        <v>223</v>
      </c>
      <c r="F32" s="238">
        <f t="shared" si="3"/>
        <v>3.0249593054801953E-2</v>
      </c>
    </row>
    <row r="33" spans="1:6" ht="20.25" customHeight="1" x14ac:dyDescent="0.3">
      <c r="A33" s="235">
        <v>8</v>
      </c>
      <c r="B33" s="236" t="s">
        <v>439</v>
      </c>
      <c r="C33" s="239">
        <v>4161</v>
      </c>
      <c r="D33" s="239">
        <v>4075</v>
      </c>
      <c r="E33" s="239">
        <f t="shared" si="2"/>
        <v>-86</v>
      </c>
      <c r="F33" s="238">
        <f t="shared" si="3"/>
        <v>-2.0668108627733717E-2</v>
      </c>
    </row>
    <row r="34" spans="1:6" ht="20.25" customHeight="1" x14ac:dyDescent="0.3">
      <c r="A34" s="235">
        <v>9</v>
      </c>
      <c r="B34" s="236" t="s">
        <v>440</v>
      </c>
      <c r="C34" s="239">
        <v>79</v>
      </c>
      <c r="D34" s="239">
        <v>74</v>
      </c>
      <c r="E34" s="239">
        <f t="shared" si="2"/>
        <v>-5</v>
      </c>
      <c r="F34" s="238">
        <f t="shared" si="3"/>
        <v>-6.3291139240506333E-2</v>
      </c>
    </row>
    <row r="35" spans="1:6" s="240" customFormat="1" ht="39.950000000000003" customHeight="1" x14ac:dyDescent="0.3">
      <c r="A35" s="245"/>
      <c r="B35" s="242" t="s">
        <v>441</v>
      </c>
      <c r="C35" s="243">
        <f>+C26+C28</f>
        <v>7697468</v>
      </c>
      <c r="D35" s="243">
        <f>+D26+D28</f>
        <v>8739553</v>
      </c>
      <c r="E35" s="243">
        <f t="shared" si="2"/>
        <v>1042085</v>
      </c>
      <c r="F35" s="244">
        <f t="shared" si="3"/>
        <v>0.13538023152548345</v>
      </c>
    </row>
    <row r="36" spans="1:6" s="240" customFormat="1" ht="39.950000000000003" customHeight="1" x14ac:dyDescent="0.3">
      <c r="A36" s="245"/>
      <c r="B36" s="242" t="s">
        <v>470</v>
      </c>
      <c r="C36" s="243">
        <f>+C27+C29</f>
        <v>3408211</v>
      </c>
      <c r="D36" s="243">
        <f>+D27+D29</f>
        <v>3652239</v>
      </c>
      <c r="E36" s="243">
        <f t="shared" si="2"/>
        <v>244028</v>
      </c>
      <c r="F36" s="244">
        <f t="shared" si="3"/>
        <v>7.1600027110997527E-2</v>
      </c>
    </row>
    <row r="37" spans="1:6" ht="42" customHeight="1" x14ac:dyDescent="0.3">
      <c r="A37" s="227" t="s">
        <v>141</v>
      </c>
      <c r="B37" s="261" t="s">
        <v>474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434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435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436</v>
      </c>
      <c r="C40" s="237">
        <v>0</v>
      </c>
      <c r="D40" s="237">
        <v>0</v>
      </c>
      <c r="E40" s="237">
        <f t="shared" si="4"/>
        <v>0</v>
      </c>
      <c r="F40" s="238">
        <f t="shared" si="5"/>
        <v>0</v>
      </c>
    </row>
    <row r="41" spans="1:6" ht="20.25" customHeight="1" x14ac:dyDescent="0.3">
      <c r="A41" s="235">
        <v>4</v>
      </c>
      <c r="B41" s="236" t="s">
        <v>437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5</v>
      </c>
      <c r="B42" s="236" t="s">
        <v>373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372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438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439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440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441</v>
      </c>
      <c r="C47" s="243">
        <f>+C38+C40</f>
        <v>0</v>
      </c>
      <c r="D47" s="243">
        <f>+D38+D40</f>
        <v>0</v>
      </c>
      <c r="E47" s="243">
        <f t="shared" si="4"/>
        <v>0</v>
      </c>
      <c r="F47" s="244">
        <f t="shared" si="5"/>
        <v>0</v>
      </c>
    </row>
    <row r="48" spans="1:6" s="240" customFormat="1" ht="39.950000000000003" customHeight="1" x14ac:dyDescent="0.3">
      <c r="A48" s="245"/>
      <c r="B48" s="242" t="s">
        <v>470</v>
      </c>
      <c r="C48" s="243">
        <f>+C39+C41</f>
        <v>0</v>
      </c>
      <c r="D48" s="243">
        <f>+D39+D41</f>
        <v>0</v>
      </c>
      <c r="E48" s="243">
        <f t="shared" si="4"/>
        <v>0</v>
      </c>
      <c r="F48" s="244">
        <f t="shared" si="5"/>
        <v>0</v>
      </c>
    </row>
    <row r="49" spans="1:6" ht="42" customHeight="1" x14ac:dyDescent="0.3">
      <c r="A49" s="227" t="s">
        <v>171</v>
      </c>
      <c r="B49" s="261" t="s">
        <v>475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434</v>
      </c>
      <c r="C50" s="237">
        <v>519516</v>
      </c>
      <c r="D50" s="237">
        <v>216385</v>
      </c>
      <c r="E50" s="237">
        <f t="shared" ref="E50:E60" si="6">D50-C50</f>
        <v>-303131</v>
      </c>
      <c r="F50" s="238">
        <f t="shared" ref="F50:F60" si="7">IF(C50=0,0,E50/C50)</f>
        <v>-0.58348732281585169</v>
      </c>
    </row>
    <row r="51" spans="1:6" ht="20.25" customHeight="1" x14ac:dyDescent="0.3">
      <c r="A51" s="235">
        <v>2</v>
      </c>
      <c r="B51" s="236" t="s">
        <v>435</v>
      </c>
      <c r="C51" s="237">
        <v>253960</v>
      </c>
      <c r="D51" s="237">
        <v>125583</v>
      </c>
      <c r="E51" s="237">
        <f t="shared" si="6"/>
        <v>-128377</v>
      </c>
      <c r="F51" s="238">
        <f t="shared" si="7"/>
        <v>-0.50550086627815405</v>
      </c>
    </row>
    <row r="52" spans="1:6" ht="20.25" customHeight="1" x14ac:dyDescent="0.3">
      <c r="A52" s="235">
        <v>3</v>
      </c>
      <c r="B52" s="236" t="s">
        <v>436</v>
      </c>
      <c r="C52" s="237">
        <v>2828121</v>
      </c>
      <c r="D52" s="237">
        <v>3073359</v>
      </c>
      <c r="E52" s="237">
        <f t="shared" si="6"/>
        <v>245238</v>
      </c>
      <c r="F52" s="238">
        <f t="shared" si="7"/>
        <v>8.6714111595649554E-2</v>
      </c>
    </row>
    <row r="53" spans="1:6" ht="20.25" customHeight="1" x14ac:dyDescent="0.3">
      <c r="A53" s="235">
        <v>4</v>
      </c>
      <c r="B53" s="236" t="s">
        <v>437</v>
      </c>
      <c r="C53" s="237">
        <v>1010437</v>
      </c>
      <c r="D53" s="237">
        <v>1024156</v>
      </c>
      <c r="E53" s="237">
        <f t="shared" si="6"/>
        <v>13719</v>
      </c>
      <c r="F53" s="238">
        <f t="shared" si="7"/>
        <v>1.3577293784768373E-2</v>
      </c>
    </row>
    <row r="54" spans="1:6" ht="20.25" customHeight="1" x14ac:dyDescent="0.3">
      <c r="A54" s="235">
        <v>5</v>
      </c>
      <c r="B54" s="236" t="s">
        <v>373</v>
      </c>
      <c r="C54" s="239">
        <v>47</v>
      </c>
      <c r="D54" s="239">
        <v>24</v>
      </c>
      <c r="E54" s="239">
        <f t="shared" si="6"/>
        <v>-23</v>
      </c>
      <c r="F54" s="238">
        <f t="shared" si="7"/>
        <v>-0.48936170212765956</v>
      </c>
    </row>
    <row r="55" spans="1:6" ht="20.25" customHeight="1" x14ac:dyDescent="0.3">
      <c r="A55" s="235">
        <v>6</v>
      </c>
      <c r="B55" s="236" t="s">
        <v>372</v>
      </c>
      <c r="C55" s="239">
        <v>380</v>
      </c>
      <c r="D55" s="239">
        <v>136</v>
      </c>
      <c r="E55" s="239">
        <f t="shared" si="6"/>
        <v>-244</v>
      </c>
      <c r="F55" s="238">
        <f t="shared" si="7"/>
        <v>-0.64210526315789473</v>
      </c>
    </row>
    <row r="56" spans="1:6" ht="20.25" customHeight="1" x14ac:dyDescent="0.3">
      <c r="A56" s="235">
        <v>7</v>
      </c>
      <c r="B56" s="236" t="s">
        <v>438</v>
      </c>
      <c r="C56" s="239">
        <v>4265</v>
      </c>
      <c r="D56" s="239">
        <v>4328</v>
      </c>
      <c r="E56" s="239">
        <f t="shared" si="6"/>
        <v>63</v>
      </c>
      <c r="F56" s="238">
        <f t="shared" si="7"/>
        <v>1.4771395076201642E-2</v>
      </c>
    </row>
    <row r="57" spans="1:6" ht="20.25" customHeight="1" x14ac:dyDescent="0.3">
      <c r="A57" s="235">
        <v>8</v>
      </c>
      <c r="B57" s="236" t="s">
        <v>439</v>
      </c>
      <c r="C57" s="239">
        <v>1</v>
      </c>
      <c r="D57" s="239">
        <v>0</v>
      </c>
      <c r="E57" s="239">
        <f t="shared" si="6"/>
        <v>-1</v>
      </c>
      <c r="F57" s="238">
        <f t="shared" si="7"/>
        <v>-1</v>
      </c>
    </row>
    <row r="58" spans="1:6" ht="20.25" customHeight="1" x14ac:dyDescent="0.3">
      <c r="A58" s="235">
        <v>9</v>
      </c>
      <c r="B58" s="236" t="s">
        <v>440</v>
      </c>
      <c r="C58" s="239">
        <v>44</v>
      </c>
      <c r="D58" s="239">
        <v>24</v>
      </c>
      <c r="E58" s="239">
        <f t="shared" si="6"/>
        <v>-20</v>
      </c>
      <c r="F58" s="238">
        <f t="shared" si="7"/>
        <v>-0.45454545454545453</v>
      </c>
    </row>
    <row r="59" spans="1:6" s="240" customFormat="1" ht="39.950000000000003" customHeight="1" x14ac:dyDescent="0.3">
      <c r="A59" s="245"/>
      <c r="B59" s="242" t="s">
        <v>441</v>
      </c>
      <c r="C59" s="243">
        <f>+C50+C52</f>
        <v>3347637</v>
      </c>
      <c r="D59" s="243">
        <f>+D50+D52</f>
        <v>3289744</v>
      </c>
      <c r="E59" s="243">
        <f t="shared" si="6"/>
        <v>-57893</v>
      </c>
      <c r="F59" s="244">
        <f t="shared" si="7"/>
        <v>-1.7293691042368095E-2</v>
      </c>
    </row>
    <row r="60" spans="1:6" s="240" customFormat="1" ht="39.950000000000003" customHeight="1" x14ac:dyDescent="0.3">
      <c r="A60" s="245"/>
      <c r="B60" s="242" t="s">
        <v>470</v>
      </c>
      <c r="C60" s="243">
        <f>+C51+C53</f>
        <v>1264397</v>
      </c>
      <c r="D60" s="243">
        <f>+D51+D53</f>
        <v>1149739</v>
      </c>
      <c r="E60" s="243">
        <f t="shared" si="6"/>
        <v>-114658</v>
      </c>
      <c r="F60" s="244">
        <f t="shared" si="7"/>
        <v>-9.068196144090819E-2</v>
      </c>
    </row>
    <row r="61" spans="1:6" ht="42" customHeight="1" x14ac:dyDescent="0.3">
      <c r="A61" s="227" t="s">
        <v>176</v>
      </c>
      <c r="B61" s="261" t="s">
        <v>449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434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435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436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437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373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372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438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439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440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441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470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476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434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435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436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437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373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372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438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439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440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441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470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477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434</v>
      </c>
      <c r="C86" s="237">
        <v>208916</v>
      </c>
      <c r="D86" s="237">
        <v>149777</v>
      </c>
      <c r="E86" s="237">
        <f t="shared" ref="E86:E96" si="12">D86-C86</f>
        <v>-59139</v>
      </c>
      <c r="F86" s="238">
        <f t="shared" ref="F86:F96" si="13">IF(C86=0,0,E86/C86)</f>
        <v>-0.28307549445710239</v>
      </c>
    </row>
    <row r="87" spans="1:6" ht="20.25" customHeight="1" x14ac:dyDescent="0.3">
      <c r="A87" s="235">
        <v>2</v>
      </c>
      <c r="B87" s="236" t="s">
        <v>435</v>
      </c>
      <c r="C87" s="237">
        <v>121497</v>
      </c>
      <c r="D87" s="237">
        <v>73454</v>
      </c>
      <c r="E87" s="237">
        <f t="shared" si="12"/>
        <v>-48043</v>
      </c>
      <c r="F87" s="238">
        <f t="shared" si="13"/>
        <v>-0.39542540145024158</v>
      </c>
    </row>
    <row r="88" spans="1:6" ht="20.25" customHeight="1" x14ac:dyDescent="0.3">
      <c r="A88" s="235">
        <v>3</v>
      </c>
      <c r="B88" s="236" t="s">
        <v>436</v>
      </c>
      <c r="C88" s="237">
        <v>583623</v>
      </c>
      <c r="D88" s="237">
        <v>717761</v>
      </c>
      <c r="E88" s="237">
        <f t="shared" si="12"/>
        <v>134138</v>
      </c>
      <c r="F88" s="238">
        <f t="shared" si="13"/>
        <v>0.22983672679109632</v>
      </c>
    </row>
    <row r="89" spans="1:6" ht="20.25" customHeight="1" x14ac:dyDescent="0.3">
      <c r="A89" s="235">
        <v>4</v>
      </c>
      <c r="B89" s="236" t="s">
        <v>437</v>
      </c>
      <c r="C89" s="237">
        <v>234344</v>
      </c>
      <c r="D89" s="237">
        <v>256501</v>
      </c>
      <c r="E89" s="237">
        <f t="shared" si="12"/>
        <v>22157</v>
      </c>
      <c r="F89" s="238">
        <f t="shared" si="13"/>
        <v>9.4549039019560993E-2</v>
      </c>
    </row>
    <row r="90" spans="1:6" ht="20.25" customHeight="1" x14ac:dyDescent="0.3">
      <c r="A90" s="235">
        <v>5</v>
      </c>
      <c r="B90" s="236" t="s">
        <v>373</v>
      </c>
      <c r="C90" s="239">
        <v>46</v>
      </c>
      <c r="D90" s="239">
        <v>36</v>
      </c>
      <c r="E90" s="239">
        <f t="shared" si="12"/>
        <v>-10</v>
      </c>
      <c r="F90" s="238">
        <f t="shared" si="13"/>
        <v>-0.21739130434782608</v>
      </c>
    </row>
    <row r="91" spans="1:6" ht="20.25" customHeight="1" x14ac:dyDescent="0.3">
      <c r="A91" s="235">
        <v>6</v>
      </c>
      <c r="B91" s="236" t="s">
        <v>372</v>
      </c>
      <c r="C91" s="239">
        <v>111</v>
      </c>
      <c r="D91" s="239">
        <v>64</v>
      </c>
      <c r="E91" s="239">
        <f t="shared" si="12"/>
        <v>-47</v>
      </c>
      <c r="F91" s="238">
        <f t="shared" si="13"/>
        <v>-0.42342342342342343</v>
      </c>
    </row>
    <row r="92" spans="1:6" ht="20.25" customHeight="1" x14ac:dyDescent="0.3">
      <c r="A92" s="235">
        <v>7</v>
      </c>
      <c r="B92" s="236" t="s">
        <v>438</v>
      </c>
      <c r="C92" s="239">
        <v>799</v>
      </c>
      <c r="D92" s="239">
        <v>855</v>
      </c>
      <c r="E92" s="239">
        <f t="shared" si="12"/>
        <v>56</v>
      </c>
      <c r="F92" s="238">
        <f t="shared" si="13"/>
        <v>7.0087609511889859E-2</v>
      </c>
    </row>
    <row r="93" spans="1:6" ht="20.25" customHeight="1" x14ac:dyDescent="0.3">
      <c r="A93" s="235">
        <v>8</v>
      </c>
      <c r="B93" s="236" t="s">
        <v>439</v>
      </c>
      <c r="C93" s="239">
        <v>500</v>
      </c>
      <c r="D93" s="239">
        <v>537</v>
      </c>
      <c r="E93" s="239">
        <f t="shared" si="12"/>
        <v>37</v>
      </c>
      <c r="F93" s="238">
        <f t="shared" si="13"/>
        <v>7.3999999999999996E-2</v>
      </c>
    </row>
    <row r="94" spans="1:6" ht="20.25" customHeight="1" x14ac:dyDescent="0.3">
      <c r="A94" s="235">
        <v>9</v>
      </c>
      <c r="B94" s="236" t="s">
        <v>440</v>
      </c>
      <c r="C94" s="239">
        <v>10</v>
      </c>
      <c r="D94" s="239">
        <v>5</v>
      </c>
      <c r="E94" s="239">
        <f t="shared" si="12"/>
        <v>-5</v>
      </c>
      <c r="F94" s="238">
        <f t="shared" si="13"/>
        <v>-0.5</v>
      </c>
    </row>
    <row r="95" spans="1:6" s="240" customFormat="1" ht="39.950000000000003" customHeight="1" x14ac:dyDescent="0.3">
      <c r="A95" s="245"/>
      <c r="B95" s="242" t="s">
        <v>441</v>
      </c>
      <c r="C95" s="243">
        <f>+C86+C88</f>
        <v>792539</v>
      </c>
      <c r="D95" s="243">
        <f>+D86+D88</f>
        <v>867538</v>
      </c>
      <c r="E95" s="243">
        <f t="shared" si="12"/>
        <v>74999</v>
      </c>
      <c r="F95" s="244">
        <f t="shared" si="13"/>
        <v>9.4631305210216787E-2</v>
      </c>
    </row>
    <row r="96" spans="1:6" s="240" customFormat="1" ht="39.950000000000003" customHeight="1" x14ac:dyDescent="0.3">
      <c r="A96" s="245"/>
      <c r="B96" s="242" t="s">
        <v>470</v>
      </c>
      <c r="C96" s="243">
        <f>+C87+C89</f>
        <v>355841</v>
      </c>
      <c r="D96" s="243">
        <f>+D87+D89</f>
        <v>329955</v>
      </c>
      <c r="E96" s="243">
        <f t="shared" si="12"/>
        <v>-25886</v>
      </c>
      <c r="F96" s="244">
        <f t="shared" si="13"/>
        <v>-7.2745973623050741E-2</v>
      </c>
    </row>
    <row r="97" spans="1:7" ht="42" customHeight="1" x14ac:dyDescent="0.3">
      <c r="A97" s="227" t="s">
        <v>187</v>
      </c>
      <c r="B97" s="261" t="s">
        <v>450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434</v>
      </c>
      <c r="C98" s="237">
        <v>734082</v>
      </c>
      <c r="D98" s="237">
        <v>747227</v>
      </c>
      <c r="E98" s="237">
        <f t="shared" ref="E98:E108" si="14">D98-C98</f>
        <v>13145</v>
      </c>
      <c r="F98" s="238">
        <f t="shared" ref="F98:F108" si="15">IF(C98=0,0,E98/C98)</f>
        <v>1.7906718867919388E-2</v>
      </c>
    </row>
    <row r="99" spans="1:7" ht="20.25" customHeight="1" x14ac:dyDescent="0.3">
      <c r="A99" s="235">
        <v>2</v>
      </c>
      <c r="B99" s="236" t="s">
        <v>435</v>
      </c>
      <c r="C99" s="237">
        <v>399226</v>
      </c>
      <c r="D99" s="237">
        <v>358687</v>
      </c>
      <c r="E99" s="237">
        <f t="shared" si="14"/>
        <v>-40539</v>
      </c>
      <c r="F99" s="238">
        <f t="shared" si="15"/>
        <v>-0.10154398761603703</v>
      </c>
    </row>
    <row r="100" spans="1:7" ht="20.25" customHeight="1" x14ac:dyDescent="0.3">
      <c r="A100" s="235">
        <v>3</v>
      </c>
      <c r="B100" s="236" t="s">
        <v>436</v>
      </c>
      <c r="C100" s="237">
        <v>2802068</v>
      </c>
      <c r="D100" s="237">
        <v>3117327</v>
      </c>
      <c r="E100" s="237">
        <f t="shared" si="14"/>
        <v>315259</v>
      </c>
      <c r="F100" s="238">
        <f t="shared" si="15"/>
        <v>0.11250940376893066</v>
      </c>
    </row>
    <row r="101" spans="1:7" ht="20.25" customHeight="1" x14ac:dyDescent="0.3">
      <c r="A101" s="235">
        <v>4</v>
      </c>
      <c r="B101" s="236" t="s">
        <v>437</v>
      </c>
      <c r="C101" s="237">
        <v>1152777</v>
      </c>
      <c r="D101" s="237">
        <v>1191118</v>
      </c>
      <c r="E101" s="237">
        <f t="shared" si="14"/>
        <v>38341</v>
      </c>
      <c r="F101" s="238">
        <f t="shared" si="15"/>
        <v>3.325968509087187E-2</v>
      </c>
    </row>
    <row r="102" spans="1:7" ht="20.25" customHeight="1" x14ac:dyDescent="0.3">
      <c r="A102" s="235">
        <v>5</v>
      </c>
      <c r="B102" s="236" t="s">
        <v>373</v>
      </c>
      <c r="C102" s="239">
        <v>148</v>
      </c>
      <c r="D102" s="239">
        <v>143</v>
      </c>
      <c r="E102" s="239">
        <f t="shared" si="14"/>
        <v>-5</v>
      </c>
      <c r="F102" s="238">
        <f t="shared" si="15"/>
        <v>-3.3783783783783786E-2</v>
      </c>
    </row>
    <row r="103" spans="1:7" ht="20.25" customHeight="1" x14ac:dyDescent="0.3">
      <c r="A103" s="235">
        <v>6</v>
      </c>
      <c r="B103" s="236" t="s">
        <v>372</v>
      </c>
      <c r="C103" s="239">
        <v>329</v>
      </c>
      <c r="D103" s="239">
        <v>310</v>
      </c>
      <c r="E103" s="239">
        <f t="shared" si="14"/>
        <v>-19</v>
      </c>
      <c r="F103" s="238">
        <f t="shared" si="15"/>
        <v>-5.7750759878419454E-2</v>
      </c>
    </row>
    <row r="104" spans="1:7" ht="20.25" customHeight="1" x14ac:dyDescent="0.3">
      <c r="A104" s="235">
        <v>7</v>
      </c>
      <c r="B104" s="236" t="s">
        <v>438</v>
      </c>
      <c r="C104" s="239">
        <v>3544</v>
      </c>
      <c r="D104" s="239">
        <v>3651</v>
      </c>
      <c r="E104" s="239">
        <f t="shared" si="14"/>
        <v>107</v>
      </c>
      <c r="F104" s="238">
        <f t="shared" si="15"/>
        <v>3.0191873589164784E-2</v>
      </c>
    </row>
    <row r="105" spans="1:7" ht="20.25" customHeight="1" x14ac:dyDescent="0.3">
      <c r="A105" s="235">
        <v>8</v>
      </c>
      <c r="B105" s="236" t="s">
        <v>439</v>
      </c>
      <c r="C105" s="239">
        <v>2116</v>
      </c>
      <c r="D105" s="239">
        <v>2056</v>
      </c>
      <c r="E105" s="239">
        <f t="shared" si="14"/>
        <v>-60</v>
      </c>
      <c r="F105" s="238">
        <f t="shared" si="15"/>
        <v>-2.835538752362949E-2</v>
      </c>
    </row>
    <row r="106" spans="1:7" ht="20.25" customHeight="1" x14ac:dyDescent="0.3">
      <c r="A106" s="235">
        <v>9</v>
      </c>
      <c r="B106" s="236" t="s">
        <v>440</v>
      </c>
      <c r="C106" s="239">
        <v>39</v>
      </c>
      <c r="D106" s="239">
        <v>24</v>
      </c>
      <c r="E106" s="239">
        <f t="shared" si="14"/>
        <v>-15</v>
      </c>
      <c r="F106" s="238">
        <f t="shared" si="15"/>
        <v>-0.38461538461538464</v>
      </c>
    </row>
    <row r="107" spans="1:7" s="240" customFormat="1" ht="39.950000000000003" customHeight="1" x14ac:dyDescent="0.3">
      <c r="A107" s="245"/>
      <c r="B107" s="242" t="s">
        <v>441</v>
      </c>
      <c r="C107" s="243">
        <f>+C98+C100</f>
        <v>3536150</v>
      </c>
      <c r="D107" s="243">
        <f>+D98+D100</f>
        <v>3864554</v>
      </c>
      <c r="E107" s="243">
        <f t="shared" si="14"/>
        <v>328404</v>
      </c>
      <c r="F107" s="244">
        <f t="shared" si="15"/>
        <v>9.2870494747111967E-2</v>
      </c>
    </row>
    <row r="108" spans="1:7" s="240" customFormat="1" ht="39.950000000000003" customHeight="1" x14ac:dyDescent="0.3">
      <c r="A108" s="245"/>
      <c r="B108" s="242" t="s">
        <v>470</v>
      </c>
      <c r="C108" s="243">
        <f>+C99+C101</f>
        <v>1552003</v>
      </c>
      <c r="D108" s="243">
        <f>+D99+D101</f>
        <v>1549805</v>
      </c>
      <c r="E108" s="243">
        <f t="shared" si="14"/>
        <v>-2198</v>
      </c>
      <c r="F108" s="244">
        <f t="shared" si="15"/>
        <v>-1.4162343758356137E-3</v>
      </c>
    </row>
    <row r="109" spans="1:7" s="240" customFormat="1" ht="20.25" customHeight="1" x14ac:dyDescent="0.3">
      <c r="A109" s="682" t="s">
        <v>44</v>
      </c>
      <c r="B109" s="684" t="s">
        <v>478</v>
      </c>
      <c r="C109" s="686"/>
      <c r="D109" s="687"/>
      <c r="E109" s="687"/>
      <c r="F109" s="688"/>
      <c r="G109" s="212"/>
    </row>
    <row r="110" spans="1:7" ht="20.25" customHeight="1" x14ac:dyDescent="0.3">
      <c r="A110" s="683"/>
      <c r="B110" s="685"/>
      <c r="C110" s="679"/>
      <c r="D110" s="680"/>
      <c r="E110" s="680"/>
      <c r="F110" s="681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460</v>
      </c>
      <c r="C112" s="243">
        <f t="shared" ref="C112:D120" si="16">+C98+C86+C74+C62+C50+C38+C26+C14</f>
        <v>3301552</v>
      </c>
      <c r="D112" s="243">
        <f t="shared" si="16"/>
        <v>3180279</v>
      </c>
      <c r="E112" s="243">
        <f t="shared" ref="E112:E122" si="17">D112-C112</f>
        <v>-121273</v>
      </c>
      <c r="F112" s="244">
        <f t="shared" ref="F112:F122" si="18">IF(C112=0,0,E112/C112)</f>
        <v>-3.673211871265393E-2</v>
      </c>
    </row>
    <row r="113" spans="1:6" ht="20.25" customHeight="1" x14ac:dyDescent="0.3">
      <c r="A113" s="249"/>
      <c r="B113" s="250" t="s">
        <v>461</v>
      </c>
      <c r="C113" s="243">
        <f t="shared" si="16"/>
        <v>1641365</v>
      </c>
      <c r="D113" s="243">
        <f t="shared" si="16"/>
        <v>1441841</v>
      </c>
      <c r="E113" s="243">
        <f t="shared" si="17"/>
        <v>-199524</v>
      </c>
      <c r="F113" s="244">
        <f t="shared" si="18"/>
        <v>-0.12155979931337636</v>
      </c>
    </row>
    <row r="114" spans="1:6" ht="20.25" customHeight="1" x14ac:dyDescent="0.3">
      <c r="A114" s="249"/>
      <c r="B114" s="250" t="s">
        <v>462</v>
      </c>
      <c r="C114" s="243">
        <f t="shared" si="16"/>
        <v>12072242</v>
      </c>
      <c r="D114" s="243">
        <f t="shared" si="16"/>
        <v>13581110</v>
      </c>
      <c r="E114" s="243">
        <f t="shared" si="17"/>
        <v>1508868</v>
      </c>
      <c r="F114" s="244">
        <f t="shared" si="18"/>
        <v>0.12498656007724165</v>
      </c>
    </row>
    <row r="115" spans="1:6" ht="20.25" customHeight="1" x14ac:dyDescent="0.3">
      <c r="A115" s="249"/>
      <c r="B115" s="250" t="s">
        <v>463</v>
      </c>
      <c r="C115" s="243">
        <f t="shared" si="16"/>
        <v>4939087</v>
      </c>
      <c r="D115" s="243">
        <f t="shared" si="16"/>
        <v>5239897</v>
      </c>
      <c r="E115" s="243">
        <f t="shared" si="17"/>
        <v>300810</v>
      </c>
      <c r="F115" s="244">
        <f t="shared" si="18"/>
        <v>6.0903968688950004E-2</v>
      </c>
    </row>
    <row r="116" spans="1:6" ht="20.25" customHeight="1" x14ac:dyDescent="0.3">
      <c r="A116" s="249"/>
      <c r="B116" s="250" t="s">
        <v>464</v>
      </c>
      <c r="C116" s="252">
        <f t="shared" si="16"/>
        <v>564</v>
      </c>
      <c r="D116" s="252">
        <f t="shared" si="16"/>
        <v>466</v>
      </c>
      <c r="E116" s="252">
        <f t="shared" si="17"/>
        <v>-98</v>
      </c>
      <c r="F116" s="244">
        <f t="shared" si="18"/>
        <v>-0.17375886524822695</v>
      </c>
    </row>
    <row r="117" spans="1:6" ht="20.25" customHeight="1" x14ac:dyDescent="0.3">
      <c r="A117" s="249"/>
      <c r="B117" s="250" t="s">
        <v>465</v>
      </c>
      <c r="C117" s="252">
        <f t="shared" si="16"/>
        <v>1619</v>
      </c>
      <c r="D117" s="252">
        <f t="shared" si="16"/>
        <v>1179</v>
      </c>
      <c r="E117" s="252">
        <f t="shared" si="17"/>
        <v>-440</v>
      </c>
      <c r="F117" s="244">
        <f t="shared" si="18"/>
        <v>-0.27177269919703523</v>
      </c>
    </row>
    <row r="118" spans="1:6" ht="39.950000000000003" customHeight="1" x14ac:dyDescent="0.3">
      <c r="A118" s="249"/>
      <c r="B118" s="250" t="s">
        <v>466</v>
      </c>
      <c r="C118" s="252">
        <f t="shared" si="16"/>
        <v>15980</v>
      </c>
      <c r="D118" s="252">
        <f t="shared" si="16"/>
        <v>16429</v>
      </c>
      <c r="E118" s="252">
        <f t="shared" si="17"/>
        <v>449</v>
      </c>
      <c r="F118" s="244">
        <f t="shared" si="18"/>
        <v>2.8097622027534418E-2</v>
      </c>
    </row>
    <row r="119" spans="1:6" ht="39.950000000000003" customHeight="1" x14ac:dyDescent="0.3">
      <c r="A119" s="249"/>
      <c r="B119" s="250" t="s">
        <v>467</v>
      </c>
      <c r="C119" s="252">
        <f t="shared" si="16"/>
        <v>6778</v>
      </c>
      <c r="D119" s="252">
        <f t="shared" si="16"/>
        <v>6668</v>
      </c>
      <c r="E119" s="252">
        <f t="shared" si="17"/>
        <v>-110</v>
      </c>
      <c r="F119" s="244">
        <f t="shared" si="18"/>
        <v>-1.6228976099144289E-2</v>
      </c>
    </row>
    <row r="120" spans="1:6" ht="39.950000000000003" customHeight="1" x14ac:dyDescent="0.3">
      <c r="A120" s="249"/>
      <c r="B120" s="250" t="s">
        <v>468</v>
      </c>
      <c r="C120" s="252">
        <f t="shared" si="16"/>
        <v>172</v>
      </c>
      <c r="D120" s="252">
        <f t="shared" si="16"/>
        <v>127</v>
      </c>
      <c r="E120" s="252">
        <f t="shared" si="17"/>
        <v>-45</v>
      </c>
      <c r="F120" s="244">
        <f t="shared" si="18"/>
        <v>-0.26162790697674421</v>
      </c>
    </row>
    <row r="121" spans="1:6" ht="39.950000000000003" customHeight="1" x14ac:dyDescent="0.3">
      <c r="A121" s="249"/>
      <c r="B121" s="242" t="s">
        <v>441</v>
      </c>
      <c r="C121" s="243">
        <f>+C112+C114</f>
        <v>15373794</v>
      </c>
      <c r="D121" s="243">
        <f>+D112+D114</f>
        <v>16761389</v>
      </c>
      <c r="E121" s="243">
        <f t="shared" si="17"/>
        <v>1387595</v>
      </c>
      <c r="F121" s="244">
        <f t="shared" si="18"/>
        <v>9.025716098446486E-2</v>
      </c>
    </row>
    <row r="122" spans="1:6" ht="39.950000000000003" customHeight="1" x14ac:dyDescent="0.3">
      <c r="A122" s="249"/>
      <c r="B122" s="242" t="s">
        <v>470</v>
      </c>
      <c r="C122" s="243">
        <f>+C113+C115</f>
        <v>6580452</v>
      </c>
      <c r="D122" s="243">
        <f>+D113+D115</f>
        <v>6681738</v>
      </c>
      <c r="E122" s="243">
        <f t="shared" si="17"/>
        <v>101286</v>
      </c>
      <c r="F122" s="244">
        <f t="shared" si="18"/>
        <v>1.539195179905575E-2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/>
  <headerFooter>
    <oddHeader>&amp;LOFFICE OF HEALTH CARE ACCESS&amp;CTWELVE MONTHS ACTUAL FILING&amp;RCHARLOTTE HUNGERFORD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479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480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5456105</v>
      </c>
      <c r="D13" s="23">
        <v>8455576</v>
      </c>
      <c r="E13" s="23">
        <f t="shared" ref="E13:E22" si="0">D13-C13</f>
        <v>2999471</v>
      </c>
      <c r="F13" s="24">
        <f t="shared" ref="F13:F22" si="1">IF(C13=0,0,E13/C13)</f>
        <v>0.54974583516996101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35.1" customHeight="1" x14ac:dyDescent="0.2">
      <c r="A15" s="21">
        <v>3</v>
      </c>
      <c r="B15" s="22" t="s">
        <v>18</v>
      </c>
      <c r="C15" s="23">
        <v>9573323</v>
      </c>
      <c r="D15" s="23">
        <v>11144540</v>
      </c>
      <c r="E15" s="23">
        <f t="shared" si="0"/>
        <v>1571217</v>
      </c>
      <c r="F15" s="24">
        <f t="shared" si="1"/>
        <v>0.16412451559401056</v>
      </c>
    </row>
    <row r="16" spans="1:8" ht="35.1" customHeight="1" x14ac:dyDescent="0.2">
      <c r="A16" s="21">
        <v>4</v>
      </c>
      <c r="B16" s="22" t="s">
        <v>19</v>
      </c>
      <c r="C16" s="23">
        <v>0</v>
      </c>
      <c r="D16" s="23">
        <v>0</v>
      </c>
      <c r="E16" s="23">
        <f t="shared" si="0"/>
        <v>0</v>
      </c>
      <c r="F16" s="24">
        <f t="shared" si="1"/>
        <v>0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1079437</v>
      </c>
      <c r="D18" s="23">
        <v>1516187</v>
      </c>
      <c r="E18" s="23">
        <f t="shared" si="0"/>
        <v>436750</v>
      </c>
      <c r="F18" s="24">
        <f t="shared" si="1"/>
        <v>0.40460906935745206</v>
      </c>
    </row>
    <row r="19" spans="1:11" ht="24" customHeight="1" x14ac:dyDescent="0.2">
      <c r="A19" s="21">
        <v>7</v>
      </c>
      <c r="B19" s="22" t="s">
        <v>22</v>
      </c>
      <c r="C19" s="23">
        <v>1886150</v>
      </c>
      <c r="D19" s="23">
        <v>1994112</v>
      </c>
      <c r="E19" s="23">
        <f t="shared" si="0"/>
        <v>107962</v>
      </c>
      <c r="F19" s="24">
        <f t="shared" si="1"/>
        <v>5.7239349998674548E-2</v>
      </c>
    </row>
    <row r="20" spans="1:11" ht="24" customHeight="1" x14ac:dyDescent="0.2">
      <c r="A20" s="21">
        <v>8</v>
      </c>
      <c r="B20" s="22" t="s">
        <v>23</v>
      </c>
      <c r="C20" s="23">
        <v>0</v>
      </c>
      <c r="D20" s="23">
        <v>0</v>
      </c>
      <c r="E20" s="23">
        <f t="shared" si="0"/>
        <v>0</v>
      </c>
      <c r="F20" s="24">
        <f t="shared" si="1"/>
        <v>0</v>
      </c>
    </row>
    <row r="21" spans="1:11" ht="24" customHeight="1" x14ac:dyDescent="0.2">
      <c r="A21" s="21">
        <v>9</v>
      </c>
      <c r="B21" s="22" t="s">
        <v>24</v>
      </c>
      <c r="C21" s="23">
        <v>2419887</v>
      </c>
      <c r="D21" s="23">
        <v>2360864</v>
      </c>
      <c r="E21" s="23">
        <f t="shared" si="0"/>
        <v>-59023</v>
      </c>
      <c r="F21" s="24">
        <f t="shared" si="1"/>
        <v>-2.4390808331132819E-2</v>
      </c>
    </row>
    <row r="22" spans="1:11" ht="24" customHeight="1" x14ac:dyDescent="0.25">
      <c r="A22" s="25"/>
      <c r="B22" s="26" t="s">
        <v>25</v>
      </c>
      <c r="C22" s="27">
        <f>SUM(C13:C21)</f>
        <v>20414902</v>
      </c>
      <c r="D22" s="27">
        <f>SUM(D13:D21)</f>
        <v>25471279</v>
      </c>
      <c r="E22" s="27">
        <f t="shared" si="0"/>
        <v>5056377</v>
      </c>
      <c r="F22" s="28">
        <f t="shared" si="1"/>
        <v>0.24768068933174403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16662242</v>
      </c>
      <c r="D25" s="23">
        <v>16087230</v>
      </c>
      <c r="E25" s="23">
        <f>D25-C25</f>
        <v>-575012</v>
      </c>
      <c r="F25" s="24">
        <f>IF(C25=0,0,E25/C25)</f>
        <v>-3.450988168338931E-2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277118</v>
      </c>
      <c r="D27" s="23">
        <v>288839</v>
      </c>
      <c r="E27" s="23">
        <f>D27-C27</f>
        <v>11721</v>
      </c>
      <c r="F27" s="24">
        <f>IF(C27=0,0,E27/C27)</f>
        <v>4.2296061605525445E-2</v>
      </c>
    </row>
    <row r="28" spans="1:11" ht="35.1" customHeight="1" x14ac:dyDescent="0.2">
      <c r="A28" s="21">
        <v>4</v>
      </c>
      <c r="B28" s="22" t="s">
        <v>31</v>
      </c>
      <c r="C28" s="23">
        <v>6732834</v>
      </c>
      <c r="D28" s="23">
        <v>6563036</v>
      </c>
      <c r="E28" s="23">
        <f>D28-C28</f>
        <v>-169798</v>
      </c>
      <c r="F28" s="24">
        <f>IF(C28=0,0,E28/C28)</f>
        <v>-2.5219394982855661E-2</v>
      </c>
    </row>
    <row r="29" spans="1:11" ht="35.1" customHeight="1" x14ac:dyDescent="0.25">
      <c r="A29" s="25"/>
      <c r="B29" s="26" t="s">
        <v>32</v>
      </c>
      <c r="C29" s="27">
        <f>SUM(C25:C28)</f>
        <v>23672194</v>
      </c>
      <c r="D29" s="27">
        <f>SUM(D25:D28)</f>
        <v>22939105</v>
      </c>
      <c r="E29" s="27">
        <f>D29-C29</f>
        <v>-733089</v>
      </c>
      <c r="F29" s="28">
        <f>IF(C29=0,0,E29/C29)</f>
        <v>-3.0968358910880841E-2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30690384</v>
      </c>
      <c r="D32" s="23">
        <v>28762329</v>
      </c>
      <c r="E32" s="23">
        <f>D32-C32</f>
        <v>-1928055</v>
      </c>
      <c r="F32" s="24">
        <f>IF(C32=0,0,E32/C32)</f>
        <v>-6.2822772109987282E-2</v>
      </c>
    </row>
    <row r="33" spans="1:8" ht="24" customHeight="1" x14ac:dyDescent="0.2">
      <c r="A33" s="21">
        <v>7</v>
      </c>
      <c r="B33" s="22" t="s">
        <v>35</v>
      </c>
      <c r="C33" s="23">
        <v>1339349</v>
      </c>
      <c r="D33" s="23">
        <v>1677378</v>
      </c>
      <c r="E33" s="23">
        <f>D33-C33</f>
        <v>338029</v>
      </c>
      <c r="F33" s="24">
        <f>IF(C33=0,0,E33/C33)</f>
        <v>0.25238306072577049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137226848</v>
      </c>
      <c r="D36" s="23">
        <v>141431820</v>
      </c>
      <c r="E36" s="23">
        <f>D36-C36</f>
        <v>4204972</v>
      </c>
      <c r="F36" s="24">
        <f>IF(C36=0,0,E36/C36)</f>
        <v>3.0642487685791631E-2</v>
      </c>
    </row>
    <row r="37" spans="1:8" ht="24" customHeight="1" x14ac:dyDescent="0.2">
      <c r="A37" s="21">
        <v>2</v>
      </c>
      <c r="B37" s="22" t="s">
        <v>39</v>
      </c>
      <c r="C37" s="23">
        <v>96582714</v>
      </c>
      <c r="D37" s="23">
        <v>102493235</v>
      </c>
      <c r="E37" s="23">
        <f>D37-C37</f>
        <v>5910521</v>
      </c>
      <c r="F37" s="23">
        <f>IF(C37=0,0,E37/C37)</f>
        <v>6.1196468345256896E-2</v>
      </c>
    </row>
    <row r="38" spans="1:8" ht="24" customHeight="1" x14ac:dyDescent="0.25">
      <c r="A38" s="25"/>
      <c r="B38" s="26" t="s">
        <v>40</v>
      </c>
      <c r="C38" s="27">
        <f>C36-C37</f>
        <v>40644134</v>
      </c>
      <c r="D38" s="27">
        <f>D36-D37</f>
        <v>38938585</v>
      </c>
      <c r="E38" s="27">
        <f>D38-C38</f>
        <v>-1705549</v>
      </c>
      <c r="F38" s="28">
        <f>IF(C38=0,0,E38/C38)</f>
        <v>-4.1962980438948458E-2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918096</v>
      </c>
      <c r="D40" s="23">
        <v>1037834</v>
      </c>
      <c r="E40" s="23">
        <f>D40-C40</f>
        <v>119738</v>
      </c>
      <c r="F40" s="24">
        <f>IF(C40=0,0,E40/C40)</f>
        <v>0.13041991251459542</v>
      </c>
    </row>
    <row r="41" spans="1:8" ht="24" customHeight="1" x14ac:dyDescent="0.25">
      <c r="A41" s="25"/>
      <c r="B41" s="26" t="s">
        <v>42</v>
      </c>
      <c r="C41" s="27">
        <f>+C38+C40</f>
        <v>41562230</v>
      </c>
      <c r="D41" s="27">
        <f>+D38+D40</f>
        <v>39976419</v>
      </c>
      <c r="E41" s="27">
        <f>D41-C41</f>
        <v>-1585811</v>
      </c>
      <c r="F41" s="28">
        <f>IF(C41=0,0,E41/C41)</f>
        <v>-3.8155098992522778E-2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117679059</v>
      </c>
      <c r="D43" s="27">
        <f>D22+D29+D31+D32+D33+D41</f>
        <v>118826510</v>
      </c>
      <c r="E43" s="27">
        <f>D43-C43</f>
        <v>1147451</v>
      </c>
      <c r="F43" s="28">
        <f>IF(C43=0,0,E43/C43)</f>
        <v>9.7506813000603609E-3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4439653</v>
      </c>
      <c r="D49" s="23">
        <v>5509809</v>
      </c>
      <c r="E49" s="23">
        <f t="shared" ref="E49:E56" si="2">D49-C49</f>
        <v>1070156</v>
      </c>
      <c r="F49" s="24">
        <f t="shared" ref="F49:F56" si="3">IF(C49=0,0,E49/C49)</f>
        <v>0.24104496455015742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3018603</v>
      </c>
      <c r="D50" s="23">
        <v>3433272</v>
      </c>
      <c r="E50" s="23">
        <f t="shared" si="2"/>
        <v>414669</v>
      </c>
      <c r="F50" s="24">
        <f t="shared" si="3"/>
        <v>0.13737116142798506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2034000</v>
      </c>
      <c r="D51" s="23">
        <v>1693818</v>
      </c>
      <c r="E51" s="23">
        <f t="shared" si="2"/>
        <v>-340182</v>
      </c>
      <c r="F51" s="24">
        <f t="shared" si="3"/>
        <v>-0.16724778761061948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1120000</v>
      </c>
      <c r="D53" s="23">
        <v>1155000</v>
      </c>
      <c r="E53" s="23">
        <f t="shared" si="2"/>
        <v>35000</v>
      </c>
      <c r="F53" s="24">
        <f t="shared" si="3"/>
        <v>3.125E-2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233895</v>
      </c>
      <c r="D54" s="23">
        <v>186190</v>
      </c>
      <c r="E54" s="23">
        <f t="shared" si="2"/>
        <v>-47705</v>
      </c>
      <c r="F54" s="24">
        <f t="shared" si="3"/>
        <v>-0.20395904145022339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5718436</v>
      </c>
      <c r="D55" s="23">
        <v>7183569</v>
      </c>
      <c r="E55" s="23">
        <f t="shared" si="2"/>
        <v>1465133</v>
      </c>
      <c r="F55" s="24">
        <f t="shared" si="3"/>
        <v>0.25621218808779184</v>
      </c>
    </row>
    <row r="56" spans="1:6" ht="24" customHeight="1" x14ac:dyDescent="0.25">
      <c r="A56" s="25"/>
      <c r="B56" s="26" t="s">
        <v>54</v>
      </c>
      <c r="C56" s="27">
        <f>SUM(C49:C55)</f>
        <v>16564587</v>
      </c>
      <c r="D56" s="27">
        <f>SUM(D49:D55)</f>
        <v>19161658</v>
      </c>
      <c r="E56" s="27">
        <f t="shared" si="2"/>
        <v>2597071</v>
      </c>
      <c r="F56" s="28">
        <f t="shared" si="3"/>
        <v>0.15678453075829782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2355000</v>
      </c>
      <c r="D59" s="23">
        <v>1200000</v>
      </c>
      <c r="E59" s="23">
        <f>D59-C59</f>
        <v>-1155000</v>
      </c>
      <c r="F59" s="24">
        <f>IF(C59=0,0,E59/C59)</f>
        <v>-0.49044585987261147</v>
      </c>
    </row>
    <row r="60" spans="1:6" ht="24" customHeight="1" x14ac:dyDescent="0.2">
      <c r="A60" s="21">
        <v>2</v>
      </c>
      <c r="B60" s="22" t="s">
        <v>57</v>
      </c>
      <c r="C60" s="23">
        <v>3667950</v>
      </c>
      <c r="D60" s="23">
        <v>3424338</v>
      </c>
      <c r="E60" s="23">
        <f>D60-C60</f>
        <v>-243612</v>
      </c>
      <c r="F60" s="24">
        <f>IF(C60=0,0,E60/C60)</f>
        <v>-6.6416390626916941E-2</v>
      </c>
    </row>
    <row r="61" spans="1:6" ht="24" customHeight="1" x14ac:dyDescent="0.25">
      <c r="A61" s="25"/>
      <c r="B61" s="26" t="s">
        <v>58</v>
      </c>
      <c r="C61" s="27">
        <f>SUM(C59:C60)</f>
        <v>6022950</v>
      </c>
      <c r="D61" s="27">
        <f>SUM(D59:D60)</f>
        <v>4624338</v>
      </c>
      <c r="E61" s="27">
        <f>D61-C61</f>
        <v>-1398612</v>
      </c>
      <c r="F61" s="28">
        <f>IF(C61=0,0,E61/C61)</f>
        <v>-0.2322137822827684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33995533</v>
      </c>
      <c r="D63" s="23">
        <v>26422971</v>
      </c>
      <c r="E63" s="23">
        <f>D63-C63</f>
        <v>-7572562</v>
      </c>
      <c r="F63" s="24">
        <f>IF(C63=0,0,E63/C63)</f>
        <v>-0.22275167740420485</v>
      </c>
    </row>
    <row r="64" spans="1:6" ht="24" customHeight="1" x14ac:dyDescent="0.2">
      <c r="A64" s="21">
        <v>4</v>
      </c>
      <c r="B64" s="22" t="s">
        <v>60</v>
      </c>
      <c r="C64" s="23">
        <v>2554405</v>
      </c>
      <c r="D64" s="23">
        <v>2631693</v>
      </c>
      <c r="E64" s="23">
        <f>D64-C64</f>
        <v>77288</v>
      </c>
      <c r="F64" s="24">
        <f>IF(C64=0,0,E64/C64)</f>
        <v>3.0256752550985453E-2</v>
      </c>
    </row>
    <row r="65" spans="1:6" ht="24" customHeight="1" x14ac:dyDescent="0.25">
      <c r="A65" s="25"/>
      <c r="B65" s="26" t="s">
        <v>61</v>
      </c>
      <c r="C65" s="27">
        <f>SUM(C61:C64)</f>
        <v>42572888</v>
      </c>
      <c r="D65" s="27">
        <f>SUM(D61:D64)</f>
        <v>33679002</v>
      </c>
      <c r="E65" s="27">
        <f>D65-C65</f>
        <v>-8893886</v>
      </c>
      <c r="F65" s="28">
        <f>IF(C65=0,0,E65/C65)</f>
        <v>-0.20890962342042663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39188881</v>
      </c>
      <c r="D70" s="23">
        <v>47062165</v>
      </c>
      <c r="E70" s="23">
        <f>D70-C70</f>
        <v>7873284</v>
      </c>
      <c r="F70" s="24">
        <f>IF(C70=0,0,E70/C70)</f>
        <v>0.20090606822889381</v>
      </c>
    </row>
    <row r="71" spans="1:6" ht="24" customHeight="1" x14ac:dyDescent="0.2">
      <c r="A71" s="21">
        <v>2</v>
      </c>
      <c r="B71" s="22" t="s">
        <v>65</v>
      </c>
      <c r="C71" s="23">
        <v>2980453</v>
      </c>
      <c r="D71" s="23">
        <v>2810655</v>
      </c>
      <c r="E71" s="23">
        <f>D71-C71</f>
        <v>-169798</v>
      </c>
      <c r="F71" s="24">
        <f>IF(C71=0,0,E71/C71)</f>
        <v>-5.6970534344946894E-2</v>
      </c>
    </row>
    <row r="72" spans="1:6" ht="24" customHeight="1" x14ac:dyDescent="0.2">
      <c r="A72" s="21">
        <v>3</v>
      </c>
      <c r="B72" s="22" t="s">
        <v>66</v>
      </c>
      <c r="C72" s="23">
        <v>16372250</v>
      </c>
      <c r="D72" s="23">
        <v>16113030</v>
      </c>
      <c r="E72" s="23">
        <f>D72-C72</f>
        <v>-259220</v>
      </c>
      <c r="F72" s="24">
        <f>IF(C72=0,0,E72/C72)</f>
        <v>-1.583288796591794E-2</v>
      </c>
    </row>
    <row r="73" spans="1:6" ht="24" customHeight="1" x14ac:dyDescent="0.25">
      <c r="A73" s="21"/>
      <c r="B73" s="26" t="s">
        <v>67</v>
      </c>
      <c r="C73" s="27">
        <f>SUM(C70:C72)</f>
        <v>58541584</v>
      </c>
      <c r="D73" s="27">
        <f>SUM(D70:D72)</f>
        <v>65985850</v>
      </c>
      <c r="E73" s="27">
        <f>D73-C73</f>
        <v>7444266</v>
      </c>
      <c r="F73" s="28">
        <f>IF(C73=0,0,E73/C73)</f>
        <v>0.12716201871134883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117679059</v>
      </c>
      <c r="D75" s="27">
        <f>D56+D65+D67+D73</f>
        <v>118826510</v>
      </c>
      <c r="E75" s="27">
        <f>D75-C75</f>
        <v>1147451</v>
      </c>
      <c r="F75" s="28">
        <f>IF(C75=0,0,E75/C75)</f>
        <v>9.7506813000603609E-3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/>
  <headerFooter>
    <oddHeader>&amp;LOFFICE OF HEALTH CARE ACCESS&amp;CTWELVE MONTHS ACTUAL FILING&amp;RTHE CHARLOTTE HUNGERFORD HOSPITAL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479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481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188869807</v>
      </c>
      <c r="D12" s="51">
        <v>208629597</v>
      </c>
      <c r="E12" s="51">
        <f t="shared" ref="E12:E19" si="0">D12-C12</f>
        <v>19759790</v>
      </c>
      <c r="F12" s="70">
        <f t="shared" ref="F12:F19" si="1">IF(C12=0,0,E12/C12)</f>
        <v>0.10462122196164472</v>
      </c>
    </row>
    <row r="13" spans="1:8" ht="23.1" customHeight="1" x14ac:dyDescent="0.2">
      <c r="A13" s="25">
        <v>2</v>
      </c>
      <c r="B13" s="48" t="s">
        <v>72</v>
      </c>
      <c r="C13" s="51">
        <v>83689827</v>
      </c>
      <c r="D13" s="51">
        <v>97340958</v>
      </c>
      <c r="E13" s="51">
        <f t="shared" si="0"/>
        <v>13651131</v>
      </c>
      <c r="F13" s="70">
        <f t="shared" si="1"/>
        <v>0.16311577511087458</v>
      </c>
    </row>
    <row r="14" spans="1:8" ht="23.1" customHeight="1" x14ac:dyDescent="0.2">
      <c r="A14" s="25">
        <v>3</v>
      </c>
      <c r="B14" s="48" t="s">
        <v>73</v>
      </c>
      <c r="C14" s="51">
        <v>1421695</v>
      </c>
      <c r="D14" s="51">
        <v>1718922</v>
      </c>
      <c r="E14" s="51">
        <f t="shared" si="0"/>
        <v>297227</v>
      </c>
      <c r="F14" s="70">
        <f t="shared" si="1"/>
        <v>0.20906523551113285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103758285</v>
      </c>
      <c r="D16" s="27">
        <f>D12-D13-D14-D15</f>
        <v>109569717</v>
      </c>
      <c r="E16" s="27">
        <f t="shared" si="0"/>
        <v>5811432</v>
      </c>
      <c r="F16" s="28">
        <f t="shared" si="1"/>
        <v>5.6009329760992099E-2</v>
      </c>
    </row>
    <row r="17" spans="1:7" ht="23.1" customHeight="1" x14ac:dyDescent="0.2">
      <c r="A17" s="25">
        <v>5</v>
      </c>
      <c r="B17" s="48" t="s">
        <v>76</v>
      </c>
      <c r="C17" s="51">
        <v>5283033</v>
      </c>
      <c r="D17" s="51">
        <v>4949386</v>
      </c>
      <c r="E17" s="51">
        <f t="shared" si="0"/>
        <v>-333647</v>
      </c>
      <c r="F17" s="70">
        <f t="shared" si="1"/>
        <v>-6.3154441776153966E-2</v>
      </c>
      <c r="G17" s="64"/>
    </row>
    <row r="18" spans="1:7" ht="33" customHeight="1" x14ac:dyDescent="0.2">
      <c r="A18" s="25">
        <v>6</v>
      </c>
      <c r="B18" s="45" t="s">
        <v>77</v>
      </c>
      <c r="C18" s="51">
        <v>0</v>
      </c>
      <c r="D18" s="51">
        <v>0</v>
      </c>
      <c r="E18" s="51">
        <f t="shared" si="0"/>
        <v>0</v>
      </c>
      <c r="F18" s="70">
        <f t="shared" si="1"/>
        <v>0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109041318</v>
      </c>
      <c r="D19" s="27">
        <f>SUM(D16:D18)</f>
        <v>114519103</v>
      </c>
      <c r="E19" s="27">
        <f t="shared" si="0"/>
        <v>5477785</v>
      </c>
      <c r="F19" s="28">
        <f t="shared" si="1"/>
        <v>5.0235865637647557E-2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49259969</v>
      </c>
      <c r="D22" s="51">
        <v>51728193</v>
      </c>
      <c r="E22" s="51">
        <f t="shared" ref="E22:E31" si="2">D22-C22</f>
        <v>2468224</v>
      </c>
      <c r="F22" s="70">
        <f t="shared" ref="F22:F31" si="3">IF(C22=0,0,E22/C22)</f>
        <v>5.0106081065540257E-2</v>
      </c>
    </row>
    <row r="23" spans="1:7" ht="23.1" customHeight="1" x14ac:dyDescent="0.2">
      <c r="A23" s="25">
        <v>2</v>
      </c>
      <c r="B23" s="48" t="s">
        <v>81</v>
      </c>
      <c r="C23" s="51">
        <v>15643996</v>
      </c>
      <c r="D23" s="51">
        <v>15812664</v>
      </c>
      <c r="E23" s="51">
        <f t="shared" si="2"/>
        <v>168668</v>
      </c>
      <c r="F23" s="70">
        <f t="shared" si="3"/>
        <v>1.0781644280655658E-2</v>
      </c>
    </row>
    <row r="24" spans="1:7" ht="23.1" customHeight="1" x14ac:dyDescent="0.2">
      <c r="A24" s="25">
        <v>3</v>
      </c>
      <c r="B24" s="48" t="s">
        <v>82</v>
      </c>
      <c r="C24" s="51">
        <v>1154344</v>
      </c>
      <c r="D24" s="51">
        <v>1707737</v>
      </c>
      <c r="E24" s="51">
        <f t="shared" si="2"/>
        <v>553393</v>
      </c>
      <c r="F24" s="70">
        <f t="shared" si="3"/>
        <v>0.47940042136486177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12766918</v>
      </c>
      <c r="D25" s="51">
        <v>13208881</v>
      </c>
      <c r="E25" s="51">
        <f t="shared" si="2"/>
        <v>441963</v>
      </c>
      <c r="F25" s="70">
        <f t="shared" si="3"/>
        <v>3.4617830239060045E-2</v>
      </c>
    </row>
    <row r="26" spans="1:7" ht="23.1" customHeight="1" x14ac:dyDescent="0.2">
      <c r="A26" s="25">
        <v>5</v>
      </c>
      <c r="B26" s="48" t="s">
        <v>84</v>
      </c>
      <c r="C26" s="51">
        <v>6177041</v>
      </c>
      <c r="D26" s="51">
        <v>6178082</v>
      </c>
      <c r="E26" s="51">
        <f t="shared" si="2"/>
        <v>1041</v>
      </c>
      <c r="F26" s="70">
        <f t="shared" si="3"/>
        <v>1.6852729324607041E-4</v>
      </c>
    </row>
    <row r="27" spans="1:7" ht="23.1" customHeight="1" x14ac:dyDescent="0.2">
      <c r="A27" s="25">
        <v>6</v>
      </c>
      <c r="B27" s="48" t="s">
        <v>85</v>
      </c>
      <c r="C27" s="51">
        <v>2413649</v>
      </c>
      <c r="D27" s="51">
        <v>2129955</v>
      </c>
      <c r="E27" s="51">
        <f t="shared" si="2"/>
        <v>-283694</v>
      </c>
      <c r="F27" s="70">
        <f t="shared" si="3"/>
        <v>-0.11753738841065954</v>
      </c>
    </row>
    <row r="28" spans="1:7" ht="23.1" customHeight="1" x14ac:dyDescent="0.2">
      <c r="A28" s="25">
        <v>7</v>
      </c>
      <c r="B28" s="48" t="s">
        <v>86</v>
      </c>
      <c r="C28" s="51">
        <v>374299</v>
      </c>
      <c r="D28" s="51">
        <v>308286</v>
      </c>
      <c r="E28" s="51">
        <f t="shared" si="2"/>
        <v>-66013</v>
      </c>
      <c r="F28" s="70">
        <f t="shared" si="3"/>
        <v>-0.17636435042572915</v>
      </c>
    </row>
    <row r="29" spans="1:7" ht="23.1" customHeight="1" x14ac:dyDescent="0.2">
      <c r="A29" s="25">
        <v>8</v>
      </c>
      <c r="B29" s="48" t="s">
        <v>87</v>
      </c>
      <c r="C29" s="51">
        <v>1579190</v>
      </c>
      <c r="D29" s="51">
        <v>2111635</v>
      </c>
      <c r="E29" s="51">
        <f t="shared" si="2"/>
        <v>532445</v>
      </c>
      <c r="F29" s="70">
        <f t="shared" si="3"/>
        <v>0.33716335589764374</v>
      </c>
    </row>
    <row r="30" spans="1:7" ht="23.1" customHeight="1" x14ac:dyDescent="0.2">
      <c r="A30" s="25">
        <v>9</v>
      </c>
      <c r="B30" s="48" t="s">
        <v>88</v>
      </c>
      <c r="C30" s="51">
        <v>20455779</v>
      </c>
      <c r="D30" s="51">
        <v>20695334</v>
      </c>
      <c r="E30" s="51">
        <f t="shared" si="2"/>
        <v>239555</v>
      </c>
      <c r="F30" s="70">
        <f t="shared" si="3"/>
        <v>1.1710871534151792E-2</v>
      </c>
    </row>
    <row r="31" spans="1:7" ht="23.1" customHeight="1" x14ac:dyDescent="0.25">
      <c r="A31" s="29"/>
      <c r="B31" s="71" t="s">
        <v>89</v>
      </c>
      <c r="C31" s="27">
        <f>SUM(C22:C30)</f>
        <v>109825185</v>
      </c>
      <c r="D31" s="27">
        <f>SUM(D22:D30)</f>
        <v>113880767</v>
      </c>
      <c r="E31" s="27">
        <f t="shared" si="2"/>
        <v>4055582</v>
      </c>
      <c r="F31" s="28">
        <f t="shared" si="3"/>
        <v>3.6927613643446176E-2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-783867</v>
      </c>
      <c r="D33" s="27">
        <f>+D19-D31</f>
        <v>638336</v>
      </c>
      <c r="E33" s="27">
        <f>D33-C33</f>
        <v>1422203</v>
      </c>
      <c r="F33" s="28">
        <f>IF(C33=0,0,E33/C33)</f>
        <v>-1.8143422289750686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1996464</v>
      </c>
      <c r="D36" s="51">
        <v>1496290</v>
      </c>
      <c r="E36" s="51">
        <f>D36-C36</f>
        <v>-500174</v>
      </c>
      <c r="F36" s="70">
        <f>IF(C36=0,0,E36/C36)</f>
        <v>-0.25052993692848957</v>
      </c>
    </row>
    <row r="37" spans="1:6" ht="23.1" customHeight="1" x14ac:dyDescent="0.2">
      <c r="A37" s="44">
        <v>2</v>
      </c>
      <c r="B37" s="48" t="s">
        <v>93</v>
      </c>
      <c r="C37" s="51">
        <v>127644</v>
      </c>
      <c r="D37" s="51">
        <v>405765</v>
      </c>
      <c r="E37" s="51">
        <f>D37-C37</f>
        <v>278121</v>
      </c>
      <c r="F37" s="70">
        <f>IF(C37=0,0,E37/C37)</f>
        <v>2.1788803233994547</v>
      </c>
    </row>
    <row r="38" spans="1:6" ht="23.1" customHeight="1" x14ac:dyDescent="0.2">
      <c r="A38" s="44">
        <v>3</v>
      </c>
      <c r="B38" s="48" t="s">
        <v>94</v>
      </c>
      <c r="C38" s="51">
        <v>119337</v>
      </c>
      <c r="D38" s="51">
        <v>109058</v>
      </c>
      <c r="E38" s="51">
        <f>D38-C38</f>
        <v>-10279</v>
      </c>
      <c r="F38" s="70">
        <f>IF(C38=0,0,E38/C38)</f>
        <v>-8.613422492604976E-2</v>
      </c>
    </row>
    <row r="39" spans="1:6" ht="23.1" customHeight="1" x14ac:dyDescent="0.25">
      <c r="A39" s="20"/>
      <c r="B39" s="71" t="s">
        <v>95</v>
      </c>
      <c r="C39" s="27">
        <f>SUM(C36:C38)</f>
        <v>2243445</v>
      </c>
      <c r="D39" s="27">
        <f>SUM(D36:D38)</f>
        <v>2011113</v>
      </c>
      <c r="E39" s="27">
        <f>D39-C39</f>
        <v>-232332</v>
      </c>
      <c r="F39" s="28">
        <f>IF(C39=0,0,E39/C39)</f>
        <v>-0.10356037255203493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1459578</v>
      </c>
      <c r="D41" s="27">
        <f>D33+D39</f>
        <v>2649449</v>
      </c>
      <c r="E41" s="27">
        <f>D41-C41</f>
        <v>1189871</v>
      </c>
      <c r="F41" s="28">
        <f>IF(C41=0,0,E41/C41)</f>
        <v>0.81521576784522654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1459578</v>
      </c>
      <c r="D48" s="27">
        <f>D41+D46</f>
        <v>2649449</v>
      </c>
      <c r="E48" s="27">
        <f>D48-C48</f>
        <v>1189871</v>
      </c>
      <c r="F48" s="28">
        <f>IF(C48=0,0,E48/C48)</f>
        <v>0.81521576784522654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/>
  <headerFooter>
    <oddHeader>&amp;L&amp;8OFFICE OF HEALTH CARE ACCESS&amp;C&amp;8TWELVE MONTHS ACTUAL FILING&amp;R&amp;8THE CHARLOTTE HUNGERFORD HOSPITAL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2012-06-28T12:40:08Z</cp:lastPrinted>
  <dcterms:created xsi:type="dcterms:W3CDTF">2006-08-03T13:49:12Z</dcterms:created>
  <dcterms:modified xsi:type="dcterms:W3CDTF">2012-06-28T12:40:20Z</dcterms:modified>
</cp:coreProperties>
</file>