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92" i="14"/>
  <c r="D193" i="14"/>
  <c r="D194" i="14"/>
  <c r="D120" i="14"/>
  <c r="D110" i="14"/>
  <c r="D109" i="14"/>
  <c r="D101" i="14"/>
  <c r="D102" i="14"/>
  <c r="D103" i="14"/>
  <c r="D100" i="14"/>
  <c r="D95" i="14"/>
  <c r="D94" i="14"/>
  <c r="D89" i="14"/>
  <c r="D88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D88" i="19"/>
  <c r="C87" i="19"/>
  <c r="E86" i="19"/>
  <c r="E88" i="19"/>
  <c r="D86" i="19"/>
  <c r="C86" i="19"/>
  <c r="C88" i="19"/>
  <c r="E83" i="19"/>
  <c r="D83" i="19"/>
  <c r="D102" i="19"/>
  <c r="C83" i="19"/>
  <c r="C102" i="19"/>
  <c r="E76" i="19"/>
  <c r="E102" i="19"/>
  <c r="D76" i="19"/>
  <c r="C76" i="19"/>
  <c r="E75" i="19"/>
  <c r="E77" i="19"/>
  <c r="D75" i="19"/>
  <c r="D101" i="19"/>
  <c r="D103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D23" i="19"/>
  <c r="D46" i="19"/>
  <c r="E22" i="19"/>
  <c r="D22" i="19"/>
  <c r="D53" i="19"/>
  <c r="E21" i="19"/>
  <c r="D21" i="19"/>
  <c r="C21" i="19"/>
  <c r="E12" i="19"/>
  <c r="E34" i="19"/>
  <c r="D12" i="19"/>
  <c r="D34" i="19"/>
  <c r="D33" i="19"/>
  <c r="C12" i="19"/>
  <c r="C2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E45" i="17"/>
  <c r="D44" i="17"/>
  <c r="C44" i="17"/>
  <c r="E44" i="17"/>
  <c r="D43" i="17"/>
  <c r="D46" i="17"/>
  <c r="C43" i="17"/>
  <c r="E43" i="17"/>
  <c r="D36" i="17"/>
  <c r="D40" i="17"/>
  <c r="C36" i="17"/>
  <c r="E35" i="17"/>
  <c r="F35" i="17"/>
  <c r="E34" i="17"/>
  <c r="F34" i="17"/>
  <c r="E33" i="17"/>
  <c r="E36" i="17"/>
  <c r="F36" i="17"/>
  <c r="E30" i="17"/>
  <c r="F30" i="17"/>
  <c r="E29" i="17"/>
  <c r="F29" i="17"/>
  <c r="E28" i="17"/>
  <c r="F28" i="17"/>
  <c r="E27" i="17"/>
  <c r="F27" i="17"/>
  <c r="D25" i="17"/>
  <c r="D39" i="17"/>
  <c r="C25" i="17"/>
  <c r="E24" i="17"/>
  <c r="F24" i="17"/>
  <c r="E23" i="17"/>
  <c r="F23" i="17"/>
  <c r="E22" i="17"/>
  <c r="F22" i="17"/>
  <c r="D19" i="17"/>
  <c r="D20" i="17"/>
  <c r="C19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3" i="16"/>
  <c r="C32" i="16"/>
  <c r="C22" i="16"/>
  <c r="C21" i="16"/>
  <c r="C37" i="16"/>
  <c r="C38" i="16"/>
  <c r="C127" i="16"/>
  <c r="C129" i="16"/>
  <c r="C133" i="16"/>
  <c r="E328" i="15"/>
  <c r="E325" i="15"/>
  <c r="D324" i="15"/>
  <c r="D326" i="15"/>
  <c r="C324" i="15"/>
  <c r="E318" i="15"/>
  <c r="E315" i="15"/>
  <c r="D314" i="15"/>
  <c r="D316" i="15"/>
  <c r="C314" i="15"/>
  <c r="C316" i="15"/>
  <c r="C320" i="15"/>
  <c r="E308" i="15"/>
  <c r="E305" i="15"/>
  <c r="D301" i="15"/>
  <c r="C301" i="15"/>
  <c r="D293" i="15"/>
  <c r="E293" i="15"/>
  <c r="C293" i="15"/>
  <c r="D292" i="15"/>
  <c r="C292" i="15"/>
  <c r="E292" i="15"/>
  <c r="D291" i="15"/>
  <c r="E291" i="15"/>
  <c r="C291" i="15"/>
  <c r="D290" i="15"/>
  <c r="C290" i="15"/>
  <c r="E290" i="15"/>
  <c r="D288" i="15"/>
  <c r="C288" i="15"/>
  <c r="E288" i="15"/>
  <c r="D287" i="15"/>
  <c r="E287" i="15"/>
  <c r="C287" i="15"/>
  <c r="D282" i="15"/>
  <c r="C282" i="15"/>
  <c r="E282" i="15"/>
  <c r="D281" i="15"/>
  <c r="E281" i="15"/>
  <c r="C281" i="15"/>
  <c r="D280" i="15"/>
  <c r="E280" i="15"/>
  <c r="C280" i="15"/>
  <c r="D279" i="15"/>
  <c r="E279" i="15"/>
  <c r="C279" i="15"/>
  <c r="D278" i="15"/>
  <c r="C278" i="15"/>
  <c r="E278" i="15"/>
  <c r="D277" i="15"/>
  <c r="E277" i="15"/>
  <c r="C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C251" i="15"/>
  <c r="D233" i="15"/>
  <c r="C233" i="15"/>
  <c r="D232" i="15"/>
  <c r="E232" i="15"/>
  <c r="C232" i="15"/>
  <c r="D231" i="15"/>
  <c r="E231" i="15"/>
  <c r="C231" i="15"/>
  <c r="D230" i="15"/>
  <c r="E230" i="15"/>
  <c r="C230" i="15"/>
  <c r="D228" i="15"/>
  <c r="E228" i="15"/>
  <c r="C228" i="15"/>
  <c r="D227" i="15"/>
  <c r="E227" i="15"/>
  <c r="C227" i="15"/>
  <c r="D221" i="15"/>
  <c r="E221" i="15"/>
  <c r="C221" i="15"/>
  <c r="C245" i="15"/>
  <c r="D220" i="15"/>
  <c r="D244" i="15"/>
  <c r="E244" i="15"/>
  <c r="C220" i="15"/>
  <c r="C244" i="15"/>
  <c r="D219" i="15"/>
  <c r="E219" i="15"/>
  <c r="C219" i="15"/>
  <c r="C243" i="15"/>
  <c r="D218" i="15"/>
  <c r="D242" i="15"/>
  <c r="C218" i="15"/>
  <c r="C217" i="15"/>
  <c r="C241" i="15"/>
  <c r="D217" i="15"/>
  <c r="D216" i="15"/>
  <c r="D240" i="15"/>
  <c r="C216" i="15"/>
  <c r="C240" i="15"/>
  <c r="D215" i="15"/>
  <c r="C215" i="15"/>
  <c r="C239" i="15"/>
  <c r="E209" i="15"/>
  <c r="E208" i="15"/>
  <c r="E207" i="15"/>
  <c r="E206" i="15"/>
  <c r="D205" i="15"/>
  <c r="D229" i="15"/>
  <c r="E229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D261" i="15"/>
  <c r="C188" i="15"/>
  <c r="C189" i="15"/>
  <c r="E186" i="15"/>
  <c r="E185" i="15"/>
  <c r="D179" i="15"/>
  <c r="E179" i="15"/>
  <c r="C179" i="15"/>
  <c r="D178" i="15"/>
  <c r="C178" i="15"/>
  <c r="E178" i="15"/>
  <c r="D177" i="15"/>
  <c r="E177" i="15"/>
  <c r="C177" i="15"/>
  <c r="D176" i="15"/>
  <c r="C176" i="15"/>
  <c r="E176" i="15"/>
  <c r="D174" i="15"/>
  <c r="C174" i="15"/>
  <c r="E174" i="15"/>
  <c r="D173" i="15"/>
  <c r="E173" i="15"/>
  <c r="C173" i="15"/>
  <c r="D167" i="15"/>
  <c r="C167" i="15"/>
  <c r="E167" i="15"/>
  <c r="D166" i="15"/>
  <c r="E166" i="15"/>
  <c r="C166" i="15"/>
  <c r="D165" i="15"/>
  <c r="C165" i="15"/>
  <c r="E165" i="15"/>
  <c r="D164" i="15"/>
  <c r="E164" i="15"/>
  <c r="C164" i="15"/>
  <c r="D162" i="15"/>
  <c r="E162" i="15"/>
  <c r="C162" i="15"/>
  <c r="D161" i="15"/>
  <c r="C161" i="15"/>
  <c r="E161" i="15"/>
  <c r="E155" i="15"/>
  <c r="E154" i="15"/>
  <c r="E153" i="15"/>
  <c r="E152" i="15"/>
  <c r="D151" i="15"/>
  <c r="C151" i="15"/>
  <c r="C156" i="15"/>
  <c r="C157" i="15"/>
  <c r="E150" i="15"/>
  <c r="E149" i="15"/>
  <c r="E143" i="15"/>
  <c r="E142" i="15"/>
  <c r="E141" i="15"/>
  <c r="E140" i="15"/>
  <c r="D139" i="15"/>
  <c r="D175" i="15"/>
  <c r="D163" i="15"/>
  <c r="C139" i="15"/>
  <c r="C163" i="15"/>
  <c r="E138" i="15"/>
  <c r="E137" i="15"/>
  <c r="D75" i="15"/>
  <c r="E75" i="15"/>
  <c r="C75" i="15"/>
  <c r="D74" i="15"/>
  <c r="C74" i="15"/>
  <c r="E74" i="15"/>
  <c r="D73" i="15"/>
  <c r="E73" i="15"/>
  <c r="C73" i="15"/>
  <c r="D72" i="15"/>
  <c r="C72" i="15"/>
  <c r="E72" i="15"/>
  <c r="E70" i="15"/>
  <c r="D70" i="15"/>
  <c r="C70" i="15"/>
  <c r="D69" i="15"/>
  <c r="E69" i="15"/>
  <c r="C69" i="15"/>
  <c r="E64" i="15"/>
  <c r="E63" i="15"/>
  <c r="E62" i="15"/>
  <c r="E61" i="15"/>
  <c r="E60" i="15"/>
  <c r="D60" i="15"/>
  <c r="D71" i="15"/>
  <c r="D76" i="15"/>
  <c r="D289" i="15"/>
  <c r="C60" i="15"/>
  <c r="E59" i="15"/>
  <c r="E58" i="15"/>
  <c r="D55" i="15"/>
  <c r="D54" i="15"/>
  <c r="C54" i="15"/>
  <c r="C55" i="15"/>
  <c r="E53" i="15"/>
  <c r="E52" i="15"/>
  <c r="E51" i="15"/>
  <c r="E50" i="15"/>
  <c r="E49" i="15"/>
  <c r="E48" i="15"/>
  <c r="E47" i="15"/>
  <c r="D42" i="15"/>
  <c r="C42" i="15"/>
  <c r="E42" i="15"/>
  <c r="D41" i="15"/>
  <c r="E41" i="15"/>
  <c r="C41" i="15"/>
  <c r="D40" i="15"/>
  <c r="E40" i="15"/>
  <c r="C40" i="15"/>
  <c r="D39" i="15"/>
  <c r="E39" i="15"/>
  <c r="C39" i="15"/>
  <c r="D38" i="15"/>
  <c r="E38" i="15"/>
  <c r="C38" i="15"/>
  <c r="D37" i="15"/>
  <c r="E37" i="15"/>
  <c r="C37" i="15"/>
  <c r="C43" i="15"/>
  <c r="D36" i="15"/>
  <c r="C36" i="15"/>
  <c r="E36" i="15"/>
  <c r="D32" i="15"/>
  <c r="D33" i="15"/>
  <c r="C32" i="15"/>
  <c r="E31" i="15"/>
  <c r="E30" i="15"/>
  <c r="E29" i="15"/>
  <c r="E28" i="15"/>
  <c r="E27" i="15"/>
  <c r="E26" i="15"/>
  <c r="E25" i="15"/>
  <c r="C22" i="15"/>
  <c r="C284" i="15"/>
  <c r="D21" i="15"/>
  <c r="C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E311" i="14"/>
  <c r="E308" i="14"/>
  <c r="F308" i="14"/>
  <c r="C307" i="14"/>
  <c r="C299" i="14"/>
  <c r="E299" i="14"/>
  <c r="E298" i="14"/>
  <c r="C298" i="14"/>
  <c r="F298" i="14"/>
  <c r="C297" i="14"/>
  <c r="E297" i="14"/>
  <c r="C296" i="14"/>
  <c r="E296" i="14"/>
  <c r="F296" i="14"/>
  <c r="C295" i="14"/>
  <c r="E295" i="14"/>
  <c r="E294" i="14"/>
  <c r="C294" i="14"/>
  <c r="F294" i="14"/>
  <c r="C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F238" i="14"/>
  <c r="E237" i="14"/>
  <c r="C237" i="14"/>
  <c r="F234" i="14"/>
  <c r="E234" i="14"/>
  <c r="F233" i="14"/>
  <c r="E233" i="14"/>
  <c r="C230" i="14"/>
  <c r="E230" i="14"/>
  <c r="F230" i="14"/>
  <c r="C229" i="14"/>
  <c r="E229" i="14"/>
  <c r="F229" i="14"/>
  <c r="E228" i="14"/>
  <c r="F228" i="14"/>
  <c r="C227" i="14"/>
  <c r="F226" i="14"/>
  <c r="C226" i="14"/>
  <c r="E226" i="14"/>
  <c r="E225" i="14"/>
  <c r="F225" i="14"/>
  <c r="E224" i="14"/>
  <c r="F224" i="14"/>
  <c r="C223" i="14"/>
  <c r="E223" i="14"/>
  <c r="E222" i="14"/>
  <c r="F222" i="14"/>
  <c r="E221" i="14"/>
  <c r="F221" i="14"/>
  <c r="C204" i="14"/>
  <c r="C203" i="14"/>
  <c r="C205" i="14"/>
  <c r="C198" i="14"/>
  <c r="C274" i="14"/>
  <c r="C290" i="14"/>
  <c r="C191" i="14"/>
  <c r="C189" i="14"/>
  <c r="E189" i="14"/>
  <c r="E188" i="14"/>
  <c r="C188" i="14"/>
  <c r="C261" i="14"/>
  <c r="C180" i="14"/>
  <c r="E180" i="14"/>
  <c r="C179" i="14"/>
  <c r="C172" i="14"/>
  <c r="C173" i="14"/>
  <c r="C171" i="14"/>
  <c r="E171" i="14"/>
  <c r="F171" i="14"/>
  <c r="C170" i="14"/>
  <c r="E169" i="14"/>
  <c r="F169" i="14"/>
  <c r="E168" i="14"/>
  <c r="F168" i="14"/>
  <c r="C165" i="14"/>
  <c r="E165" i="14"/>
  <c r="C164" i="14"/>
  <c r="E164" i="14"/>
  <c r="E163" i="14"/>
  <c r="F163" i="14"/>
  <c r="C158" i="14"/>
  <c r="E158" i="14"/>
  <c r="E157" i="14"/>
  <c r="F157" i="14"/>
  <c r="E156" i="14"/>
  <c r="F156" i="14"/>
  <c r="C155" i="14"/>
  <c r="E155" i="14"/>
  <c r="F155" i="14"/>
  <c r="E154" i="14"/>
  <c r="F154" i="14"/>
  <c r="E153" i="14"/>
  <c r="F153" i="14"/>
  <c r="C145" i="14"/>
  <c r="E145" i="14"/>
  <c r="C144" i="14"/>
  <c r="E144" i="14"/>
  <c r="F144" i="14"/>
  <c r="C136" i="14"/>
  <c r="C137" i="14"/>
  <c r="C135" i="14"/>
  <c r="E135" i="14"/>
  <c r="E134" i="14"/>
  <c r="F134" i="14"/>
  <c r="E133" i="14"/>
  <c r="F133" i="14"/>
  <c r="C130" i="14"/>
  <c r="C129" i="14"/>
  <c r="E129" i="14"/>
  <c r="F129" i="14"/>
  <c r="E128" i="14"/>
  <c r="F128" i="14"/>
  <c r="C123" i="14"/>
  <c r="E122" i="14"/>
  <c r="F122" i="14"/>
  <c r="E121" i="14"/>
  <c r="F121" i="14"/>
  <c r="C120" i="14"/>
  <c r="E120" i="14"/>
  <c r="F120" i="14"/>
  <c r="E119" i="14"/>
  <c r="F119" i="14"/>
  <c r="E118" i="14"/>
  <c r="F118" i="14"/>
  <c r="C110" i="14"/>
  <c r="C109" i="14"/>
  <c r="E109" i="14"/>
  <c r="F109" i="14"/>
  <c r="C101" i="14"/>
  <c r="C102" i="14"/>
  <c r="C100" i="14"/>
  <c r="E99" i="14"/>
  <c r="F99" i="14"/>
  <c r="E98" i="14"/>
  <c r="F98" i="14"/>
  <c r="C95" i="14"/>
  <c r="E95" i="14"/>
  <c r="F95" i="14"/>
  <c r="C94" i="14"/>
  <c r="E94" i="14"/>
  <c r="E93" i="14"/>
  <c r="F93" i="14"/>
  <c r="C88" i="14"/>
  <c r="C89" i="14"/>
  <c r="E87" i="14"/>
  <c r="F87" i="14"/>
  <c r="E86" i="14"/>
  <c r="F86" i="14"/>
  <c r="C85" i="14"/>
  <c r="E85" i="14"/>
  <c r="F85" i="14"/>
  <c r="E84" i="14"/>
  <c r="F84" i="14"/>
  <c r="F83" i="14"/>
  <c r="E83" i="14"/>
  <c r="C76" i="14"/>
  <c r="C77" i="14"/>
  <c r="E77" i="14"/>
  <c r="E74" i="14"/>
  <c r="F74" i="14"/>
  <c r="E73" i="14"/>
  <c r="F73" i="14"/>
  <c r="C67" i="14"/>
  <c r="C66" i="14"/>
  <c r="E66" i="14"/>
  <c r="F66" i="14"/>
  <c r="C59" i="14"/>
  <c r="E59" i="14"/>
  <c r="C58" i="14"/>
  <c r="E58" i="14"/>
  <c r="E57" i="14"/>
  <c r="F57" i="14"/>
  <c r="E56" i="14"/>
  <c r="F56" i="14"/>
  <c r="C53" i="14"/>
  <c r="C52" i="14"/>
  <c r="E52" i="14"/>
  <c r="F52" i="14"/>
  <c r="E51" i="14"/>
  <c r="F51" i="14"/>
  <c r="C47" i="14"/>
  <c r="C48" i="14"/>
  <c r="E46" i="14"/>
  <c r="F46" i="14"/>
  <c r="E45" i="14"/>
  <c r="F45" i="14"/>
  <c r="C44" i="14"/>
  <c r="F43" i="14"/>
  <c r="E43" i="14"/>
  <c r="E42" i="14"/>
  <c r="F42" i="14"/>
  <c r="C36" i="14"/>
  <c r="E36" i="14"/>
  <c r="C35" i="14"/>
  <c r="C31" i="14"/>
  <c r="C32" i="14"/>
  <c r="C175" i="14"/>
  <c r="E30" i="14"/>
  <c r="C30" i="14"/>
  <c r="F30" i="14"/>
  <c r="E29" i="14"/>
  <c r="C29" i="14"/>
  <c r="E28" i="14"/>
  <c r="F28" i="14"/>
  <c r="E27" i="14"/>
  <c r="F27" i="14"/>
  <c r="C24" i="14"/>
  <c r="C23" i="14"/>
  <c r="E23" i="14"/>
  <c r="F23" i="14"/>
  <c r="E22" i="14"/>
  <c r="F22" i="14"/>
  <c r="C20" i="14"/>
  <c r="C21" i="14"/>
  <c r="C91" i="14"/>
  <c r="E19" i="14"/>
  <c r="F19" i="14"/>
  <c r="E18" i="14"/>
  <c r="F18" i="14"/>
  <c r="E17" i="14"/>
  <c r="C17" i="14"/>
  <c r="F17" i="14"/>
  <c r="E16" i="14"/>
  <c r="F16" i="14"/>
  <c r="E15" i="14"/>
  <c r="F15" i="14"/>
  <c r="D22" i="13"/>
  <c r="E22" i="13"/>
  <c r="F22" i="13"/>
  <c r="C22" i="13"/>
  <c r="E21" i="13"/>
  <c r="F21" i="13"/>
  <c r="F20" i="13"/>
  <c r="E20" i="13"/>
  <c r="D17" i="13"/>
  <c r="E17" i="13"/>
  <c r="F17" i="13"/>
  <c r="C17" i="13"/>
  <c r="E16" i="13"/>
  <c r="F16" i="13"/>
  <c r="D13" i="13"/>
  <c r="E13" i="13"/>
  <c r="F13" i="13"/>
  <c r="C13" i="13"/>
  <c r="F12" i="13"/>
  <c r="E12" i="13"/>
  <c r="D99" i="12"/>
  <c r="E99" i="12"/>
  <c r="F99" i="12"/>
  <c r="C99" i="12"/>
  <c r="E98" i="12"/>
  <c r="F98" i="12"/>
  <c r="F97" i="12"/>
  <c r="E97" i="12"/>
  <c r="E96" i="12"/>
  <c r="F96" i="12"/>
  <c r="D92" i="12"/>
  <c r="C92" i="12"/>
  <c r="E91" i="12"/>
  <c r="F91" i="12"/>
  <c r="E90" i="12"/>
  <c r="F90" i="12"/>
  <c r="F89" i="12"/>
  <c r="E89" i="12"/>
  <c r="E88" i="12"/>
  <c r="F88" i="12"/>
  <c r="F87" i="12"/>
  <c r="E87" i="12"/>
  <c r="D84" i="12"/>
  <c r="E84" i="12"/>
  <c r="F84" i="12"/>
  <c r="C84" i="12"/>
  <c r="E83" i="12"/>
  <c r="F83" i="12"/>
  <c r="F82" i="12"/>
  <c r="E82" i="12"/>
  <c r="E81" i="12"/>
  <c r="F81" i="12"/>
  <c r="F80" i="12"/>
  <c r="E80" i="12"/>
  <c r="E79" i="12"/>
  <c r="F79" i="12"/>
  <c r="D75" i="12"/>
  <c r="C75" i="12"/>
  <c r="F74" i="12"/>
  <c r="E74" i="12"/>
  <c r="E73" i="12"/>
  <c r="D70" i="12"/>
  <c r="C70" i="12"/>
  <c r="E69" i="12"/>
  <c r="F69" i="12"/>
  <c r="E68" i="12"/>
  <c r="F68" i="12"/>
  <c r="D65" i="12"/>
  <c r="E65" i="12"/>
  <c r="C65" i="12"/>
  <c r="F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F55" i="12"/>
  <c r="F54" i="12"/>
  <c r="E54" i="12"/>
  <c r="F53" i="12"/>
  <c r="E53" i="12"/>
  <c r="D50" i="12"/>
  <c r="E50" i="12"/>
  <c r="C50" i="12"/>
  <c r="F50" i="12"/>
  <c r="F49" i="12"/>
  <c r="E49" i="12"/>
  <c r="F48" i="12"/>
  <c r="E48" i="12"/>
  <c r="D45" i="12"/>
  <c r="C45" i="12"/>
  <c r="E44" i="12"/>
  <c r="F44" i="12"/>
  <c r="E43" i="12"/>
  <c r="F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C30" i="12"/>
  <c r="F29" i="12"/>
  <c r="E29" i="12"/>
  <c r="F28" i="12"/>
  <c r="E28" i="12"/>
  <c r="F27" i="12"/>
  <c r="E27" i="12"/>
  <c r="F26" i="12"/>
  <c r="E26" i="12"/>
  <c r="D23" i="12"/>
  <c r="E23" i="12"/>
  <c r="C23" i="12"/>
  <c r="F23" i="12"/>
  <c r="F22" i="12"/>
  <c r="E22" i="12"/>
  <c r="E21" i="12"/>
  <c r="F21" i="12"/>
  <c r="F20" i="12"/>
  <c r="E20" i="12"/>
  <c r="E19" i="12"/>
  <c r="F19" i="12"/>
  <c r="D16" i="12"/>
  <c r="E16" i="12"/>
  <c r="C16" i="12"/>
  <c r="F16" i="12"/>
  <c r="F15" i="12"/>
  <c r="E15" i="12"/>
  <c r="E14" i="12"/>
  <c r="F14" i="12"/>
  <c r="F13" i="12"/>
  <c r="E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/>
  <c r="D17" i="11"/>
  <c r="D33" i="11"/>
  <c r="D31" i="11"/>
  <c r="C17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D55" i="10"/>
  <c r="D50" i="10"/>
  <c r="C55" i="10"/>
  <c r="E54" i="10"/>
  <c r="E50" i="10"/>
  <c r="D54" i="10"/>
  <c r="C54" i="10"/>
  <c r="C50" i="10"/>
  <c r="C48" i="10"/>
  <c r="C42" i="10"/>
  <c r="E46" i="10"/>
  <c r="E59" i="10"/>
  <c r="E61" i="10"/>
  <c r="E57" i="10"/>
  <c r="D46" i="10"/>
  <c r="D48" i="10"/>
  <c r="C46" i="10"/>
  <c r="C59" i="10"/>
  <c r="C61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25" i="10"/>
  <c r="E27" i="10"/>
  <c r="D13" i="10"/>
  <c r="D15" i="10"/>
  <c r="D25" i="10"/>
  <c r="D27" i="10"/>
  <c r="C13" i="10"/>
  <c r="C15" i="10"/>
  <c r="C25" i="10"/>
  <c r="C27" i="10"/>
  <c r="D46" i="9"/>
  <c r="C46" i="9"/>
  <c r="F46" i="9"/>
  <c r="F45" i="9"/>
  <c r="E45" i="9"/>
  <c r="F44" i="9"/>
  <c r="E44" i="9"/>
  <c r="D39" i="9"/>
  <c r="C39" i="9"/>
  <c r="F38" i="9"/>
  <c r="E38" i="9"/>
  <c r="E37" i="9"/>
  <c r="F37" i="9"/>
  <c r="F36" i="9"/>
  <c r="E36" i="9"/>
  <c r="D31" i="9"/>
  <c r="E31" i="9"/>
  <c r="C31" i="9"/>
  <c r="E30" i="9"/>
  <c r="F30" i="9"/>
  <c r="F29" i="9"/>
  <c r="E29" i="9"/>
  <c r="E28" i="9"/>
  <c r="F28" i="9"/>
  <c r="F27" i="9"/>
  <c r="E27" i="9"/>
  <c r="E26" i="9"/>
  <c r="F26" i="9"/>
  <c r="F25" i="9"/>
  <c r="E25" i="9"/>
  <c r="E24" i="9"/>
  <c r="F24" i="9"/>
  <c r="F23" i="9"/>
  <c r="E23" i="9"/>
  <c r="E22" i="9"/>
  <c r="F22" i="9"/>
  <c r="F18" i="9"/>
  <c r="E18" i="9"/>
  <c r="E17" i="9"/>
  <c r="F17" i="9"/>
  <c r="D16" i="9"/>
  <c r="C16" i="9"/>
  <c r="C19" i="9"/>
  <c r="F15" i="9"/>
  <c r="E15" i="9"/>
  <c r="E14" i="9"/>
  <c r="F14" i="9"/>
  <c r="E13" i="9"/>
  <c r="F13" i="9"/>
  <c r="E12" i="9"/>
  <c r="F12" i="9"/>
  <c r="D73" i="8"/>
  <c r="C73" i="8"/>
  <c r="E72" i="8"/>
  <c r="F72" i="8"/>
  <c r="E71" i="8"/>
  <c r="F71" i="8"/>
  <c r="E70" i="8"/>
  <c r="F70" i="8"/>
  <c r="F67" i="8"/>
  <c r="E67" i="8"/>
  <c r="F64" i="8"/>
  <c r="E64" i="8"/>
  <c r="E63" i="8"/>
  <c r="F63" i="8"/>
  <c r="D61" i="8"/>
  <c r="E61" i="8"/>
  <c r="F61" i="8"/>
  <c r="C61" i="8"/>
  <c r="C65" i="8"/>
  <c r="F60" i="8"/>
  <c r="E60" i="8"/>
  <c r="E59" i="8"/>
  <c r="F59" i="8"/>
  <c r="D56" i="8"/>
  <c r="C56" i="8"/>
  <c r="F55" i="8"/>
  <c r="E55" i="8"/>
  <c r="E54" i="8"/>
  <c r="F54" i="8"/>
  <c r="E53" i="8"/>
  <c r="F53" i="8"/>
  <c r="F52" i="8"/>
  <c r="E52" i="8"/>
  <c r="F51" i="8"/>
  <c r="E51" i="8"/>
  <c r="A51" i="8"/>
  <c r="A52" i="8"/>
  <c r="A53" i="8"/>
  <c r="A54" i="8"/>
  <c r="A55" i="8"/>
  <c r="E50" i="8"/>
  <c r="F50" i="8"/>
  <c r="A50" i="8"/>
  <c r="E49" i="8"/>
  <c r="F49" i="8"/>
  <c r="C41" i="8"/>
  <c r="F40" i="8"/>
  <c r="E40" i="8"/>
  <c r="D38" i="8"/>
  <c r="D41" i="8"/>
  <c r="E41" i="8"/>
  <c r="C38" i="8"/>
  <c r="E37" i="8"/>
  <c r="F37" i="8"/>
  <c r="F36" i="8"/>
  <c r="E36" i="8"/>
  <c r="E33" i="8"/>
  <c r="F33" i="8"/>
  <c r="F32" i="8"/>
  <c r="E32" i="8"/>
  <c r="F31" i="8"/>
  <c r="E31" i="8"/>
  <c r="D29" i="8"/>
  <c r="C29" i="8"/>
  <c r="F28" i="8"/>
  <c r="E28" i="8"/>
  <c r="E27" i="8"/>
  <c r="F27" i="8"/>
  <c r="F26" i="8"/>
  <c r="E26" i="8"/>
  <c r="E25" i="8"/>
  <c r="F25" i="8"/>
  <c r="D22" i="8"/>
  <c r="C22" i="8"/>
  <c r="C43" i="8"/>
  <c r="E21" i="8"/>
  <c r="F21" i="8"/>
  <c r="F20" i="8"/>
  <c r="E20" i="8"/>
  <c r="E19" i="8"/>
  <c r="F19" i="8"/>
  <c r="E18" i="8"/>
  <c r="F18" i="8"/>
  <c r="F17" i="8"/>
  <c r="E17" i="8"/>
  <c r="F16" i="8"/>
  <c r="E16" i="8"/>
  <c r="E15" i="8"/>
  <c r="F15" i="8"/>
  <c r="F14" i="8"/>
  <c r="E14" i="8"/>
  <c r="E13" i="8"/>
  <c r="F13" i="8"/>
  <c r="D120" i="7"/>
  <c r="E120" i="7"/>
  <c r="C120" i="7"/>
  <c r="F120" i="7"/>
  <c r="D119" i="7"/>
  <c r="E119" i="7"/>
  <c r="C119" i="7"/>
  <c r="F119" i="7"/>
  <c r="D118" i="7"/>
  <c r="E118" i="7"/>
  <c r="C118" i="7"/>
  <c r="F118" i="7"/>
  <c r="D117" i="7"/>
  <c r="E117" i="7"/>
  <c r="C117" i="7"/>
  <c r="F117" i="7"/>
  <c r="D116" i="7"/>
  <c r="E116" i="7"/>
  <c r="F116" i="7"/>
  <c r="C116" i="7"/>
  <c r="D115" i="7"/>
  <c r="E115" i="7"/>
  <c r="F115" i="7"/>
  <c r="C115" i="7"/>
  <c r="D114" i="7"/>
  <c r="E114" i="7"/>
  <c r="C114" i="7"/>
  <c r="F114" i="7"/>
  <c r="D113" i="7"/>
  <c r="D122" i="7"/>
  <c r="E122" i="7"/>
  <c r="C113" i="7"/>
  <c r="C122" i="7"/>
  <c r="D112" i="7"/>
  <c r="D121" i="7"/>
  <c r="E121" i="7"/>
  <c r="C112" i="7"/>
  <c r="C121" i="7"/>
  <c r="D108" i="7"/>
  <c r="E108" i="7"/>
  <c r="F108" i="7"/>
  <c r="C108" i="7"/>
  <c r="D107" i="7"/>
  <c r="E107" i="7"/>
  <c r="C107" i="7"/>
  <c r="E106" i="7"/>
  <c r="F106" i="7"/>
  <c r="F105" i="7"/>
  <c r="E105" i="7"/>
  <c r="E104" i="7"/>
  <c r="F104" i="7"/>
  <c r="F103" i="7"/>
  <c r="E103" i="7"/>
  <c r="E102" i="7"/>
  <c r="F102" i="7"/>
  <c r="F101" i="7"/>
  <c r="E101" i="7"/>
  <c r="E100" i="7"/>
  <c r="F100" i="7"/>
  <c r="F99" i="7"/>
  <c r="E99" i="7"/>
  <c r="E98" i="7"/>
  <c r="F98" i="7"/>
  <c r="D96" i="7"/>
  <c r="C96" i="7"/>
  <c r="D95" i="7"/>
  <c r="E95" i="7"/>
  <c r="F95" i="7"/>
  <c r="C95" i="7"/>
  <c r="F94" i="7"/>
  <c r="E94" i="7"/>
  <c r="E93" i="7"/>
  <c r="F93" i="7"/>
  <c r="F92" i="7"/>
  <c r="E92" i="7"/>
  <c r="E91" i="7"/>
  <c r="F91" i="7"/>
  <c r="F90" i="7"/>
  <c r="E90" i="7"/>
  <c r="E89" i="7"/>
  <c r="F89" i="7"/>
  <c r="F88" i="7"/>
  <c r="E88" i="7"/>
  <c r="E87" i="7"/>
  <c r="F87" i="7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C48" i="7"/>
  <c r="F48" i="7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D23" i="7"/>
  <c r="C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E206" i="6"/>
  <c r="C206" i="6"/>
  <c r="F206" i="6"/>
  <c r="D205" i="6"/>
  <c r="E205" i="6"/>
  <c r="F205" i="6"/>
  <c r="C205" i="6"/>
  <c r="D204" i="6"/>
  <c r="E204" i="6"/>
  <c r="F204" i="6"/>
  <c r="C204" i="6"/>
  <c r="D203" i="6"/>
  <c r="E203" i="6"/>
  <c r="F203" i="6"/>
  <c r="C203" i="6"/>
  <c r="D202" i="6"/>
  <c r="E202" i="6"/>
  <c r="C202" i="6"/>
  <c r="F202" i="6"/>
  <c r="D201" i="6"/>
  <c r="E201" i="6"/>
  <c r="F201" i="6"/>
  <c r="C201" i="6"/>
  <c r="D200" i="6"/>
  <c r="C200" i="6"/>
  <c r="D199" i="6"/>
  <c r="D208" i="6"/>
  <c r="E208" i="6"/>
  <c r="C199" i="6"/>
  <c r="C208" i="6"/>
  <c r="D198" i="6"/>
  <c r="D207" i="6"/>
  <c r="C198" i="6"/>
  <c r="D193" i="6"/>
  <c r="E193" i="6"/>
  <c r="C193" i="6"/>
  <c r="D192" i="6"/>
  <c r="E192" i="6"/>
  <c r="C192" i="6"/>
  <c r="F191" i="6"/>
  <c r="E191" i="6"/>
  <c r="E190" i="6"/>
  <c r="F190" i="6"/>
  <c r="E189" i="6"/>
  <c r="F189" i="6"/>
  <c r="F188" i="6"/>
  <c r="E188" i="6"/>
  <c r="F187" i="6"/>
  <c r="E187" i="6"/>
  <c r="E186" i="6"/>
  <c r="F186" i="6"/>
  <c r="E185" i="6"/>
  <c r="F185" i="6"/>
  <c r="F184" i="6"/>
  <c r="E184" i="6"/>
  <c r="F183" i="6"/>
  <c r="E183" i="6"/>
  <c r="D180" i="6"/>
  <c r="C180" i="6"/>
  <c r="D179" i="6"/>
  <c r="C179" i="6"/>
  <c r="F178" i="6"/>
  <c r="E178" i="6"/>
  <c r="F177" i="6"/>
  <c r="E177" i="6"/>
  <c r="E176" i="6"/>
  <c r="F176" i="6"/>
  <c r="F175" i="6"/>
  <c r="E175" i="6"/>
  <c r="F174" i="6"/>
  <c r="E174" i="6"/>
  <c r="E173" i="6"/>
  <c r="F173" i="6"/>
  <c r="E172" i="6"/>
  <c r="F172" i="6"/>
  <c r="F171" i="6"/>
  <c r="E171" i="6"/>
  <c r="F170" i="6"/>
  <c r="E170" i="6"/>
  <c r="D167" i="6"/>
  <c r="E167" i="6"/>
  <c r="C167" i="6"/>
  <c r="D166" i="6"/>
  <c r="E166" i="6"/>
  <c r="C166" i="6"/>
  <c r="F165" i="6"/>
  <c r="E165" i="6"/>
  <c r="E164" i="6"/>
  <c r="F164" i="6"/>
  <c r="E163" i="6"/>
  <c r="F163" i="6"/>
  <c r="F162" i="6"/>
  <c r="E162" i="6"/>
  <c r="F161" i="6"/>
  <c r="E161" i="6"/>
  <c r="E160" i="6"/>
  <c r="F160" i="6"/>
  <c r="E159" i="6"/>
  <c r="F159" i="6"/>
  <c r="F158" i="6"/>
  <c r="E158" i="6"/>
  <c r="F157" i="6"/>
  <c r="E157" i="6"/>
  <c r="D154" i="6"/>
  <c r="E154" i="6"/>
  <c r="C154" i="6"/>
  <c r="F154" i="6"/>
  <c r="D153" i="6"/>
  <c r="C153" i="6"/>
  <c r="E152" i="6"/>
  <c r="F152" i="6"/>
  <c r="E151" i="6"/>
  <c r="F151" i="6"/>
  <c r="E150" i="6"/>
  <c r="F150" i="6"/>
  <c r="E149" i="6"/>
  <c r="F149" i="6"/>
  <c r="E148" i="6"/>
  <c r="F148" i="6"/>
  <c r="E147" i="6"/>
  <c r="F147" i="6"/>
  <c r="E146" i="6"/>
  <c r="F146" i="6"/>
  <c r="E145" i="6"/>
  <c r="F145" i="6"/>
  <c r="E144" i="6"/>
  <c r="F144" i="6"/>
  <c r="D141" i="6"/>
  <c r="C141" i="6"/>
  <c r="D140" i="6"/>
  <c r="C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C128" i="6"/>
  <c r="D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D114" i="6"/>
  <c r="C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D101" i="6"/>
  <c r="E101" i="6"/>
  <c r="C101" i="6"/>
  <c r="F101" i="6"/>
  <c r="F100" i="6"/>
  <c r="E100" i="6"/>
  <c r="E99" i="6"/>
  <c r="F99" i="6"/>
  <c r="E98" i="6"/>
  <c r="F98" i="6"/>
  <c r="F97" i="6"/>
  <c r="E97" i="6"/>
  <c r="F96" i="6"/>
  <c r="E96" i="6"/>
  <c r="E95" i="6"/>
  <c r="F95" i="6"/>
  <c r="E94" i="6"/>
  <c r="F94" i="6"/>
  <c r="F93" i="6"/>
  <c r="E93" i="6"/>
  <c r="F92" i="6"/>
  <c r="E92" i="6"/>
  <c r="D89" i="6"/>
  <c r="E89" i="6"/>
  <c r="C89" i="6"/>
  <c r="D88" i="6"/>
  <c r="C88" i="6"/>
  <c r="F87" i="6"/>
  <c r="E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D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D62" i="6"/>
  <c r="E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D49" i="6"/>
  <c r="E49" i="6"/>
  <c r="C49" i="6"/>
  <c r="F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D36" i="6"/>
  <c r="C36" i="6"/>
  <c r="E35" i="6"/>
  <c r="F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D24" i="6"/>
  <c r="C24" i="6"/>
  <c r="D23" i="6"/>
  <c r="C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C161" i="5"/>
  <c r="E160" i="5"/>
  <c r="E166" i="5"/>
  <c r="C160" i="5"/>
  <c r="C166" i="5"/>
  <c r="E147" i="5"/>
  <c r="E143" i="5"/>
  <c r="E149" i="5"/>
  <c r="D147" i="5"/>
  <c r="D143" i="5"/>
  <c r="D149" i="5"/>
  <c r="C147" i="5"/>
  <c r="E145" i="5"/>
  <c r="D145" i="5"/>
  <c r="C145" i="5"/>
  <c r="E144" i="5"/>
  <c r="D144" i="5"/>
  <c r="C144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D94" i="5"/>
  <c r="C95" i="5"/>
  <c r="C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C79" i="5"/>
  <c r="C77" i="5"/>
  <c r="C71" i="5"/>
  <c r="E75" i="5"/>
  <c r="E77" i="5"/>
  <c r="E71" i="5"/>
  <c r="D75" i="5"/>
  <c r="D88" i="5"/>
  <c r="D90" i="5"/>
  <c r="D86" i="5"/>
  <c r="C75" i="5"/>
  <c r="C88" i="5"/>
  <c r="C90" i="5"/>
  <c r="C86" i="5"/>
  <c r="E74" i="5"/>
  <c r="D74" i="5"/>
  <c r="C74" i="5"/>
  <c r="E67" i="5"/>
  <c r="D67" i="5"/>
  <c r="C67" i="5"/>
  <c r="E38" i="5"/>
  <c r="E49" i="5"/>
  <c r="D38" i="5"/>
  <c r="D49" i="5"/>
  <c r="C38" i="5"/>
  <c r="C53" i="5"/>
  <c r="E33" i="5"/>
  <c r="E34" i="5"/>
  <c r="D33" i="5"/>
  <c r="D34" i="5"/>
  <c r="E26" i="5"/>
  <c r="D26" i="5"/>
  <c r="C26" i="5"/>
  <c r="E13" i="5"/>
  <c r="E15" i="5"/>
  <c r="D13" i="5"/>
  <c r="D25" i="5"/>
  <c r="D27" i="5"/>
  <c r="C13" i="5"/>
  <c r="C25" i="5"/>
  <c r="C27" i="5"/>
  <c r="E174" i="4"/>
  <c r="F174" i="4"/>
  <c r="D171" i="4"/>
  <c r="E171" i="4"/>
  <c r="C171" i="4"/>
  <c r="E170" i="4"/>
  <c r="F170" i="4"/>
  <c r="E169" i="4"/>
  <c r="F169" i="4"/>
  <c r="F168" i="4"/>
  <c r="E168" i="4"/>
  <c r="E167" i="4"/>
  <c r="F167" i="4"/>
  <c r="F166" i="4"/>
  <c r="E166" i="4"/>
  <c r="F165" i="4"/>
  <c r="E165" i="4"/>
  <c r="E164" i="4"/>
  <c r="F164" i="4"/>
  <c r="E163" i="4"/>
  <c r="F163" i="4"/>
  <c r="E162" i="4"/>
  <c r="F162" i="4"/>
  <c r="E161" i="4"/>
  <c r="F161" i="4"/>
  <c r="F160" i="4"/>
  <c r="E160" i="4"/>
  <c r="E159" i="4"/>
  <c r="F159" i="4"/>
  <c r="E158" i="4"/>
  <c r="F158" i="4"/>
  <c r="D155" i="4"/>
  <c r="E155" i="4"/>
  <c r="C155" i="4"/>
  <c r="C176" i="4"/>
  <c r="E154" i="4"/>
  <c r="F154" i="4"/>
  <c r="F153" i="4"/>
  <c r="E153" i="4"/>
  <c r="E152" i="4"/>
  <c r="F152" i="4"/>
  <c r="E151" i="4"/>
  <c r="F151" i="4"/>
  <c r="F150" i="4"/>
  <c r="E150" i="4"/>
  <c r="E149" i="4"/>
  <c r="F149" i="4"/>
  <c r="E148" i="4"/>
  <c r="F148" i="4"/>
  <c r="F147" i="4"/>
  <c r="E147" i="4"/>
  <c r="E146" i="4"/>
  <c r="F146" i="4"/>
  <c r="E145" i="4"/>
  <c r="F145" i="4"/>
  <c r="E144" i="4"/>
  <c r="F144" i="4"/>
  <c r="E143" i="4"/>
  <c r="F143" i="4"/>
  <c r="E142" i="4"/>
  <c r="F142" i="4"/>
  <c r="F141" i="4"/>
  <c r="E141" i="4"/>
  <c r="F140" i="4"/>
  <c r="E140" i="4"/>
  <c r="E139" i="4"/>
  <c r="F139" i="4"/>
  <c r="E138" i="4"/>
  <c r="F138" i="4"/>
  <c r="F137" i="4"/>
  <c r="E137" i="4"/>
  <c r="E136" i="4"/>
  <c r="F136" i="4"/>
  <c r="E135" i="4"/>
  <c r="F135" i="4"/>
  <c r="E134" i="4"/>
  <c r="F134" i="4"/>
  <c r="E133" i="4"/>
  <c r="F133" i="4"/>
  <c r="F132" i="4"/>
  <c r="E132" i="4"/>
  <c r="E131" i="4"/>
  <c r="F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D176" i="4"/>
  <c r="E176" i="4"/>
  <c r="C118" i="4"/>
  <c r="F117" i="4"/>
  <c r="E117" i="4"/>
  <c r="E116" i="4"/>
  <c r="F116" i="4"/>
  <c r="E115" i="4"/>
  <c r="F115" i="4"/>
  <c r="E114" i="4"/>
  <c r="F114" i="4"/>
  <c r="F113" i="4"/>
  <c r="E113" i="4"/>
  <c r="E112" i="4"/>
  <c r="F112" i="4"/>
  <c r="D109" i="4"/>
  <c r="E109" i="4"/>
  <c r="C109" i="4"/>
  <c r="F108" i="4"/>
  <c r="E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E78" i="4"/>
  <c r="C78" i="4"/>
  <c r="E77" i="4"/>
  <c r="F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F65" i="4"/>
  <c r="E65" i="4"/>
  <c r="E64" i="4"/>
  <c r="F64" i="4"/>
  <c r="E63" i="4"/>
  <c r="F63" i="4"/>
  <c r="E62" i="4"/>
  <c r="F62" i="4"/>
  <c r="D59" i="4"/>
  <c r="E59" i="4"/>
  <c r="C59" i="4"/>
  <c r="F58" i="4"/>
  <c r="E58" i="4"/>
  <c r="E57" i="4"/>
  <c r="F57" i="4"/>
  <c r="F56" i="4"/>
  <c r="E56" i="4"/>
  <c r="E55" i="4"/>
  <c r="F55" i="4"/>
  <c r="F54" i="4"/>
  <c r="E54" i="4"/>
  <c r="E53" i="4"/>
  <c r="F53" i="4"/>
  <c r="F50" i="4"/>
  <c r="E50" i="4"/>
  <c r="E47" i="4"/>
  <c r="F47" i="4"/>
  <c r="F44" i="4"/>
  <c r="E44" i="4"/>
  <c r="D41" i="4"/>
  <c r="C41" i="4"/>
  <c r="E40" i="4"/>
  <c r="F40" i="4"/>
  <c r="E39" i="4"/>
  <c r="F39" i="4"/>
  <c r="E38" i="4"/>
  <c r="F38" i="4"/>
  <c r="D35" i="4"/>
  <c r="E35" i="4"/>
  <c r="C35" i="4"/>
  <c r="F34" i="4"/>
  <c r="E34" i="4"/>
  <c r="E33" i="4"/>
  <c r="F33" i="4"/>
  <c r="D30" i="4"/>
  <c r="E30" i="4"/>
  <c r="F30" i="4"/>
  <c r="C30" i="4"/>
  <c r="E29" i="4"/>
  <c r="F29" i="4"/>
  <c r="E28" i="4"/>
  <c r="F28" i="4"/>
  <c r="E27" i="4"/>
  <c r="F27" i="4"/>
  <c r="D24" i="4"/>
  <c r="E24" i="4"/>
  <c r="C24" i="4"/>
  <c r="F24" i="4"/>
  <c r="E23" i="4"/>
  <c r="F23" i="4"/>
  <c r="E22" i="4"/>
  <c r="F22" i="4"/>
  <c r="E21" i="4"/>
  <c r="F21" i="4"/>
  <c r="D18" i="4"/>
  <c r="E18" i="4"/>
  <c r="C18" i="4"/>
  <c r="F18" i="4"/>
  <c r="E17" i="4"/>
  <c r="F17" i="4"/>
  <c r="E16" i="4"/>
  <c r="F16" i="4"/>
  <c r="E15" i="4"/>
  <c r="F15" i="4"/>
  <c r="D179" i="3"/>
  <c r="E179" i="3"/>
  <c r="C179" i="3"/>
  <c r="E178" i="3"/>
  <c r="F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5" i="3"/>
  <c r="E165" i="3"/>
  <c r="E164" i="3"/>
  <c r="F164" i="3"/>
  <c r="F163" i="3"/>
  <c r="E163" i="3"/>
  <c r="E162" i="3"/>
  <c r="F162" i="3"/>
  <c r="F161" i="3"/>
  <c r="E161" i="3"/>
  <c r="E160" i="3"/>
  <c r="F160" i="3"/>
  <c r="F159" i="3"/>
  <c r="E159" i="3"/>
  <c r="E158" i="3"/>
  <c r="F158" i="3"/>
  <c r="F157" i="3"/>
  <c r="E157" i="3"/>
  <c r="E156" i="3"/>
  <c r="F156" i="3"/>
  <c r="F155" i="3"/>
  <c r="E155" i="3"/>
  <c r="D153" i="3"/>
  <c r="E153" i="3"/>
  <c r="C153" i="3"/>
  <c r="F153" i="3"/>
  <c r="E152" i="3"/>
  <c r="F152" i="3"/>
  <c r="F151" i="3"/>
  <c r="E151" i="3"/>
  <c r="E150" i="3"/>
  <c r="F150" i="3"/>
  <c r="F149" i="3"/>
  <c r="E149" i="3"/>
  <c r="E148" i="3"/>
  <c r="F148" i="3"/>
  <c r="F147" i="3"/>
  <c r="E147" i="3"/>
  <c r="E146" i="3"/>
  <c r="F146" i="3"/>
  <c r="F145" i="3"/>
  <c r="E145" i="3"/>
  <c r="E144" i="3"/>
  <c r="F144" i="3"/>
  <c r="F143" i="3"/>
  <c r="E143" i="3"/>
  <c r="E142" i="3"/>
  <c r="F142" i="3"/>
  <c r="D137" i="3"/>
  <c r="E137" i="3"/>
  <c r="C137" i="3"/>
  <c r="F137" i="3"/>
  <c r="F136" i="3"/>
  <c r="E136" i="3"/>
  <c r="E135" i="3"/>
  <c r="F135" i="3"/>
  <c r="F134" i="3"/>
  <c r="E134" i="3"/>
  <c r="E133" i="3"/>
  <c r="F133" i="3"/>
  <c r="F132" i="3"/>
  <c r="E132" i="3"/>
  <c r="E131" i="3"/>
  <c r="F131" i="3"/>
  <c r="F130" i="3"/>
  <c r="E130" i="3"/>
  <c r="E129" i="3"/>
  <c r="F129" i="3"/>
  <c r="F128" i="3"/>
  <c r="E128" i="3"/>
  <c r="E127" i="3"/>
  <c r="F127" i="3"/>
  <c r="F126" i="3"/>
  <c r="E126" i="3"/>
  <c r="D124" i="3"/>
  <c r="E124" i="3"/>
  <c r="C124" i="3"/>
  <c r="E123" i="3"/>
  <c r="F123" i="3"/>
  <c r="F122" i="3"/>
  <c r="E122" i="3"/>
  <c r="E121" i="3"/>
  <c r="F121" i="3"/>
  <c r="F120" i="3"/>
  <c r="E120" i="3"/>
  <c r="E119" i="3"/>
  <c r="F119" i="3"/>
  <c r="F118" i="3"/>
  <c r="E118" i="3"/>
  <c r="E117" i="3"/>
  <c r="F117" i="3"/>
  <c r="F116" i="3"/>
  <c r="E116" i="3"/>
  <c r="E115" i="3"/>
  <c r="F115" i="3"/>
  <c r="F114" i="3"/>
  <c r="E114" i="3"/>
  <c r="E113" i="3"/>
  <c r="F113" i="3"/>
  <c r="D111" i="3"/>
  <c r="E111" i="3"/>
  <c r="F111" i="3"/>
  <c r="C111" i="3"/>
  <c r="E110" i="3"/>
  <c r="F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D93" i="3"/>
  <c r="E93" i="3"/>
  <c r="C93" i="3"/>
  <c r="D92" i="3"/>
  <c r="E92" i="3"/>
  <c r="C92" i="3"/>
  <c r="D91" i="3"/>
  <c r="E91" i="3"/>
  <c r="C91" i="3"/>
  <c r="D90" i="3"/>
  <c r="E90" i="3"/>
  <c r="C90" i="3"/>
  <c r="D89" i="3"/>
  <c r="E89" i="3"/>
  <c r="C89" i="3"/>
  <c r="D88" i="3"/>
  <c r="E88" i="3"/>
  <c r="C88" i="3"/>
  <c r="D87" i="3"/>
  <c r="E87" i="3"/>
  <c r="C87" i="3"/>
  <c r="D86" i="3"/>
  <c r="E86" i="3"/>
  <c r="C86" i="3"/>
  <c r="D85" i="3"/>
  <c r="E85" i="3"/>
  <c r="C85" i="3"/>
  <c r="D84" i="3"/>
  <c r="E84" i="3"/>
  <c r="F84" i="3"/>
  <c r="D95" i="3"/>
  <c r="C84" i="3"/>
  <c r="C95" i="3"/>
  <c r="D81" i="3"/>
  <c r="E81" i="3"/>
  <c r="C81" i="3"/>
  <c r="E80" i="3"/>
  <c r="F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C68" i="3"/>
  <c r="F67" i="3"/>
  <c r="E67" i="3"/>
  <c r="E66" i="3"/>
  <c r="F66" i="3"/>
  <c r="F65" i="3"/>
  <c r="E65" i="3"/>
  <c r="E64" i="3"/>
  <c r="F64" i="3"/>
  <c r="F63" i="3"/>
  <c r="E63" i="3"/>
  <c r="E62" i="3"/>
  <c r="F62" i="3"/>
  <c r="F61" i="3"/>
  <c r="E61" i="3"/>
  <c r="E60" i="3"/>
  <c r="F60" i="3"/>
  <c r="F59" i="3"/>
  <c r="E59" i="3"/>
  <c r="E58" i="3"/>
  <c r="F58" i="3"/>
  <c r="F57" i="3"/>
  <c r="E57" i="3"/>
  <c r="D51" i="3"/>
  <c r="E51" i="3"/>
  <c r="C51" i="3"/>
  <c r="F51" i="3"/>
  <c r="D50" i="3"/>
  <c r="E50" i="3"/>
  <c r="C50" i="3"/>
  <c r="F50" i="3"/>
  <c r="D49" i="3"/>
  <c r="E49" i="3"/>
  <c r="C49" i="3"/>
  <c r="F49" i="3"/>
  <c r="D48" i="3"/>
  <c r="E48" i="3"/>
  <c r="C48" i="3"/>
  <c r="F48" i="3"/>
  <c r="D47" i="3"/>
  <c r="E47" i="3"/>
  <c r="C47" i="3"/>
  <c r="F47" i="3"/>
  <c r="D46" i="3"/>
  <c r="E46" i="3"/>
  <c r="C46" i="3"/>
  <c r="F46" i="3"/>
  <c r="D45" i="3"/>
  <c r="E45" i="3"/>
  <c r="C45" i="3"/>
  <c r="F45" i="3"/>
  <c r="D44" i="3"/>
  <c r="E44" i="3"/>
  <c r="C44" i="3"/>
  <c r="F44" i="3"/>
  <c r="D43" i="3"/>
  <c r="E43" i="3"/>
  <c r="C43" i="3"/>
  <c r="F43" i="3"/>
  <c r="D42" i="3"/>
  <c r="E42" i="3"/>
  <c r="C42" i="3"/>
  <c r="F42" i="3"/>
  <c r="D41" i="3"/>
  <c r="E41" i="3"/>
  <c r="C41" i="3"/>
  <c r="F41" i="3"/>
  <c r="C52" i="3"/>
  <c r="D38" i="3"/>
  <c r="E38" i="3"/>
  <c r="C38" i="3"/>
  <c r="E37" i="3"/>
  <c r="F37" i="3"/>
  <c r="E36" i="3"/>
  <c r="F36" i="3"/>
  <c r="E35" i="3"/>
  <c r="F35" i="3"/>
  <c r="E34" i="3"/>
  <c r="F34" i="3"/>
  <c r="E33" i="3"/>
  <c r="F33" i="3"/>
  <c r="F32" i="3"/>
  <c r="E32" i="3"/>
  <c r="E31" i="3"/>
  <c r="F31" i="3"/>
  <c r="F30" i="3"/>
  <c r="E30" i="3"/>
  <c r="E29" i="3"/>
  <c r="F29" i="3"/>
  <c r="F28" i="3"/>
  <c r="E28" i="3"/>
  <c r="E27" i="3"/>
  <c r="F27" i="3"/>
  <c r="D25" i="3"/>
  <c r="E25" i="3"/>
  <c r="C25" i="3"/>
  <c r="F25" i="3"/>
  <c r="F24" i="3"/>
  <c r="E24" i="3"/>
  <c r="E23" i="3"/>
  <c r="F23" i="3"/>
  <c r="F22" i="3"/>
  <c r="E22" i="3"/>
  <c r="E21" i="3"/>
  <c r="F21" i="3"/>
  <c r="F20" i="3"/>
  <c r="E20" i="3"/>
  <c r="E19" i="3"/>
  <c r="F19" i="3"/>
  <c r="F18" i="3"/>
  <c r="E18" i="3"/>
  <c r="E17" i="3"/>
  <c r="F17" i="3"/>
  <c r="F16" i="3"/>
  <c r="E16" i="3"/>
  <c r="E15" i="3"/>
  <c r="F15" i="3"/>
  <c r="F14" i="3"/>
  <c r="E14" i="3"/>
  <c r="E49" i="2"/>
  <c r="F49" i="2"/>
  <c r="D46" i="2"/>
  <c r="E46" i="2"/>
  <c r="C46" i="2"/>
  <c r="F46" i="2"/>
  <c r="F45" i="2"/>
  <c r="E45" i="2"/>
  <c r="F44" i="2"/>
  <c r="E44" i="2"/>
  <c r="D39" i="2"/>
  <c r="E39" i="2"/>
  <c r="F39" i="2"/>
  <c r="C39" i="2"/>
  <c r="E38" i="2"/>
  <c r="F38" i="2"/>
  <c r="E37" i="2"/>
  <c r="F37" i="2"/>
  <c r="F36" i="2"/>
  <c r="E36" i="2"/>
  <c r="D31" i="2"/>
  <c r="E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C16" i="2"/>
  <c r="E16" i="2"/>
  <c r="F16" i="2"/>
  <c r="C19" i="2"/>
  <c r="F15" i="2"/>
  <c r="E15" i="2"/>
  <c r="E14" i="2"/>
  <c r="F14" i="2"/>
  <c r="E13" i="2"/>
  <c r="F13" i="2"/>
  <c r="E12" i="2"/>
  <c r="F12" i="2"/>
  <c r="D73" i="1"/>
  <c r="E73" i="1"/>
  <c r="C73" i="1"/>
  <c r="F72" i="1"/>
  <c r="E72" i="1"/>
  <c r="E71" i="1"/>
  <c r="F71" i="1"/>
  <c r="F70" i="1"/>
  <c r="E70" i="1"/>
  <c r="F67" i="1"/>
  <c r="E67" i="1"/>
  <c r="E64" i="1"/>
  <c r="F64" i="1"/>
  <c r="E63" i="1"/>
  <c r="F63" i="1"/>
  <c r="D61" i="1"/>
  <c r="E61" i="1"/>
  <c r="F61" i="1"/>
  <c r="C61" i="1"/>
  <c r="C65" i="1"/>
  <c r="E60" i="1"/>
  <c r="F60" i="1"/>
  <c r="E59" i="1"/>
  <c r="F59" i="1"/>
  <c r="D56" i="1"/>
  <c r="C56" i="1"/>
  <c r="E56" i="1"/>
  <c r="F56" i="1"/>
  <c r="F55" i="1"/>
  <c r="E55" i="1"/>
  <c r="F54" i="1"/>
  <c r="E54" i="1"/>
  <c r="E53" i="1"/>
  <c r="F53" i="1"/>
  <c r="F52" i="1"/>
  <c r="E52" i="1"/>
  <c r="F51" i="1"/>
  <c r="E51" i="1"/>
  <c r="A51" i="1"/>
  <c r="A52" i="1"/>
  <c r="A53" i="1"/>
  <c r="A54" i="1"/>
  <c r="A55" i="1"/>
  <c r="E50" i="1"/>
  <c r="F50" i="1"/>
  <c r="A50" i="1"/>
  <c r="E49" i="1"/>
  <c r="F49" i="1"/>
  <c r="E40" i="1"/>
  <c r="F40" i="1"/>
  <c r="D38" i="1"/>
  <c r="E38" i="1"/>
  <c r="D41" i="1"/>
  <c r="C38" i="1"/>
  <c r="C41" i="1"/>
  <c r="E37" i="1"/>
  <c r="F37" i="1"/>
  <c r="E36" i="1"/>
  <c r="F36" i="1"/>
  <c r="E33" i="1"/>
  <c r="F33" i="1"/>
  <c r="E32" i="1"/>
  <c r="F32" i="1"/>
  <c r="F31" i="1"/>
  <c r="E31" i="1"/>
  <c r="D29" i="1"/>
  <c r="E29" i="1"/>
  <c r="C29" i="1"/>
  <c r="F29" i="1"/>
  <c r="E28" i="1"/>
  <c r="F28" i="1"/>
  <c r="E27" i="1"/>
  <c r="F27" i="1"/>
  <c r="F26" i="1"/>
  <c r="E26" i="1"/>
  <c r="E25" i="1"/>
  <c r="F25" i="1"/>
  <c r="D22" i="1"/>
  <c r="E22" i="1"/>
  <c r="C22" i="1"/>
  <c r="F22" i="1"/>
  <c r="E21" i="1"/>
  <c r="F21" i="1"/>
  <c r="F20" i="1"/>
  <c r="E20" i="1"/>
  <c r="E19" i="1"/>
  <c r="F19" i="1"/>
  <c r="E18" i="1"/>
  <c r="F18" i="1"/>
  <c r="F17" i="1"/>
  <c r="E17" i="1"/>
  <c r="F16" i="1"/>
  <c r="E16" i="1"/>
  <c r="E15" i="1"/>
  <c r="F15" i="1"/>
  <c r="F14" i="1"/>
  <c r="E14" i="1"/>
  <c r="E13" i="1"/>
  <c r="F13" i="1"/>
  <c r="D285" i="14"/>
  <c r="E173" i="14"/>
  <c r="F29" i="14"/>
  <c r="D288" i="14"/>
  <c r="E172" i="14"/>
  <c r="F172" i="14"/>
  <c r="F311" i="14"/>
  <c r="D68" i="14"/>
  <c r="D111" i="14"/>
  <c r="D214" i="14"/>
  <c r="D200" i="14"/>
  <c r="C33" i="2"/>
  <c r="E24" i="5"/>
  <c r="E17" i="5"/>
  <c r="C137" i="5"/>
  <c r="C140" i="5"/>
  <c r="C136" i="5"/>
  <c r="C139" i="5"/>
  <c r="C135" i="5"/>
  <c r="C141" i="5"/>
  <c r="C138" i="5"/>
  <c r="D138" i="5"/>
  <c r="D137" i="5"/>
  <c r="D140" i="5"/>
  <c r="D136" i="5"/>
  <c r="D139" i="5"/>
  <c r="D135" i="5"/>
  <c r="C154" i="5"/>
  <c r="C153" i="5"/>
  <c r="C157" i="5"/>
  <c r="C155" i="5"/>
  <c r="C152" i="5"/>
  <c r="C158" i="5"/>
  <c r="C156" i="5"/>
  <c r="E95" i="3"/>
  <c r="F95" i="3"/>
  <c r="D21" i="5"/>
  <c r="C33" i="9"/>
  <c r="C21" i="10"/>
  <c r="C21" i="5"/>
  <c r="E139" i="5"/>
  <c r="E135" i="5"/>
  <c r="E137" i="5"/>
  <c r="E140" i="5"/>
  <c r="E136" i="5"/>
  <c r="E138" i="5"/>
  <c r="F68" i="3"/>
  <c r="F35" i="4"/>
  <c r="F166" i="3"/>
  <c r="F59" i="4"/>
  <c r="F176" i="4"/>
  <c r="C33" i="11"/>
  <c r="C36" i="11"/>
  <c r="C38" i="11"/>
  <c r="C40" i="11"/>
  <c r="C31" i="11"/>
  <c r="F31" i="11"/>
  <c r="G33" i="11"/>
  <c r="G36" i="11"/>
  <c r="G38" i="11"/>
  <c r="G40" i="11"/>
  <c r="E36" i="11"/>
  <c r="E38" i="11"/>
  <c r="E40" i="11"/>
  <c r="F171" i="4"/>
  <c r="D43" i="5"/>
  <c r="C57" i="5"/>
  <c r="C62" i="5"/>
  <c r="D43" i="1"/>
  <c r="D65" i="1"/>
  <c r="D75" i="1"/>
  <c r="D19" i="2"/>
  <c r="E25" i="5"/>
  <c r="E27" i="5"/>
  <c r="C49" i="5"/>
  <c r="D53" i="5"/>
  <c r="E57" i="5"/>
  <c r="E62" i="5"/>
  <c r="E88" i="5"/>
  <c r="E90" i="5"/>
  <c r="E86" i="5"/>
  <c r="D166" i="5"/>
  <c r="E24" i="6"/>
  <c r="F24" i="6"/>
  <c r="E76" i="6"/>
  <c r="F76" i="6"/>
  <c r="E128" i="6"/>
  <c r="F128" i="6"/>
  <c r="E153" i="6"/>
  <c r="F153" i="6"/>
  <c r="E180" i="6"/>
  <c r="F180" i="6"/>
  <c r="E200" i="6"/>
  <c r="F200" i="6"/>
  <c r="E48" i="7"/>
  <c r="E71" i="7"/>
  <c r="E112" i="7"/>
  <c r="F112" i="7"/>
  <c r="E29" i="8"/>
  <c r="F29" i="8"/>
  <c r="E38" i="8"/>
  <c r="F38" i="8"/>
  <c r="E56" i="8"/>
  <c r="F56" i="8"/>
  <c r="E16" i="9"/>
  <c r="F16" i="9"/>
  <c r="E46" i="9"/>
  <c r="G17" i="11"/>
  <c r="E70" i="12"/>
  <c r="F70" i="12"/>
  <c r="E156" i="5"/>
  <c r="E152" i="5"/>
  <c r="C24" i="10"/>
  <c r="C20" i="10"/>
  <c r="C17" i="10"/>
  <c r="C28" i="10"/>
  <c r="C70" i="10"/>
  <c r="C72" i="10"/>
  <c r="C69" i="10"/>
  <c r="D21" i="10"/>
  <c r="C90" i="14"/>
  <c r="E48" i="14"/>
  <c r="F48" i="14"/>
  <c r="E102" i="14"/>
  <c r="F102" i="14"/>
  <c r="C103" i="14"/>
  <c r="D57" i="5"/>
  <c r="D62" i="5"/>
  <c r="F208" i="6"/>
  <c r="E22" i="8"/>
  <c r="F22" i="8"/>
  <c r="C75" i="8"/>
  <c r="E39" i="9"/>
  <c r="F39" i="9"/>
  <c r="F33" i="11"/>
  <c r="F36" i="11"/>
  <c r="F38" i="11"/>
  <c r="F40" i="11"/>
  <c r="E45" i="12"/>
  <c r="F45" i="12"/>
  <c r="E92" i="12"/>
  <c r="F92" i="12"/>
  <c r="E21" i="10"/>
  <c r="E75" i="12"/>
  <c r="F75" i="12"/>
  <c r="F73" i="12"/>
  <c r="C92" i="14"/>
  <c r="F121" i="7"/>
  <c r="D42" i="10"/>
  <c r="D59" i="10"/>
  <c r="D61" i="10"/>
  <c r="D57" i="10"/>
  <c r="D36" i="11"/>
  <c r="D38" i="11"/>
  <c r="D40" i="11"/>
  <c r="F78" i="4"/>
  <c r="E154" i="5"/>
  <c r="E23" i="6"/>
  <c r="F23" i="6"/>
  <c r="E75" i="6"/>
  <c r="F75" i="6"/>
  <c r="E127" i="6"/>
  <c r="F127" i="6"/>
  <c r="E179" i="6"/>
  <c r="F179" i="6"/>
  <c r="E199" i="6"/>
  <c r="F199" i="6"/>
  <c r="E24" i="7"/>
  <c r="F24" i="7"/>
  <c r="E47" i="7"/>
  <c r="E96" i="7"/>
  <c r="F96" i="7"/>
  <c r="F122" i="7"/>
  <c r="E73" i="8"/>
  <c r="F73" i="8"/>
  <c r="E48" i="10"/>
  <c r="E42" i="10"/>
  <c r="C57" i="10"/>
  <c r="E37" i="12"/>
  <c r="E55" i="12"/>
  <c r="C181" i="14"/>
  <c r="C264" i="14"/>
  <c r="E191" i="14"/>
  <c r="C280" i="14"/>
  <c r="E109" i="19"/>
  <c r="E108" i="19"/>
  <c r="D104" i="14"/>
  <c r="D174" i="14"/>
  <c r="D43" i="8"/>
  <c r="E43" i="8"/>
  <c r="F43" i="8"/>
  <c r="D65" i="8"/>
  <c r="E65" i="8"/>
  <c r="F65" i="8"/>
  <c r="D19" i="9"/>
  <c r="E24" i="14"/>
  <c r="F24" i="14"/>
  <c r="E32" i="14"/>
  <c r="C37" i="14"/>
  <c r="E44" i="14"/>
  <c r="F44" i="14"/>
  <c r="C49" i="14"/>
  <c r="E53" i="14"/>
  <c r="F53" i="14"/>
  <c r="F58" i="14"/>
  <c r="E67" i="14"/>
  <c r="F67" i="14"/>
  <c r="E89" i="14"/>
  <c r="F89" i="14"/>
  <c r="E100" i="14"/>
  <c r="F100" i="14"/>
  <c r="E110" i="14"/>
  <c r="F110" i="14"/>
  <c r="E123" i="14"/>
  <c r="F123" i="14"/>
  <c r="E130" i="14"/>
  <c r="F130" i="14"/>
  <c r="E170" i="14"/>
  <c r="F170" i="14"/>
  <c r="F180" i="14"/>
  <c r="C193" i="14"/>
  <c r="C266" i="14"/>
  <c r="E203" i="14"/>
  <c r="C239" i="14"/>
  <c r="C267" i="14"/>
  <c r="C283" i="15"/>
  <c r="C303" i="15"/>
  <c r="C306" i="15"/>
  <c r="C310" i="15"/>
  <c r="C65" i="16"/>
  <c r="C114" i="16"/>
  <c r="C116" i="16"/>
  <c r="C119" i="16"/>
  <c r="C123" i="16"/>
  <c r="C278" i="14"/>
  <c r="C262" i="14"/>
  <c r="C255" i="14"/>
  <c r="C33" i="15"/>
  <c r="D41" i="17"/>
  <c r="D175" i="14"/>
  <c r="D62" i="14"/>
  <c r="D105" i="14"/>
  <c r="D90" i="14"/>
  <c r="E90" i="14"/>
  <c r="D195" i="14"/>
  <c r="D160" i="14"/>
  <c r="D207" i="14"/>
  <c r="D138" i="14"/>
  <c r="E35" i="14"/>
  <c r="F35" i="14"/>
  <c r="E47" i="14"/>
  <c r="F47" i="14"/>
  <c r="E101" i="14"/>
  <c r="F101" i="14"/>
  <c r="F145" i="14"/>
  <c r="F158" i="14"/>
  <c r="F173" i="14"/>
  <c r="C199" i="14"/>
  <c r="C206" i="14"/>
  <c r="C215" i="14"/>
  <c r="C268" i="14"/>
  <c r="F295" i="14"/>
  <c r="F297" i="14"/>
  <c r="F299" i="14"/>
  <c r="C253" i="15"/>
  <c r="E250" i="14"/>
  <c r="F250" i="14"/>
  <c r="D156" i="15"/>
  <c r="E151" i="15"/>
  <c r="D286" i="14"/>
  <c r="C68" i="14"/>
  <c r="C105" i="14"/>
  <c r="C111" i="14"/>
  <c r="C124" i="14"/>
  <c r="C125" i="14"/>
  <c r="F165" i="14"/>
  <c r="C176" i="14"/>
  <c r="C192" i="14"/>
  <c r="C263" i="14"/>
  <c r="C271" i="14"/>
  <c r="C283" i="14"/>
  <c r="E283" i="14"/>
  <c r="C44" i="15"/>
  <c r="E55" i="15"/>
  <c r="C252" i="15"/>
  <c r="D282" i="14"/>
  <c r="C214" i="14"/>
  <c r="C190" i="14"/>
  <c r="F188" i="14"/>
  <c r="D22" i="15"/>
  <c r="E21" i="15"/>
  <c r="D283" i="15"/>
  <c r="E283" i="15"/>
  <c r="C71" i="15"/>
  <c r="C76" i="15"/>
  <c r="C259" i="15"/>
  <c r="C263" i="15"/>
  <c r="C65" i="15"/>
  <c r="C294" i="15"/>
  <c r="C66" i="15"/>
  <c r="C295" i="15"/>
  <c r="C289" i="15"/>
  <c r="E289" i="15"/>
  <c r="C144" i="15"/>
  <c r="C175" i="15"/>
  <c r="E175" i="15"/>
  <c r="E260" i="15"/>
  <c r="D320" i="15"/>
  <c r="E320" i="15"/>
  <c r="E316" i="15"/>
  <c r="D330" i="15"/>
  <c r="C46" i="19"/>
  <c r="C40" i="19"/>
  <c r="C36" i="19"/>
  <c r="C30" i="19"/>
  <c r="C111" i="19"/>
  <c r="C54" i="19"/>
  <c r="C108" i="19"/>
  <c r="C109" i="19"/>
  <c r="D254" i="14"/>
  <c r="E20" i="14"/>
  <c r="F20" i="14"/>
  <c r="F32" i="14"/>
  <c r="E137" i="14"/>
  <c r="F137" i="14"/>
  <c r="C146" i="14"/>
  <c r="C159" i="14"/>
  <c r="F164" i="14"/>
  <c r="E179" i="14"/>
  <c r="F179" i="14"/>
  <c r="F189" i="14"/>
  <c r="F191" i="14"/>
  <c r="C200" i="14"/>
  <c r="F203" i="14"/>
  <c r="C254" i="14"/>
  <c r="C277" i="14"/>
  <c r="E290" i="14"/>
  <c r="F290" i="14"/>
  <c r="E32" i="15"/>
  <c r="D43" i="15"/>
  <c r="E54" i="15"/>
  <c r="D77" i="15"/>
  <c r="E217" i="15"/>
  <c r="C254" i="15"/>
  <c r="E46" i="17"/>
  <c r="E227" i="14"/>
  <c r="F227" i="14"/>
  <c r="E188" i="15"/>
  <c r="E218" i="15"/>
  <c r="E233" i="15"/>
  <c r="D239" i="15"/>
  <c r="E239" i="15"/>
  <c r="C242" i="15"/>
  <c r="E242" i="15"/>
  <c r="D243" i="15"/>
  <c r="E251" i="15"/>
  <c r="D302" i="15"/>
  <c r="C326" i="15"/>
  <c r="C330" i="15"/>
  <c r="C20" i="17"/>
  <c r="E25" i="17"/>
  <c r="F25" i="17"/>
  <c r="C39" i="17"/>
  <c r="E39" i="17"/>
  <c r="C40" i="17"/>
  <c r="C46" i="17"/>
  <c r="F46" i="17"/>
  <c r="E29" i="19"/>
  <c r="C33" i="19"/>
  <c r="E35" i="19"/>
  <c r="E39" i="19"/>
  <c r="E45" i="19"/>
  <c r="D54" i="19"/>
  <c r="C101" i="19"/>
  <c r="C103" i="19"/>
  <c r="D267" i="14"/>
  <c r="D277" i="14"/>
  <c r="D306" i="14"/>
  <c r="E306" i="14"/>
  <c r="E195" i="15"/>
  <c r="C210" i="15"/>
  <c r="E215" i="15"/>
  <c r="D222" i="15"/>
  <c r="C261" i="15"/>
  <c r="E261" i="15"/>
  <c r="E314" i="15"/>
  <c r="C49" i="16"/>
  <c r="F33" i="17"/>
  <c r="F43" i="17"/>
  <c r="F44" i="17"/>
  <c r="F45" i="17"/>
  <c r="E23" i="19"/>
  <c r="D29" i="19"/>
  <c r="C34" i="19"/>
  <c r="D35" i="19"/>
  <c r="D39" i="19"/>
  <c r="D45" i="19"/>
  <c r="D124" i="14"/>
  <c r="E124" i="14"/>
  <c r="F124" i="14"/>
  <c r="D206" i="14"/>
  <c r="E206" i="14"/>
  <c r="D262" i="14"/>
  <c r="D266" i="14"/>
  <c r="D274" i="14"/>
  <c r="E274" i="14"/>
  <c r="F274" i="14"/>
  <c r="D280" i="14"/>
  <c r="E205" i="15"/>
  <c r="E216" i="15"/>
  <c r="E220" i="15"/>
  <c r="C222" i="15"/>
  <c r="C246" i="15"/>
  <c r="D241" i="15"/>
  <c r="E241" i="15"/>
  <c r="D245" i="15"/>
  <c r="E245" i="15"/>
  <c r="E301" i="15"/>
  <c r="C22" i="19"/>
  <c r="D30" i="19"/>
  <c r="E33" i="19"/>
  <c r="D36" i="19"/>
  <c r="D40" i="19"/>
  <c r="E53" i="19"/>
  <c r="E101" i="19"/>
  <c r="E103" i="19"/>
  <c r="D199" i="14"/>
  <c r="E199" i="14"/>
  <c r="D205" i="14"/>
  <c r="E205" i="14"/>
  <c r="F205" i="14"/>
  <c r="D215" i="14"/>
  <c r="D261" i="14"/>
  <c r="F237" i="14"/>
  <c r="D21" i="14"/>
  <c r="D91" i="14"/>
  <c r="D190" i="14"/>
  <c r="E190" i="14"/>
  <c r="D140" i="14"/>
  <c r="D139" i="14"/>
  <c r="E215" i="14"/>
  <c r="D255" i="14"/>
  <c r="E255" i="14"/>
  <c r="F255" i="14"/>
  <c r="E54" i="19"/>
  <c r="E46" i="19"/>
  <c r="E40" i="19"/>
  <c r="E36" i="19"/>
  <c r="E30" i="19"/>
  <c r="E111" i="19"/>
  <c r="D270" i="14"/>
  <c r="E267" i="14"/>
  <c r="D126" i="14"/>
  <c r="D49" i="14"/>
  <c r="D161" i="14"/>
  <c r="D56" i="19"/>
  <c r="D48" i="19"/>
  <c r="D38" i="19"/>
  <c r="D259" i="15"/>
  <c r="E43" i="15"/>
  <c r="E146" i="14"/>
  <c r="F146" i="14"/>
  <c r="C56" i="19"/>
  <c r="C48" i="19"/>
  <c r="C38" i="19"/>
  <c r="C113" i="19"/>
  <c r="C216" i="14"/>
  <c r="E214" i="14"/>
  <c r="F214" i="14"/>
  <c r="C99" i="15"/>
  <c r="C95" i="15"/>
  <c r="C88" i="15"/>
  <c r="C84" i="15"/>
  <c r="C258" i="15"/>
  <c r="C101" i="15"/>
  <c r="C97" i="15"/>
  <c r="C86" i="15"/>
  <c r="C96" i="15"/>
  <c r="C85" i="15"/>
  <c r="C83" i="15"/>
  <c r="C100" i="15"/>
  <c r="C89" i="15"/>
  <c r="C98" i="15"/>
  <c r="C87" i="15"/>
  <c r="E111" i="14"/>
  <c r="F111" i="14"/>
  <c r="E37" i="14"/>
  <c r="F37" i="14"/>
  <c r="E19" i="9"/>
  <c r="F19" i="9"/>
  <c r="D33" i="9"/>
  <c r="E21" i="5"/>
  <c r="E20" i="5"/>
  <c r="C41" i="2"/>
  <c r="E266" i="14"/>
  <c r="F266" i="14"/>
  <c r="E326" i="15"/>
  <c r="E33" i="15"/>
  <c r="F215" i="14"/>
  <c r="D300" i="14"/>
  <c r="E243" i="15"/>
  <c r="D252" i="15"/>
  <c r="C284" i="14"/>
  <c r="C287" i="14"/>
  <c r="C279" i="14"/>
  <c r="E159" i="14"/>
  <c r="F159" i="14"/>
  <c r="E254" i="14"/>
  <c r="F254" i="14"/>
  <c r="C180" i="15"/>
  <c r="C168" i="15"/>
  <c r="C145" i="15"/>
  <c r="D157" i="15"/>
  <c r="E157" i="15"/>
  <c r="E156" i="15"/>
  <c r="D106" i="14"/>
  <c r="E105" i="14"/>
  <c r="D176" i="14"/>
  <c r="E176" i="14"/>
  <c r="F176" i="14"/>
  <c r="E175" i="14"/>
  <c r="F175" i="14"/>
  <c r="E181" i="14"/>
  <c r="F181" i="14"/>
  <c r="D155" i="5"/>
  <c r="D156" i="5"/>
  <c r="D153" i="5"/>
  <c r="D157" i="5"/>
  <c r="D154" i="5"/>
  <c r="D152" i="5"/>
  <c r="D158" i="5"/>
  <c r="C41" i="9"/>
  <c r="F190" i="14"/>
  <c r="E20" i="17"/>
  <c r="F20" i="17"/>
  <c r="D265" i="14"/>
  <c r="D125" i="14"/>
  <c r="E125" i="14"/>
  <c r="F125" i="14"/>
  <c r="E40" i="17"/>
  <c r="E41" i="17"/>
  <c r="D253" i="15"/>
  <c r="E253" i="15"/>
  <c r="C126" i="14"/>
  <c r="C304" i="14"/>
  <c r="F90" i="14"/>
  <c r="E141" i="5"/>
  <c r="E47" i="19"/>
  <c r="E37" i="19"/>
  <c r="E112" i="19"/>
  <c r="E55" i="19"/>
  <c r="F283" i="14"/>
  <c r="D208" i="14"/>
  <c r="D141" i="14"/>
  <c r="F278" i="14"/>
  <c r="E278" i="14"/>
  <c r="F239" i="14"/>
  <c r="E239" i="14"/>
  <c r="C194" i="14"/>
  <c r="E193" i="14"/>
  <c r="F193" i="14"/>
  <c r="E103" i="14"/>
  <c r="F103" i="14"/>
  <c r="C77" i="15"/>
  <c r="F199" i="14"/>
  <c r="D44" i="15"/>
  <c r="E76" i="15"/>
  <c r="C160" i="14"/>
  <c r="E160" i="14"/>
  <c r="F160" i="14"/>
  <c r="E222" i="15"/>
  <c r="D268" i="14"/>
  <c r="E268" i="14"/>
  <c r="F268" i="14"/>
  <c r="E261" i="14"/>
  <c r="F261" i="14"/>
  <c r="D271" i="14"/>
  <c r="D263" i="14"/>
  <c r="E263" i="14"/>
  <c r="F263" i="14"/>
  <c r="D281" i="14"/>
  <c r="E280" i="14"/>
  <c r="F280" i="14"/>
  <c r="C234" i="15"/>
  <c r="C211" i="15"/>
  <c r="C235" i="15"/>
  <c r="D127" i="15"/>
  <c r="D123" i="15"/>
  <c r="D112" i="15"/>
  <c r="D125" i="15"/>
  <c r="D121" i="15"/>
  <c r="D114" i="15"/>
  <c r="D110" i="15"/>
  <c r="D124" i="15"/>
  <c r="D113" i="15"/>
  <c r="D122" i="15"/>
  <c r="D111" i="15"/>
  <c r="D109" i="15"/>
  <c r="D126" i="15"/>
  <c r="D115" i="15"/>
  <c r="E200" i="14"/>
  <c r="F200" i="14"/>
  <c r="F192" i="14"/>
  <c r="E192" i="14"/>
  <c r="E68" i="14"/>
  <c r="F68" i="14"/>
  <c r="C45" i="19"/>
  <c r="C39" i="19"/>
  <c r="C35" i="19"/>
  <c r="C29" i="19"/>
  <c r="C110" i="19"/>
  <c r="C53" i="19"/>
  <c r="D272" i="14"/>
  <c r="E262" i="14"/>
  <c r="F262" i="14"/>
  <c r="D47" i="19"/>
  <c r="D37" i="19"/>
  <c r="D55" i="19"/>
  <c r="D287" i="14"/>
  <c r="D279" i="14"/>
  <c r="E279" i="14"/>
  <c r="D284" i="14"/>
  <c r="E284" i="14"/>
  <c r="E277" i="14"/>
  <c r="F277" i="14"/>
  <c r="F39" i="17"/>
  <c r="C41" i="17"/>
  <c r="E302" i="15"/>
  <c r="D303" i="15"/>
  <c r="D284" i="15"/>
  <c r="E284" i="15"/>
  <c r="E22" i="15"/>
  <c r="C106" i="14"/>
  <c r="F105" i="14"/>
  <c r="D63" i="14"/>
  <c r="F267" i="14"/>
  <c r="C50" i="14"/>
  <c r="C300" i="14"/>
  <c r="C265" i="14"/>
  <c r="E264" i="14"/>
  <c r="F264" i="14"/>
  <c r="E19" i="2"/>
  <c r="F19" i="2"/>
  <c r="D33" i="2"/>
  <c r="E28" i="5"/>
  <c r="E99" i="5"/>
  <c r="E101" i="5"/>
  <c r="E98" i="5"/>
  <c r="E112" i="5"/>
  <c r="E111" i="5"/>
  <c r="D216" i="14"/>
  <c r="E216" i="14"/>
  <c r="C223" i="15"/>
  <c r="C247" i="15"/>
  <c r="E330" i="15"/>
  <c r="D223" i="15"/>
  <c r="C161" i="14"/>
  <c r="F206" i="14"/>
  <c r="E71" i="15"/>
  <c r="D75" i="8"/>
  <c r="E75" i="8"/>
  <c r="F75" i="8"/>
  <c r="C282" i="14"/>
  <c r="C22" i="10"/>
  <c r="D141" i="5"/>
  <c r="C112" i="19"/>
  <c r="C55" i="19"/>
  <c r="C47" i="19"/>
  <c r="C37" i="19"/>
  <c r="C126" i="15"/>
  <c r="C122" i="15"/>
  <c r="C115" i="15"/>
  <c r="C111" i="15"/>
  <c r="C124" i="15"/>
  <c r="E124" i="15"/>
  <c r="C113" i="15"/>
  <c r="C109" i="15"/>
  <c r="C127" i="15"/>
  <c r="C125" i="15"/>
  <c r="E125" i="15"/>
  <c r="C114" i="15"/>
  <c r="C123" i="15"/>
  <c r="C112" i="15"/>
  <c r="C121" i="15"/>
  <c r="C110" i="15"/>
  <c r="C116" i="15"/>
  <c r="C127" i="14"/>
  <c r="C48" i="9"/>
  <c r="C48" i="2"/>
  <c r="F41" i="17"/>
  <c r="E127" i="15"/>
  <c r="F284" i="14"/>
  <c r="F40" i="17"/>
  <c r="C90" i="15"/>
  <c r="E121" i="15"/>
  <c r="D209" i="14"/>
  <c r="D210" i="14"/>
  <c r="D41" i="9"/>
  <c r="E33" i="9"/>
  <c r="F33" i="9"/>
  <c r="C264" i="15"/>
  <c r="C266" i="15"/>
  <c r="C267" i="15"/>
  <c r="D162" i="14"/>
  <c r="E161" i="14"/>
  <c r="D127" i="14"/>
  <c r="E126" i="14"/>
  <c r="F126" i="14"/>
  <c r="E48" i="19"/>
  <c r="E38" i="19"/>
  <c r="E113" i="19"/>
  <c r="E56" i="19"/>
  <c r="E126" i="15"/>
  <c r="E113" i="15"/>
  <c r="E123" i="15"/>
  <c r="E300" i="14"/>
  <c r="F300" i="14"/>
  <c r="E22" i="5"/>
  <c r="C102" i="15"/>
  <c r="D304" i="14"/>
  <c r="D273" i="14"/>
  <c r="E271" i="14"/>
  <c r="F271" i="14"/>
  <c r="C181" i="15"/>
  <c r="C169" i="15"/>
  <c r="D92" i="14"/>
  <c r="E91" i="14"/>
  <c r="F91" i="14"/>
  <c r="E115" i="15"/>
  <c r="E112" i="15"/>
  <c r="C113" i="14"/>
  <c r="E106" i="14"/>
  <c r="F106" i="14"/>
  <c r="C103" i="15"/>
  <c r="F216" i="14"/>
  <c r="F161" i="14"/>
  <c r="C162" i="14"/>
  <c r="D41" i="2"/>
  <c r="E33" i="2"/>
  <c r="F33" i="2"/>
  <c r="D306" i="15"/>
  <c r="E303" i="15"/>
  <c r="E122" i="15"/>
  <c r="D128" i="15"/>
  <c r="D100" i="15"/>
  <c r="E100" i="15"/>
  <c r="D96" i="15"/>
  <c r="D89" i="15"/>
  <c r="E89" i="15"/>
  <c r="D85" i="15"/>
  <c r="E85" i="15"/>
  <c r="D258" i="15"/>
  <c r="D98" i="15"/>
  <c r="E98" i="15"/>
  <c r="D87" i="15"/>
  <c r="E87" i="15"/>
  <c r="D83" i="15"/>
  <c r="D101" i="15"/>
  <c r="E101" i="15"/>
  <c r="D99" i="15"/>
  <c r="E99" i="15"/>
  <c r="D88" i="15"/>
  <c r="E88" i="15"/>
  <c r="D97" i="15"/>
  <c r="E97" i="15"/>
  <c r="D86" i="15"/>
  <c r="E86" i="15"/>
  <c r="E44" i="15"/>
  <c r="D95" i="15"/>
  <c r="D84" i="15"/>
  <c r="E194" i="14"/>
  <c r="F194" i="14"/>
  <c r="C195" i="14"/>
  <c r="C196" i="14"/>
  <c r="E287" i="14"/>
  <c r="F287" i="14"/>
  <c r="D291" i="14"/>
  <c r="D289" i="14"/>
  <c r="D116" i="15"/>
  <c r="E116" i="15"/>
  <c r="E110" i="15"/>
  <c r="D322" i="14"/>
  <c r="E252" i="15"/>
  <c r="D254" i="15"/>
  <c r="E254" i="15"/>
  <c r="D263" i="15"/>
  <c r="E263" i="15"/>
  <c r="E259" i="15"/>
  <c r="D50" i="14"/>
  <c r="E49" i="14"/>
  <c r="F49" i="14"/>
  <c r="E114" i="15"/>
  <c r="E282" i="14"/>
  <c r="F282" i="14"/>
  <c r="E111" i="15"/>
  <c r="E77" i="15"/>
  <c r="E265" i="14"/>
  <c r="F265" i="14"/>
  <c r="C324" i="14"/>
  <c r="C281" i="14"/>
  <c r="E281" i="14"/>
  <c r="F281" i="14"/>
  <c r="F279" i="14"/>
  <c r="C91" i="15"/>
  <c r="E195" i="14"/>
  <c r="F195" i="14"/>
  <c r="E95" i="15"/>
  <c r="E41" i="2"/>
  <c r="F41" i="2"/>
  <c r="D48" i="2"/>
  <c r="E48" i="2"/>
  <c r="F48" i="2"/>
  <c r="D183" i="14"/>
  <c r="D323" i="14"/>
  <c r="E162" i="14"/>
  <c r="F162" i="14"/>
  <c r="E41" i="9"/>
  <c r="F41" i="9"/>
  <c r="D48" i="9"/>
  <c r="E48" i="9"/>
  <c r="F48" i="9"/>
  <c r="D70" i="14"/>
  <c r="E50" i="14"/>
  <c r="F50" i="14"/>
  <c r="E84" i="15"/>
  <c r="D90" i="15"/>
  <c r="E90" i="15"/>
  <c r="D91" i="15"/>
  <c r="E83" i="15"/>
  <c r="D324" i="14"/>
  <c r="D113" i="14"/>
  <c r="E113" i="14"/>
  <c r="F113" i="14"/>
  <c r="E92" i="14"/>
  <c r="F92" i="14"/>
  <c r="E304" i="14"/>
  <c r="F304" i="14"/>
  <c r="D129" i="15"/>
  <c r="C128" i="15"/>
  <c r="C129" i="15"/>
  <c r="D264" i="15"/>
  <c r="D266" i="15"/>
  <c r="E258" i="15"/>
  <c r="D148" i="14"/>
  <c r="E127" i="14"/>
  <c r="F127" i="14"/>
  <c r="C117" i="15"/>
  <c r="E109" i="15"/>
  <c r="D310" i="15"/>
  <c r="E310" i="15"/>
  <c r="E306" i="15"/>
  <c r="D305" i="14"/>
  <c r="D102" i="15"/>
  <c r="E102" i="15"/>
  <c r="E96" i="15"/>
  <c r="C323" i="14"/>
  <c r="E323" i="14"/>
  <c r="F323" i="14"/>
  <c r="C183" i="14"/>
  <c r="F183" i="14"/>
  <c r="D211" i="14"/>
  <c r="C197" i="14"/>
  <c r="C105" i="15"/>
  <c r="D117" i="15"/>
  <c r="D131" i="15"/>
  <c r="E91" i="15"/>
  <c r="E264" i="15"/>
  <c r="E324" i="14"/>
  <c r="F324" i="14"/>
  <c r="D325" i="14"/>
  <c r="E183" i="14"/>
  <c r="D309" i="14"/>
  <c r="D267" i="15"/>
  <c r="E266" i="15"/>
  <c r="E129" i="15"/>
  <c r="C131" i="15"/>
  <c r="E131" i="15"/>
  <c r="C269" i="15"/>
  <c r="C268" i="15"/>
  <c r="E117" i="15"/>
  <c r="E41" i="1"/>
  <c r="F73" i="1"/>
  <c r="F31" i="2"/>
  <c r="F38" i="3"/>
  <c r="F81" i="3"/>
  <c r="F85" i="3"/>
  <c r="F86" i="3"/>
  <c r="F87" i="3"/>
  <c r="F88" i="3"/>
  <c r="F89" i="3"/>
  <c r="F90" i="3"/>
  <c r="F91" i="3"/>
  <c r="F92" i="3"/>
  <c r="F93" i="3"/>
  <c r="F94" i="3"/>
  <c r="F124" i="3"/>
  <c r="F179" i="3"/>
  <c r="D310" i="14"/>
  <c r="D103" i="15"/>
  <c r="E128" i="15"/>
  <c r="E223" i="15"/>
  <c r="F41" i="1"/>
  <c r="C43" i="1"/>
  <c r="C75" i="1"/>
  <c r="F65" i="1"/>
  <c r="E65" i="1"/>
  <c r="F38" i="1"/>
  <c r="D52" i="3"/>
  <c r="E52" i="3"/>
  <c r="F52" i="3"/>
  <c r="C83" i="4"/>
  <c r="F109" i="4"/>
  <c r="E153" i="5"/>
  <c r="E157" i="5"/>
  <c r="E155" i="5"/>
  <c r="F50" i="6"/>
  <c r="F62" i="6"/>
  <c r="F63" i="6"/>
  <c r="F89" i="6"/>
  <c r="F102" i="6"/>
  <c r="F166" i="6"/>
  <c r="F167" i="6"/>
  <c r="F192" i="6"/>
  <c r="F193" i="6"/>
  <c r="F35" i="7"/>
  <c r="F107" i="7"/>
  <c r="E21" i="14"/>
  <c r="F21" i="14"/>
  <c r="D196" i="14"/>
  <c r="E41" i="4"/>
  <c r="F41" i="4"/>
  <c r="D83" i="4"/>
  <c r="E83" i="4"/>
  <c r="F118" i="4"/>
  <c r="E118" i="4"/>
  <c r="D15" i="5"/>
  <c r="C15" i="5"/>
  <c r="C43" i="5"/>
  <c r="E53" i="5"/>
  <c r="E43" i="5"/>
  <c r="D77" i="5"/>
  <c r="D71" i="5"/>
  <c r="E36" i="6"/>
  <c r="F36" i="6"/>
  <c r="E37" i="6"/>
  <c r="F37" i="6"/>
  <c r="E88" i="6"/>
  <c r="F88" i="6"/>
  <c r="E114" i="6"/>
  <c r="F114" i="6"/>
  <c r="E115" i="6"/>
  <c r="F115" i="6"/>
  <c r="E140" i="6"/>
  <c r="F140" i="6"/>
  <c r="E141" i="6"/>
  <c r="F141" i="6"/>
  <c r="C207" i="6"/>
  <c r="E198" i="6"/>
  <c r="F198" i="6"/>
  <c r="E23" i="7"/>
  <c r="F23" i="7"/>
  <c r="E36" i="7"/>
  <c r="F36" i="7"/>
  <c r="E59" i="7"/>
  <c r="F59" i="7"/>
  <c r="E60" i="7"/>
  <c r="F60" i="7"/>
  <c r="E113" i="7"/>
  <c r="F113" i="7"/>
  <c r="F41" i="8"/>
  <c r="F31" i="9"/>
  <c r="D17" i="10"/>
  <c r="D28" i="10"/>
  <c r="D24" i="10"/>
  <c r="D20" i="10"/>
  <c r="C138" i="14"/>
  <c r="E138" i="14"/>
  <c r="C207" i="14"/>
  <c r="F155" i="4"/>
  <c r="E15" i="10"/>
  <c r="E31" i="11"/>
  <c r="G31" i="11"/>
  <c r="E30" i="12"/>
  <c r="F30" i="12"/>
  <c r="E31" i="14"/>
  <c r="F31" i="14"/>
  <c r="F36" i="14"/>
  <c r="F59" i="14"/>
  <c r="C60" i="14"/>
  <c r="E76" i="14"/>
  <c r="F76" i="14"/>
  <c r="E88" i="14"/>
  <c r="F88" i="14"/>
  <c r="F94" i="14"/>
  <c r="F135" i="14"/>
  <c r="E198" i="14"/>
  <c r="F198" i="14"/>
  <c r="F223" i="14"/>
  <c r="E163" i="15"/>
  <c r="E240" i="15"/>
  <c r="E110" i="19"/>
  <c r="F17" i="11"/>
  <c r="E136" i="14"/>
  <c r="F136" i="14"/>
  <c r="C285" i="14"/>
  <c r="C269" i="14"/>
  <c r="E204" i="14"/>
  <c r="F204" i="14"/>
  <c r="E307" i="14"/>
  <c r="F307" i="14"/>
  <c r="D294" i="15"/>
  <c r="E294" i="15"/>
  <c r="D65" i="15"/>
  <c r="D144" i="15"/>
  <c r="D210" i="15"/>
  <c r="E324" i="15"/>
  <c r="E16" i="17"/>
  <c r="F16" i="17"/>
  <c r="D77" i="19"/>
  <c r="E139" i="15"/>
  <c r="D189" i="15"/>
  <c r="E189" i="15"/>
  <c r="E19" i="17"/>
  <c r="F19" i="17"/>
  <c r="D109" i="19"/>
  <c r="D110" i="19"/>
  <c r="D111" i="19"/>
  <c r="D108" i="19"/>
  <c r="D113" i="19"/>
  <c r="D112" i="19"/>
  <c r="D145" i="15"/>
  <c r="D180" i="15"/>
  <c r="E180" i="15"/>
  <c r="D168" i="15"/>
  <c r="E168" i="15"/>
  <c r="E144" i="15"/>
  <c r="C286" i="14"/>
  <c r="C288" i="14"/>
  <c r="C208" i="14"/>
  <c r="F207" i="14"/>
  <c r="E207" i="14"/>
  <c r="C17" i="5"/>
  <c r="C24" i="5"/>
  <c r="C20" i="5"/>
  <c r="E207" i="6"/>
  <c r="F207" i="6"/>
  <c r="D197" i="14"/>
  <c r="E197" i="14"/>
  <c r="F197" i="14"/>
  <c r="E196" i="14"/>
  <c r="F196" i="14"/>
  <c r="E43" i="1"/>
  <c r="F43" i="1"/>
  <c r="E285" i="14"/>
  <c r="F285" i="14"/>
  <c r="D312" i="14"/>
  <c r="D211" i="15"/>
  <c r="D234" i="15"/>
  <c r="E234" i="15"/>
  <c r="E210" i="15"/>
  <c r="D66" i="15"/>
  <c r="D246" i="15"/>
  <c r="E246" i="15"/>
  <c r="E65" i="15"/>
  <c r="E269" i="14"/>
  <c r="F269" i="14"/>
  <c r="C270" i="14"/>
  <c r="C272" i="14"/>
  <c r="C61" i="14"/>
  <c r="E60" i="14"/>
  <c r="F60" i="14"/>
  <c r="E24" i="10"/>
  <c r="E20" i="10"/>
  <c r="E17" i="10"/>
  <c r="E28" i="10"/>
  <c r="C140" i="14"/>
  <c r="F138" i="14"/>
  <c r="D22" i="10"/>
  <c r="D70" i="10"/>
  <c r="D72" i="10"/>
  <c r="D69" i="10"/>
  <c r="D24" i="5"/>
  <c r="D20" i="5"/>
  <c r="D17" i="5"/>
  <c r="E158" i="5"/>
  <c r="F83" i="4"/>
  <c r="F75" i="1"/>
  <c r="E75" i="1"/>
  <c r="E103" i="15"/>
  <c r="D105" i="15"/>
  <c r="E105" i="15"/>
  <c r="C271" i="15"/>
  <c r="E267" i="15"/>
  <c r="D269" i="15"/>
  <c r="E269" i="15"/>
  <c r="D268" i="15"/>
  <c r="D271" i="15"/>
  <c r="E271" i="15"/>
  <c r="E268" i="15"/>
  <c r="D112" i="5"/>
  <c r="D111" i="5"/>
  <c r="D28" i="5"/>
  <c r="E70" i="10"/>
  <c r="E72" i="10"/>
  <c r="E69" i="10"/>
  <c r="E22" i="10"/>
  <c r="C174" i="14"/>
  <c r="C104" i="14"/>
  <c r="E61" i="14"/>
  <c r="C62" i="14"/>
  <c r="C139" i="14"/>
  <c r="C209" i="14"/>
  <c r="F61" i="14"/>
  <c r="E270" i="14"/>
  <c r="F270" i="14"/>
  <c r="D235" i="15"/>
  <c r="E235" i="15"/>
  <c r="E211" i="15"/>
  <c r="C112" i="5"/>
  <c r="C111" i="5"/>
  <c r="C28" i="5"/>
  <c r="C210" i="14"/>
  <c r="E208" i="14"/>
  <c r="F208" i="14"/>
  <c r="E286" i="14"/>
  <c r="F286" i="14"/>
  <c r="E140" i="14"/>
  <c r="C141" i="14"/>
  <c r="F140" i="14"/>
  <c r="E272" i="14"/>
  <c r="F272" i="14"/>
  <c r="C273" i="14"/>
  <c r="E66" i="15"/>
  <c r="D295" i="15"/>
  <c r="E295" i="15"/>
  <c r="D247" i="15"/>
  <c r="E247" i="15"/>
  <c r="D313" i="14"/>
  <c r="E288" i="14"/>
  <c r="C289" i="14"/>
  <c r="F288" i="14"/>
  <c r="C291" i="14"/>
  <c r="D181" i="15"/>
  <c r="E181" i="15"/>
  <c r="E145" i="15"/>
  <c r="D169" i="15"/>
  <c r="E169" i="15"/>
  <c r="F273" i="14"/>
  <c r="E273" i="14"/>
  <c r="C322" i="14"/>
  <c r="E141" i="14"/>
  <c r="C148" i="14"/>
  <c r="C211" i="14"/>
  <c r="F141" i="14"/>
  <c r="E210" i="14"/>
  <c r="F210" i="14"/>
  <c r="E209" i="14"/>
  <c r="F209" i="14"/>
  <c r="C63" i="14"/>
  <c r="F62" i="14"/>
  <c r="E62" i="14"/>
  <c r="F104" i="14"/>
  <c r="E104" i="14"/>
  <c r="D22" i="5"/>
  <c r="D99" i="5"/>
  <c r="D101" i="5"/>
  <c r="D98" i="5"/>
  <c r="E291" i="14"/>
  <c r="C305" i="14"/>
  <c r="F291" i="14"/>
  <c r="E289" i="14"/>
  <c r="F289" i="14"/>
  <c r="D315" i="14"/>
  <c r="D251" i="14"/>
  <c r="D256" i="14"/>
  <c r="D314" i="14"/>
  <c r="C99" i="5"/>
  <c r="C101" i="5"/>
  <c r="C98" i="5"/>
  <c r="C22" i="5"/>
  <c r="F139" i="14"/>
  <c r="E139" i="14"/>
  <c r="F174" i="14"/>
  <c r="E174" i="14"/>
  <c r="D318" i="14"/>
  <c r="D257" i="14"/>
  <c r="C309" i="14"/>
  <c r="E305" i="14"/>
  <c r="F305" i="14"/>
  <c r="C70" i="14"/>
  <c r="E63" i="14"/>
  <c r="F63" i="14"/>
  <c r="F211" i="14"/>
  <c r="E211" i="14"/>
  <c r="E148" i="14"/>
  <c r="F148" i="14"/>
  <c r="C325" i="14"/>
  <c r="E322" i="14"/>
  <c r="F322" i="14"/>
  <c r="F70" i="14"/>
  <c r="E70" i="14"/>
  <c r="C310" i="14"/>
  <c r="E309" i="14"/>
  <c r="F309" i="14"/>
  <c r="E325" i="14"/>
  <c r="F325" i="14"/>
  <c r="C312" i="14"/>
  <c r="E310" i="14"/>
  <c r="F310" i="14"/>
  <c r="C313" i="14"/>
  <c r="E312" i="14"/>
  <c r="F312" i="14"/>
  <c r="F313" i="14"/>
  <c r="C251" i="14"/>
  <c r="C315" i="14"/>
  <c r="C314" i="14"/>
  <c r="C256" i="14"/>
  <c r="E313" i="14"/>
  <c r="C257" i="14"/>
  <c r="E256" i="14"/>
  <c r="F256" i="14"/>
  <c r="E315" i="14"/>
  <c r="F315" i="14"/>
  <c r="C318" i="14"/>
  <c r="F314" i="14"/>
  <c r="E314" i="14"/>
  <c r="F251" i="14"/>
  <c r="E251" i="14"/>
  <c r="F318" i="14"/>
  <c r="E318" i="14"/>
  <c r="F257" i="14"/>
  <c r="E257" i="14"/>
</calcChain>
</file>

<file path=xl/sharedStrings.xml><?xml version="1.0" encoding="utf-8"?>
<sst xmlns="http://schemas.openxmlformats.org/spreadsheetml/2006/main" count="2301" uniqueCount="979">
  <si>
    <t>CHARLOTTE HUNGERFORD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</si>
  <si>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</si>
  <si>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</si>
  <si>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</si>
  <si>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</si>
  <si>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</si>
  <si>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</si>
  <si>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</si>
  <si>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</si>
  <si>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</si>
  <si>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</si>
  <si>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</si>
  <si>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</si>
  <si>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</si>
  <si>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</si>
  <si>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</si>
  <si>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</si>
  <si>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</si>
  <si>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</si>
  <si>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</si>
  <si>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</si>
  <si>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</si>
  <si>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</si>
  <si>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</si>
  <si>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</si>
  <si>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</si>
  <si>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</si>
  <si>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</si>
  <si>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</si>
  <si>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</si>
  <si>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</si>
  <si>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</si>
  <si>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</si>
  <si>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</si>
  <si>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</si>
  <si>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</si>
  <si>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</si>
  <si>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</si>
  <si>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</si>
  <si>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</si>
  <si>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</si>
  <si>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</si>
  <si>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</si>
  <si>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</si>
  <si>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</si>
  <si>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</si>
  <si>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</si>
  <si>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</si>
  <si>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</si>
  <si>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</si>
  <si>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</si>
  <si>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</si>
  <si>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</si>
  <si>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</si>
  <si>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</si>
  <si>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</si>
  <si>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</si>
  <si>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</si>
  <si>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</si>
  <si>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</si>
  <si>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</si>
  <si>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</si>
  <si>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</si>
  <si>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</si>
  <si>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</si>
  <si>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</si>
  <si>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</si>
  <si>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</si>
  <si>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</si>
  <si>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</si>
  <si>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</si>
  <si>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</si>
  <si>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</si>
  <si>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</si>
  <si>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</si>
  <si>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</si>
  <si>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</si>
  <si>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</si>
  <si>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</si>
  <si>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</si>
  <si>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</si>
  <si>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</si>
  <si>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</si>
  <si>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</si>
  <si>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</si>
  <si>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</si>
  <si>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</si>
  <si>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</si>
  <si>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</si>
  <si>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</si>
  <si>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</si>
  <si>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</si>
  <si>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</si>
  <si>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</si>
  <si>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</si>
  <si>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</si>
  <si>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</si>
  <si>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</si>
  <si>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</si>
  <si>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</si>
  <si>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</si>
  <si>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</si>
  <si>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</si>
  <si>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</si>
  <si>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</si>
  <si>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</si>
  <si>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</si>
  <si>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</si>
  <si>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</si>
  <si>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</si>
  <si>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</si>
  <si>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</si>
  <si>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</si>
  <si>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</si>
  <si>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</si>
  <si>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</si>
  <si>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</si>
  <si>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</si>
  <si>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</si>
  <si>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</si>
  <si>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</si>
  <si>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</si>
  <si>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</si>
  <si>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</si>
  <si>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</si>
  <si>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</si>
  <si>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</si>
  <si>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</si>
  <si>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</si>
  <si>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</si>
  <si>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</si>
  <si>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</si>
  <si>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</si>
  <si>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</si>
  <si>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</si>
  <si>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</si>
  <si>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</si>
  <si>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</si>
  <si>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</si>
  <si>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</si>
  <si>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</si>
  <si>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</si>
  <si>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</si>
  <si>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</si>
  <si>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</si>
  <si>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</si>
  <si>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</si>
  <si>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</si>
  <si>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</si>
  <si>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</si>
  <si>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</si>
  <si>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</si>
  <si>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</si>
  <si>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</si>
  <si>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</si>
  <si>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</si>
  <si>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</si>
  <si>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</si>
  <si>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</si>
  <si>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</si>
  <si>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</si>
  <si>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</si>
  <si>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</si>
  <si>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</si>
  <si>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</si>
  <si>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</si>
  <si>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</si>
  <si>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</si>
  <si>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</si>
  <si>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</si>
  <si>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</si>
  <si>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</si>
  <si>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</si>
  <si>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</si>
  <si>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</si>
  <si>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</si>
  <si>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</si>
  <si>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</si>
  <si>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</si>
  <si>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</si>
  <si>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</si>
  <si>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</si>
  <si>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</si>
  <si>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</si>
  <si>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</si>
  <si>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</si>
  <si>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</si>
  <si>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</si>
  <si>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</si>
  <si>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</si>
  <si>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</si>
  <si>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</si>
  <si>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</si>
  <si>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</si>
  <si>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</si>
  <si>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</si>
  <si>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</si>
  <si>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</si>
  <si>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</si>
  <si>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</si>
  <si>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</si>
  <si>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</si>
  <si>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</si>
  <si>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</si>
  <si>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</si>
  <si>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</si>
  <si>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</si>
  <si>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</si>
  <si>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</si>
  <si>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</si>
  <si>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</si>
  <si>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</si>
  <si>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</si>
  <si>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</si>
  <si>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</si>
  <si>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</si>
  <si>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</si>
  <si>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</si>
  <si>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</si>
  <si>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</si>
  <si>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</si>
  <si>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</si>
  <si>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</si>
  <si>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</si>
  <si>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</si>
  <si>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</si>
  <si>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</si>
  <si>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</si>
  <si>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</si>
  <si>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</si>
  <si>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</si>
  <si>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</si>
  <si>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</si>
  <si>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</si>
  <si>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</si>
  <si>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</si>
  <si>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</si>
  <si>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</si>
  <si>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</si>
  <si>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</si>
  <si>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</si>
  <si>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</si>
  <si>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</si>
  <si>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</si>
  <si>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</si>
  <si>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</si>
  <si>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</si>
  <si>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</si>
  <si>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</si>
  <si>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</si>
  <si>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</si>
  <si>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</si>
  <si>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</si>
  <si>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</si>
  <si>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</si>
  <si>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</si>
  <si>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</si>
  <si>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</si>
  <si>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</si>
  <si>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</si>
  <si>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</si>
  <si>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</si>
  <si>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</si>
  <si>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</si>
  <si>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</si>
  <si>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</si>
  <si>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</si>
  <si>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</si>
  <si>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</si>
  <si>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</si>
  <si>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</si>
  <si>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</si>
  <si>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</si>
  <si>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</si>
  <si>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</si>
  <si>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</si>
  <si>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</si>
  <si>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</si>
  <si>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</si>
  <si>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</si>
  <si>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</si>
  <si>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</si>
  <si>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</si>
  <si>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</si>
  <si>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</si>
  <si>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</si>
  <si>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</si>
  <si>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</si>
  <si>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</si>
  <si>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</si>
  <si>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</si>
  <si>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</si>
  <si>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</si>
  <si>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</si>
  <si>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</si>
  <si>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</si>
  <si>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</si>
  <si>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</si>
  <si>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</si>
  <si>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</si>
  <si>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</si>
  <si>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</si>
  <si>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</si>
  <si>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</si>
  <si>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</si>
  <si>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</si>
  <si>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</si>
  <si>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</si>
  <si>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</si>
  <si>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</si>
  <si>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</si>
  <si>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</si>
  <si>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</si>
  <si>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</si>
  <si>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</si>
  <si>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</si>
  <si>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</si>
  <si>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</si>
  <si>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</si>
  <si>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</si>
  <si>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</si>
  <si>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</si>
  <si>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</si>
  <si>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</si>
  <si>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</si>
  <si>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</si>
  <si>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</si>
  <si>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</si>
  <si>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</si>
  <si>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</si>
  <si>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</si>
  <si>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</si>
  <si>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</si>
  <si>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</si>
  <si>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</si>
  <si>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</si>
  <si>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</si>
  <si>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</si>
  <si>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</si>
  <si>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</si>
  <si>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</si>
  <si>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</si>
  <si>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</si>
  <si>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</si>
  <si>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</si>
  <si>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</si>
  <si>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</si>
  <si>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</si>
  <si>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</si>
  <si>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</si>
  <si>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</si>
  <si>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</si>
  <si>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</si>
  <si>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</si>
  <si>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</si>
  <si>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</si>
  <si>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</si>
  <si>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</si>
  <si>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</si>
  <si>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</si>
  <si>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</si>
  <si>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</si>
  <si>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</si>
  <si>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</si>
  <si>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</si>
  <si>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</si>
  <si>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</si>
  <si>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</si>
  <si>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</si>
  <si>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</si>
  <si>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</si>
  <si>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</si>
  <si>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</si>
  <si>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</si>
  <si>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</si>
  <si>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</si>
  <si>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</si>
  <si>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</si>
  <si>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</si>
  <si>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</si>
  <si>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</si>
  <si>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</si>
  <si>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</si>
  <si>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</si>
  <si>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</si>
  <si>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</si>
  <si>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</si>
  <si>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</si>
  <si>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</si>
  <si>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</si>
  <si>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</si>
  <si>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</si>
  <si>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</si>
  <si>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</si>
  <si>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</si>
  <si>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</si>
  <si>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</si>
  <si>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</si>
  <si>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</si>
  <si>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</si>
  <si>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</si>
  <si>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</si>
  <si>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</si>
  <si>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</si>
  <si>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</si>
  <si>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</si>
  <si>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</si>
  <si>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</si>
  <si>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</si>
  <si>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</si>
  <si>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</si>
  <si>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</si>
  <si>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</si>
  <si>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</si>
  <si>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</si>
  <si>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</si>
  <si>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</si>
  <si>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</si>
  <si>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</si>
  <si>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</si>
  <si>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</si>
  <si>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</si>
  <si>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</si>
  <si>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</si>
  <si>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</si>
  <si>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</si>
  <si>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</si>
  <si>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</si>
  <si>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</si>
  <si>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</si>
  <si>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</si>
  <si>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</si>
  <si>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</si>
  <si>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</si>
  <si>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</si>
  <si>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</si>
  <si>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</si>
  <si>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</si>
  <si>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</si>
  <si>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</si>
  <si>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</si>
  <si>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</si>
  <si>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</si>
  <si>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</si>
  <si>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</si>
  <si>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</si>
  <si>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</si>
  <si>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</si>
  <si>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</si>
  <si>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</si>
  <si>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</si>
  <si>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</si>
  <si>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</si>
  <si>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</si>
  <si>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</si>
  <si>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</si>
  <si>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</si>
  <si>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</si>
  <si>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</si>
  <si>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</si>
  <si>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</si>
  <si>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</si>
  <si>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</si>
  <si>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</si>
  <si>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</si>
  <si>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</si>
  <si>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</si>
  <si>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</si>
  <si>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</si>
  <si>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</si>
  <si>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</si>
  <si>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</si>
  <si>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</si>
  <si>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</si>
  <si>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</si>
  <si>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</si>
  <si>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</si>
  <si>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</si>
  <si>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</si>
  <si>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THE CHARLOTTE HUNGERFORD HOSPITAL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</si>
  <si>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</si>
  <si>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</si>
  <si>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</si>
  <si>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</si>
  <si>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</si>
  <si>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</si>
  <si>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</si>
  <si>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</si>
  <si>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</si>
  <si>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</si>
  <si>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</si>
  <si>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</si>
  <si>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</si>
  <si>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</si>
  <si>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</si>
  <si>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</si>
  <si>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</si>
  <si>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</si>
  <si>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</si>
  <si>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</si>
  <si>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</si>
  <si>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</si>
  <si>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</si>
  <si>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</si>
  <si>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</si>
  <si>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</si>
  <si>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</si>
  <si>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</si>
  <si>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</si>
  <si>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</si>
  <si>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</si>
  <si>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</si>
  <si>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</si>
  <si>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</si>
  <si>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</si>
  <si>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</si>
  <si>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</si>
  <si>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</si>
  <si>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</si>
  <si>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</si>
  <si>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</si>
  <si>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</si>
  <si>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</si>
  <si>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</si>
  <si>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</si>
  <si>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</si>
  <si>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</si>
  <si>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</si>
  <si>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</si>
  <si>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</si>
  <si>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</si>
  <si>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</si>
  <si>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</si>
  <si>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</si>
  <si>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</si>
  <si>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</si>
  <si>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</si>
  <si>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</si>
  <si>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</si>
  <si>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</si>
  <si>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</si>
  <si>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</si>
  <si>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</si>
  <si>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</si>
  <si>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</si>
  <si>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</si>
  <si>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</si>
  <si>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</si>
  <si>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</si>
  <si>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</si>
  <si>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</si>
  <si>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</si>
  <si>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</si>
  <si>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</si>
  <si>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</si>
  <si>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</si>
  <si>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</si>
  <si>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</si>
  <si>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</si>
  <si>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</si>
  <si>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</si>
  <si>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</si>
  <si>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</si>
  <si>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</si>
  <si>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</si>
  <si>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</si>
  <si>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</si>
  <si>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</si>
  <si>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</si>
  <si>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</si>
  <si>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</si>
  <si>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</si>
  <si>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</si>
  <si>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</si>
  <si>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</si>
  <si>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</si>
  <si>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</si>
  <si>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</si>
  <si>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</si>
  <si>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</si>
  <si>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</si>
  <si>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</si>
  <si>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</si>
  <si>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Charlotte Hungerford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</si>
  <si>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</si>
  <si>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</si>
  <si>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</si>
  <si>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HEMC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</si>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</sst>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3989039</v>
      </c>
      <c r="D13" s="23">
        <v>5456105</v>
      </c>
      <c r="E13" s="23">
        <f t="shared" ref="E13:E22" si="0">D13-C13</f>
        <v>1467066</v>
      </c>
      <c r="F13" s="24">
        <f t="shared" ref="F13:F22" si="1">IF(C13=0,0,E13/C13)</f>
        <v>0.36777429350778473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2.25" customHeight="1" x14ac:dyDescent="0.2">
      <c r="A15" s="21">
        <v>3</v>
      </c>
      <c r="B15" s="22" t="s">
        <v>18</v>
      </c>
      <c r="C15" s="23">
        <v>9671762</v>
      </c>
      <c r="D15" s="23">
        <v>9573323</v>
      </c>
      <c r="E15" s="23">
        <f t="shared" si="0"/>
        <v>-98439</v>
      </c>
      <c r="F15" s="24">
        <f t="shared" si="1"/>
        <v>-1.0177979979242665E-2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102157</v>
      </c>
      <c r="D18" s="23">
        <v>1079437</v>
      </c>
      <c r="E18" s="23">
        <f t="shared" si="0"/>
        <v>977280</v>
      </c>
      <c r="F18" s="24">
        <f t="shared" si="1"/>
        <v>9.5664516381647857</v>
      </c>
    </row>
    <row r="19" spans="1:11" ht="24" customHeight="1" x14ac:dyDescent="0.2">
      <c r="A19" s="21">
        <v>7</v>
      </c>
      <c r="B19" s="22" t="s">
        <v>22</v>
      </c>
      <c r="C19" s="23">
        <v>1825569</v>
      </c>
      <c r="D19" s="23">
        <v>1886150</v>
      </c>
      <c r="E19" s="23">
        <f t="shared" si="0"/>
        <v>60581</v>
      </c>
      <c r="F19" s="24">
        <f t="shared" si="1"/>
        <v>3.3184722133208881E-2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1876484</v>
      </c>
      <c r="D21" s="23">
        <v>2419887</v>
      </c>
      <c r="E21" s="23">
        <f t="shared" si="0"/>
        <v>543403</v>
      </c>
      <c r="F21" s="24">
        <f t="shared" si="1"/>
        <v>0.28958573587624514</v>
      </c>
    </row>
    <row r="22" spans="1:11" ht="24" customHeight="1" x14ac:dyDescent="0.25">
      <c r="A22" s="25"/>
      <c r="B22" s="26" t="s">
        <v>25</v>
      </c>
      <c r="C22" s="27">
        <f>SUM(C13:C21)</f>
        <v>17465011</v>
      </c>
      <c r="D22" s="27">
        <f>SUM(D13:D21)</f>
        <v>20414902</v>
      </c>
      <c r="E22" s="27">
        <f t="shared" si="0"/>
        <v>2949891</v>
      </c>
      <c r="F22" s="28">
        <f t="shared" si="1"/>
        <v>0.16890289963172656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14994411</v>
      </c>
      <c r="D25" s="23">
        <v>16662242</v>
      </c>
      <c r="E25" s="23">
        <f>D25-C25</f>
        <v>1667831</v>
      </c>
      <c r="F25" s="24">
        <f>IF(C25=0,0,E25/C25)</f>
        <v>0.11123017769754344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359776</v>
      </c>
      <c r="D27" s="23">
        <v>277118</v>
      </c>
      <c r="E27" s="23">
        <f>D27-C27</f>
        <v>-82658</v>
      </c>
      <c r="F27" s="24">
        <f>IF(C27=0,0,E27/C27)</f>
        <v>-0.22974851018411457</v>
      </c>
    </row>
    <row r="28" spans="1:11" ht="24" customHeight="1" x14ac:dyDescent="0.2">
      <c r="A28" s="21">
        <v>4</v>
      </c>
      <c r="B28" s="22" t="s">
        <v>31</v>
      </c>
      <c r="C28" s="23">
        <v>6674126</v>
      </c>
      <c r="D28" s="23">
        <v>6732834</v>
      </c>
      <c r="E28" s="23">
        <f>D28-C28</f>
        <v>58708</v>
      </c>
      <c r="F28" s="24">
        <f>IF(C28=0,0,E28/C28)</f>
        <v>8.7963577553075867E-3</v>
      </c>
    </row>
    <row r="29" spans="1:11" ht="24" customHeight="1" x14ac:dyDescent="0.25">
      <c r="A29" s="25"/>
      <c r="B29" s="26" t="s">
        <v>32</v>
      </c>
      <c r="C29" s="27">
        <f>SUM(C25:C28)</f>
        <v>22028313</v>
      </c>
      <c r="D29" s="27">
        <f>SUM(D25:D28)</f>
        <v>23672194</v>
      </c>
      <c r="E29" s="27">
        <f>D29-C29</f>
        <v>1643881</v>
      </c>
      <c r="F29" s="28">
        <f>IF(C29=0,0,E29/C29)</f>
        <v>7.4625823593481716E-2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27523678</v>
      </c>
      <c r="D32" s="23">
        <v>30690384</v>
      </c>
      <c r="E32" s="23">
        <f>D32-C32</f>
        <v>3166706</v>
      </c>
      <c r="F32" s="24">
        <f>IF(C32=0,0,E32/C32)</f>
        <v>0.11505388197028028</v>
      </c>
    </row>
    <row r="33" spans="1:8" ht="24" customHeight="1" x14ac:dyDescent="0.2">
      <c r="A33" s="21">
        <v>7</v>
      </c>
      <c r="B33" s="22" t="s">
        <v>35</v>
      </c>
      <c r="C33" s="23">
        <v>1552217</v>
      </c>
      <c r="D33" s="23">
        <v>1339349</v>
      </c>
      <c r="E33" s="23">
        <f>D33-C33</f>
        <v>-212868</v>
      </c>
      <c r="F33" s="24">
        <f>IF(C33=0,0,E33/C33)</f>
        <v>-0.13713804191037723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136256831</v>
      </c>
      <c r="D36" s="23">
        <v>137226848</v>
      </c>
      <c r="E36" s="23">
        <f>D36-C36</f>
        <v>970017</v>
      </c>
      <c r="F36" s="24">
        <f>IF(C36=0,0,E36/C36)</f>
        <v>7.119033907371587E-3</v>
      </c>
    </row>
    <row r="37" spans="1:8" ht="24" customHeight="1" x14ac:dyDescent="0.2">
      <c r="A37" s="21">
        <v>2</v>
      </c>
      <c r="B37" s="22" t="s">
        <v>39</v>
      </c>
      <c r="C37" s="23">
        <v>91613715</v>
      </c>
      <c r="D37" s="23">
        <v>96582714</v>
      </c>
      <c r="E37" s="23">
        <f>D37-C37</f>
        <v>4968999</v>
      </c>
      <c r="F37" s="24">
        <f>IF(C37=0,0,E37/C37)</f>
        <v>5.4238592987960375E-2</v>
      </c>
    </row>
    <row r="38" spans="1:8" ht="24" customHeight="1" x14ac:dyDescent="0.25">
      <c r="A38" s="25"/>
      <c r="B38" s="26" t="s">
        <v>40</v>
      </c>
      <c r="C38" s="27">
        <f>C36-C37</f>
        <v>44643116</v>
      </c>
      <c r="D38" s="27">
        <f>D36-D37</f>
        <v>40644134</v>
      </c>
      <c r="E38" s="27">
        <f>D38-C38</f>
        <v>-3998982</v>
      </c>
      <c r="F38" s="28">
        <f>IF(C38=0,0,E38/C38)</f>
        <v>-8.9576677398593776E-2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861053</v>
      </c>
      <c r="D40" s="23">
        <v>918096</v>
      </c>
      <c r="E40" s="23">
        <f>D40-C40</f>
        <v>57043</v>
      </c>
      <c r="F40" s="24">
        <f>IF(C40=0,0,E40/C40)</f>
        <v>6.6247954539383758E-2</v>
      </c>
    </row>
    <row r="41" spans="1:8" ht="24" customHeight="1" x14ac:dyDescent="0.25">
      <c r="A41" s="25"/>
      <c r="B41" s="26" t="s">
        <v>42</v>
      </c>
      <c r="C41" s="27">
        <f>+C38+C40</f>
        <v>45504169</v>
      </c>
      <c r="D41" s="27">
        <f>+D38+D40</f>
        <v>41562230</v>
      </c>
      <c r="E41" s="27">
        <f>D41-C41</f>
        <v>-3941939</v>
      </c>
      <c r="F41" s="28">
        <f>IF(C41=0,0,E41/C41)</f>
        <v>-8.6628084560779473E-2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114073388</v>
      </c>
      <c r="D43" s="27">
        <f>D22+D29+D31+D32+D33+D41</f>
        <v>117679059</v>
      </c>
      <c r="E43" s="27">
        <f>D43-C43</f>
        <v>3605671</v>
      </c>
      <c r="F43" s="28">
        <f>IF(C43=0,0,E43/C43)</f>
        <v>3.1608344971747485E-2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3808795</v>
      </c>
      <c r="D49" s="23">
        <v>4439653</v>
      </c>
      <c r="E49" s="23">
        <f t="shared" ref="E49:E56" si="2">D49-C49</f>
        <v>630858</v>
      </c>
      <c r="F49" s="24">
        <f t="shared" ref="F49:F56" si="3">IF(C49=0,0,E49/C49)</f>
        <v>0.16563191245525161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4538366</v>
      </c>
      <c r="D50" s="23">
        <v>3018603</v>
      </c>
      <c r="E50" s="23">
        <f t="shared" si="2"/>
        <v>-1519763</v>
      </c>
      <c r="F50" s="24">
        <f t="shared" si="3"/>
        <v>-0.33487008319734457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2366000</v>
      </c>
      <c r="D51" s="23">
        <v>2034000</v>
      </c>
      <c r="E51" s="23">
        <f t="shared" si="2"/>
        <v>-332000</v>
      </c>
      <c r="F51" s="24">
        <f t="shared" si="3"/>
        <v>-0.14032121724429417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1080000</v>
      </c>
      <c r="D53" s="23">
        <v>1120000</v>
      </c>
      <c r="E53" s="23">
        <f t="shared" si="2"/>
        <v>40000</v>
      </c>
      <c r="F53" s="24">
        <f t="shared" si="3"/>
        <v>3.7037037037037035E-2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300392</v>
      </c>
      <c r="D54" s="23">
        <v>233895</v>
      </c>
      <c r="E54" s="23">
        <f t="shared" si="2"/>
        <v>-66497</v>
      </c>
      <c r="F54" s="24">
        <f t="shared" si="3"/>
        <v>-0.22136741324669099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3973052</v>
      </c>
      <c r="D55" s="23">
        <v>5718436</v>
      </c>
      <c r="E55" s="23">
        <f t="shared" si="2"/>
        <v>1745384</v>
      </c>
      <c r="F55" s="24">
        <f t="shared" si="3"/>
        <v>0.43930560183959333</v>
      </c>
    </row>
    <row r="56" spans="1:6" ht="24" customHeight="1" x14ac:dyDescent="0.25">
      <c r="A56" s="25"/>
      <c r="B56" s="26" t="s">
        <v>54</v>
      </c>
      <c r="C56" s="27">
        <f>SUM(C49:C55)</f>
        <v>16066605</v>
      </c>
      <c r="D56" s="27">
        <f>SUM(D49:D55)</f>
        <v>16564587</v>
      </c>
      <c r="E56" s="27">
        <f t="shared" si="2"/>
        <v>497982</v>
      </c>
      <c r="F56" s="28">
        <f t="shared" si="3"/>
        <v>3.0994849254089459E-2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3475000</v>
      </c>
      <c r="D59" s="23">
        <v>2355000</v>
      </c>
      <c r="E59" s="23">
        <f>D59-C59</f>
        <v>-1120000</v>
      </c>
      <c r="F59" s="24">
        <f>IF(C59=0,0,E59/C59)</f>
        <v>-0.32230215827338127</v>
      </c>
    </row>
    <row r="60" spans="1:6" ht="24" customHeight="1" x14ac:dyDescent="0.2">
      <c r="A60" s="21">
        <v>2</v>
      </c>
      <c r="B60" s="22" t="s">
        <v>57</v>
      </c>
      <c r="C60" s="23">
        <v>3960989</v>
      </c>
      <c r="D60" s="23">
        <v>3667950</v>
      </c>
      <c r="E60" s="23">
        <f>D60-C60</f>
        <v>-293039</v>
      </c>
      <c r="F60" s="24">
        <f>IF(C60=0,0,E60/C60)</f>
        <v>-7.3981270839176785E-2</v>
      </c>
    </row>
    <row r="61" spans="1:6" ht="24" customHeight="1" x14ac:dyDescent="0.25">
      <c r="A61" s="25"/>
      <c r="B61" s="26" t="s">
        <v>58</v>
      </c>
      <c r="C61" s="27">
        <f>SUM(C59:C60)</f>
        <v>7435989</v>
      </c>
      <c r="D61" s="27">
        <f>SUM(D59:D60)</f>
        <v>6022950</v>
      </c>
      <c r="E61" s="27">
        <f>D61-C61</f>
        <v>-1413039</v>
      </c>
      <c r="F61" s="28">
        <f>IF(C61=0,0,E61/C61)</f>
        <v>-0.19002704280493152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28349714</v>
      </c>
      <c r="D63" s="23">
        <v>33995533</v>
      </c>
      <c r="E63" s="23">
        <f>D63-C63</f>
        <v>5645819</v>
      </c>
      <c r="F63" s="24">
        <f>IF(C63=0,0,E63/C63)</f>
        <v>0.19914906372600444</v>
      </c>
    </row>
    <row r="64" spans="1:6" ht="24" customHeight="1" x14ac:dyDescent="0.2">
      <c r="A64" s="21">
        <v>4</v>
      </c>
      <c r="B64" s="22" t="s">
        <v>60</v>
      </c>
      <c r="C64" s="23">
        <v>2192084</v>
      </c>
      <c r="D64" s="23">
        <v>2554405</v>
      </c>
      <c r="E64" s="23">
        <f>D64-C64</f>
        <v>362321</v>
      </c>
      <c r="F64" s="24">
        <f>IF(C64=0,0,E64/C64)</f>
        <v>0.1652860930511787</v>
      </c>
    </row>
    <row r="65" spans="1:6" ht="24" customHeight="1" x14ac:dyDescent="0.25">
      <c r="A65" s="25"/>
      <c r="B65" s="26" t="s">
        <v>61</v>
      </c>
      <c r="C65" s="27">
        <f>SUM(C61:C64)</f>
        <v>37977787</v>
      </c>
      <c r="D65" s="27">
        <f>SUM(D61:D64)</f>
        <v>42572888</v>
      </c>
      <c r="E65" s="27">
        <f>D65-C65</f>
        <v>4595101</v>
      </c>
      <c r="F65" s="28">
        <f>IF(C65=0,0,E65/C65)</f>
        <v>0.12099443814353901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41545959</v>
      </c>
      <c r="D70" s="23">
        <v>39188881</v>
      </c>
      <c r="E70" s="23">
        <f>D70-C70</f>
        <v>-2357078</v>
      </c>
      <c r="F70" s="24">
        <f>IF(C70=0,0,E70/C70)</f>
        <v>-5.6734230157017194E-2</v>
      </c>
    </row>
    <row r="71" spans="1:6" ht="24" customHeight="1" x14ac:dyDescent="0.2">
      <c r="A71" s="21">
        <v>2</v>
      </c>
      <c r="B71" s="22" t="s">
        <v>65</v>
      </c>
      <c r="C71" s="23">
        <v>2924647</v>
      </c>
      <c r="D71" s="23">
        <v>2980453</v>
      </c>
      <c r="E71" s="23">
        <f>D71-C71</f>
        <v>55806</v>
      </c>
      <c r="F71" s="24">
        <f>IF(C71=0,0,E71/C71)</f>
        <v>1.9081277159260588E-2</v>
      </c>
    </row>
    <row r="72" spans="1:6" ht="24" customHeight="1" x14ac:dyDescent="0.2">
      <c r="A72" s="21">
        <v>3</v>
      </c>
      <c r="B72" s="22" t="s">
        <v>66</v>
      </c>
      <c r="C72" s="23">
        <v>15558390</v>
      </c>
      <c r="D72" s="23">
        <v>16372250</v>
      </c>
      <c r="E72" s="23">
        <f>D72-C72</f>
        <v>813860</v>
      </c>
      <c r="F72" s="24">
        <f>IF(C72=0,0,E72/C72)</f>
        <v>5.2310039792035037E-2</v>
      </c>
    </row>
    <row r="73" spans="1:6" ht="24" customHeight="1" x14ac:dyDescent="0.25">
      <c r="A73" s="21"/>
      <c r="B73" s="26" t="s">
        <v>67</v>
      </c>
      <c r="C73" s="27">
        <f>SUM(C70:C72)</f>
        <v>60028996</v>
      </c>
      <c r="D73" s="27">
        <f>SUM(D70:D72)</f>
        <v>58541584</v>
      </c>
      <c r="E73" s="27">
        <f>D73-C73</f>
        <v>-1487412</v>
      </c>
      <c r="F73" s="28">
        <f>IF(C73=0,0,E73/C73)</f>
        <v>-2.4778225509552085E-2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114073388</v>
      </c>
      <c r="D75" s="27">
        <f>D56+D65+D67+D73</f>
        <v>117679059</v>
      </c>
      <c r="E75" s="27">
        <f>D75-C75</f>
        <v>3605671</v>
      </c>
      <c r="F75" s="28">
        <f>IF(C75=0,0,E75/C75)</f>
        <v>3.1608344971747485E-2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90098472</v>
      </c>
      <c r="D11" s="51">
        <v>97865856</v>
      </c>
      <c r="E11" s="51">
        <v>103758285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5881539</v>
      </c>
      <c r="D12" s="49">
        <v>5612083</v>
      </c>
      <c r="E12" s="49">
        <v>5283033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95980011</v>
      </c>
      <c r="D13" s="51">
        <f>+D11+D12</f>
        <v>103477939</v>
      </c>
      <c r="E13" s="51">
        <f>+E11+E12</f>
        <v>109041318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96631143</v>
      </c>
      <c r="D14" s="49">
        <v>103510788</v>
      </c>
      <c r="E14" s="49">
        <v>109825185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-651132</v>
      </c>
      <c r="D15" s="51">
        <f>+D13-D14</f>
        <v>-32849</v>
      </c>
      <c r="E15" s="51">
        <f>+E13-E14</f>
        <v>-783867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1842773</v>
      </c>
      <c r="D16" s="49">
        <v>145007</v>
      </c>
      <c r="E16" s="49">
        <v>2243445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1191641</v>
      </c>
      <c r="D17" s="51">
        <f>D15+D16</f>
        <v>112158</v>
      </c>
      <c r="E17" s="51">
        <f>E15+E16</f>
        <v>1459578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-6.6562407383539603E-3</v>
      </c>
      <c r="D20" s="169">
        <f>IF(+D27=0,0,+D24/+D27)</f>
        <v>-3.170050772345345E-4</v>
      </c>
      <c r="E20" s="169">
        <f>IF(+E27=0,0,+E24/+E27)</f>
        <v>-7.0437944860429818E-3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1.8837871144620051E-2</v>
      </c>
      <c r="D21" s="169">
        <f>IF(+D27=0,0,+D26/+D27)</f>
        <v>1.3993715252990395E-3</v>
      </c>
      <c r="E21" s="169">
        <f>IF(+E27=0,0,+E26/+E27)</f>
        <v>2.015949838523716E-2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1.2181630406266091E-2</v>
      </c>
      <c r="D22" s="169">
        <f>IF(+D27=0,0,+D28/+D27)</f>
        <v>1.082366448064505E-3</v>
      </c>
      <c r="E22" s="169">
        <f>IF(+E27=0,0,+E28/+E27)</f>
        <v>1.3115703899194179E-2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-651132</v>
      </c>
      <c r="D24" s="51">
        <f>+D15</f>
        <v>-32849</v>
      </c>
      <c r="E24" s="51">
        <f>+E15</f>
        <v>-783867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95980011</v>
      </c>
      <c r="D25" s="51">
        <f>+D13</f>
        <v>103477939</v>
      </c>
      <c r="E25" s="51">
        <f>+E13</f>
        <v>109041318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1842773</v>
      </c>
      <c r="D26" s="51">
        <f>+D16</f>
        <v>145007</v>
      </c>
      <c r="E26" s="51">
        <f>+E16</f>
        <v>2243445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97822784</v>
      </c>
      <c r="D27" s="51">
        <f>SUM(D25:D26)</f>
        <v>103622946</v>
      </c>
      <c r="E27" s="51">
        <f>SUM(E25:E26)</f>
        <v>111284763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1191641</v>
      </c>
      <c r="D28" s="51">
        <f>+D17</f>
        <v>112158</v>
      </c>
      <c r="E28" s="51">
        <f>+E17</f>
        <v>1459578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61095321</v>
      </c>
      <c r="D31" s="51">
        <v>41711965</v>
      </c>
      <c r="E31" s="52">
        <v>39188881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81032050</v>
      </c>
      <c r="D32" s="51">
        <v>60195002</v>
      </c>
      <c r="E32" s="51">
        <v>58541584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-12587292</v>
      </c>
      <c r="D33" s="51">
        <f>+D32-C32</f>
        <v>-20837048</v>
      </c>
      <c r="E33" s="51">
        <f>+E32-D32</f>
        <v>-1653418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0.86550000000000005</v>
      </c>
      <c r="D34" s="171">
        <f>IF(C32=0,0,+D33/C32)</f>
        <v>-0.25714575899289233</v>
      </c>
      <c r="E34" s="171">
        <f>IF(D32=0,0,+E33/D32)</f>
        <v>-2.7467695739922061E-2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1.1645407547494557</v>
      </c>
      <c r="D38" s="269">
        <f>IF(+D40=0,0,+D39/+D40)</f>
        <v>1.0930820544810786</v>
      </c>
      <c r="E38" s="269">
        <f>IF(+E40=0,0,+E39/+E40)</f>
        <v>1.2324425595398183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17199234</v>
      </c>
      <c r="D39" s="270">
        <v>17732939</v>
      </c>
      <c r="E39" s="270">
        <v>20414902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14769113</v>
      </c>
      <c r="D40" s="270">
        <v>16222880</v>
      </c>
      <c r="E40" s="270">
        <v>16564587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11.836837288291541</v>
      </c>
      <c r="D42" s="271">
        <f>IF((D48/365)=0,0,+D45/(D48/365))</f>
        <v>15.084094814549179</v>
      </c>
      <c r="E42" s="271">
        <f>IF((E48/365)=0,0,+E45/(E48/365))</f>
        <v>19.213834885456318</v>
      </c>
    </row>
    <row r="43" spans="1:14" ht="24" customHeight="1" x14ac:dyDescent="0.2">
      <c r="A43" s="17">
        <v>5</v>
      </c>
      <c r="B43" s="188" t="s">
        <v>16</v>
      </c>
      <c r="C43" s="272">
        <v>2941661</v>
      </c>
      <c r="D43" s="272">
        <v>4021421</v>
      </c>
      <c r="E43" s="272">
        <v>5456105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2941661</v>
      </c>
      <c r="D45" s="270">
        <f>+D43+D44</f>
        <v>4021421</v>
      </c>
      <c r="E45" s="270">
        <f>+E43+E44</f>
        <v>5456105</v>
      </c>
    </row>
    <row r="46" spans="1:14" ht="24" customHeight="1" x14ac:dyDescent="0.2">
      <c r="A46" s="17">
        <v>8</v>
      </c>
      <c r="B46" s="45" t="s">
        <v>324</v>
      </c>
      <c r="C46" s="270">
        <f>+C14</f>
        <v>96631143</v>
      </c>
      <c r="D46" s="270">
        <f>+D14</f>
        <v>103510788</v>
      </c>
      <c r="E46" s="270">
        <f>+E14</f>
        <v>109825185</v>
      </c>
    </row>
    <row r="47" spans="1:14" ht="24" customHeight="1" x14ac:dyDescent="0.2">
      <c r="A47" s="17">
        <v>9</v>
      </c>
      <c r="B47" s="45" t="s">
        <v>347</v>
      </c>
      <c r="C47" s="270">
        <v>5922262</v>
      </c>
      <c r="D47" s="270">
        <v>6201756</v>
      </c>
      <c r="E47" s="270">
        <v>6177041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90708881</v>
      </c>
      <c r="D48" s="270">
        <f>+D46-D47</f>
        <v>97309032</v>
      </c>
      <c r="E48" s="270">
        <f>+E46-E47</f>
        <v>103648144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36.709515173575859</v>
      </c>
      <c r="D50" s="278">
        <f>IF((D55/365)=0,0,+D54/(D55/365))</f>
        <v>28.448309541174403</v>
      </c>
      <c r="E50" s="278">
        <f>IF((E55/365)=0,0,+E54/(E55/365))</f>
        <v>30.318999586394476</v>
      </c>
    </row>
    <row r="51" spans="1:5" ht="24" customHeight="1" x14ac:dyDescent="0.2">
      <c r="A51" s="17">
        <v>12</v>
      </c>
      <c r="B51" s="188" t="s">
        <v>350</v>
      </c>
      <c r="C51" s="279">
        <v>9622809</v>
      </c>
      <c r="D51" s="279">
        <v>9891564</v>
      </c>
      <c r="E51" s="279">
        <v>9573323</v>
      </c>
    </row>
    <row r="52" spans="1:5" ht="24" customHeight="1" x14ac:dyDescent="0.2">
      <c r="A52" s="17">
        <v>13</v>
      </c>
      <c r="B52" s="188" t="s">
        <v>21</v>
      </c>
      <c r="C52" s="270">
        <v>396514</v>
      </c>
      <c r="D52" s="270">
        <v>102157</v>
      </c>
      <c r="E52" s="270">
        <v>1079437</v>
      </c>
    </row>
    <row r="53" spans="1:5" ht="24" customHeight="1" x14ac:dyDescent="0.2">
      <c r="A53" s="17">
        <v>14</v>
      </c>
      <c r="B53" s="188" t="s">
        <v>49</v>
      </c>
      <c r="C53" s="270">
        <v>957758</v>
      </c>
      <c r="D53" s="270">
        <v>2366000</v>
      </c>
      <c r="E53" s="270">
        <v>2034000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9061565</v>
      </c>
      <c r="D54" s="280">
        <f>+D51+D52-D53</f>
        <v>7627721</v>
      </c>
      <c r="E54" s="280">
        <f>+E51+E52-E53</f>
        <v>8618760</v>
      </c>
    </row>
    <row r="55" spans="1:5" ht="24" customHeight="1" x14ac:dyDescent="0.2">
      <c r="A55" s="17">
        <v>16</v>
      </c>
      <c r="B55" s="45" t="s">
        <v>75</v>
      </c>
      <c r="C55" s="270">
        <f>+C11</f>
        <v>90098472</v>
      </c>
      <c r="D55" s="270">
        <f>+D11</f>
        <v>97865856</v>
      </c>
      <c r="E55" s="270">
        <f>+E11</f>
        <v>103758285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59.428869429003321</v>
      </c>
      <c r="D57" s="283">
        <f>IF((D61/365)=0,0,+D58/(D61/365))</f>
        <v>60.850992742379759</v>
      </c>
      <c r="E57" s="283">
        <f>IF((E61/365)=0,0,+E58/(E61/365))</f>
        <v>58.332682300611189</v>
      </c>
    </row>
    <row r="58" spans="1:5" ht="24" customHeight="1" x14ac:dyDescent="0.2">
      <c r="A58" s="17">
        <v>18</v>
      </c>
      <c r="B58" s="45" t="s">
        <v>54</v>
      </c>
      <c r="C58" s="281">
        <f>+C40</f>
        <v>14769113</v>
      </c>
      <c r="D58" s="281">
        <f>+D40</f>
        <v>16222880</v>
      </c>
      <c r="E58" s="281">
        <f>+E40</f>
        <v>16564587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96631143</v>
      </c>
      <c r="D59" s="281">
        <f t="shared" si="0"/>
        <v>103510788</v>
      </c>
      <c r="E59" s="281">
        <f t="shared" si="0"/>
        <v>109825185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5922262</v>
      </c>
      <c r="D60" s="176">
        <f t="shared" si="0"/>
        <v>6201756</v>
      </c>
      <c r="E60" s="176">
        <f t="shared" si="0"/>
        <v>6177041</v>
      </c>
    </row>
    <row r="61" spans="1:5" ht="24" customHeight="1" x14ac:dyDescent="0.2">
      <c r="A61" s="17">
        <v>21</v>
      </c>
      <c r="B61" s="45" t="s">
        <v>353</v>
      </c>
      <c r="C61" s="281">
        <f>+C59-C60</f>
        <v>90708881</v>
      </c>
      <c r="D61" s="281">
        <f>+D59-D60</f>
        <v>97309032</v>
      </c>
      <c r="E61" s="281">
        <f>+E59-E60</f>
        <v>103648144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70.097167371857935</v>
      </c>
      <c r="D65" s="284">
        <f>IF(D67=0,0,(D66/D67)*100)</f>
        <v>52.620000849857348</v>
      </c>
      <c r="E65" s="284">
        <f>IF(E67=0,0,(E66/E67)*100)</f>
        <v>49.746815191647649</v>
      </c>
    </row>
    <row r="66" spans="1:5" ht="24" customHeight="1" x14ac:dyDescent="0.2">
      <c r="A66" s="17">
        <v>2</v>
      </c>
      <c r="B66" s="45" t="s">
        <v>67</v>
      </c>
      <c r="C66" s="281">
        <f>+C32</f>
        <v>81032050</v>
      </c>
      <c r="D66" s="281">
        <f>+D32</f>
        <v>60195002</v>
      </c>
      <c r="E66" s="281">
        <f>+E32</f>
        <v>58541584</v>
      </c>
    </row>
    <row r="67" spans="1:5" ht="24" customHeight="1" x14ac:dyDescent="0.2">
      <c r="A67" s="17">
        <v>3</v>
      </c>
      <c r="B67" s="45" t="s">
        <v>43</v>
      </c>
      <c r="C67" s="281">
        <v>115599607</v>
      </c>
      <c r="D67" s="281">
        <v>114395669</v>
      </c>
      <c r="E67" s="281">
        <v>117679059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30.112438092254102</v>
      </c>
      <c r="D69" s="284">
        <f>IF(D75=0,0,(D72/D75)*100)</f>
        <v>26.68730276159862</v>
      </c>
      <c r="E69" s="284">
        <f>IF(E75=0,0,(E72/E75)*100)</f>
        <v>33.80899387126626</v>
      </c>
    </row>
    <row r="70" spans="1:5" ht="24" customHeight="1" x14ac:dyDescent="0.2">
      <c r="A70" s="17">
        <v>5</v>
      </c>
      <c r="B70" s="45" t="s">
        <v>358</v>
      </c>
      <c r="C70" s="281">
        <f>+C28</f>
        <v>1191641</v>
      </c>
      <c r="D70" s="281">
        <f>+D28</f>
        <v>112158</v>
      </c>
      <c r="E70" s="281">
        <f>+E28</f>
        <v>1459578</v>
      </c>
    </row>
    <row r="71" spans="1:5" ht="24" customHeight="1" x14ac:dyDescent="0.2">
      <c r="A71" s="17">
        <v>6</v>
      </c>
      <c r="B71" s="45" t="s">
        <v>347</v>
      </c>
      <c r="C71" s="176">
        <f>+C47</f>
        <v>5922262</v>
      </c>
      <c r="D71" s="176">
        <f>+D47</f>
        <v>6201756</v>
      </c>
      <c r="E71" s="176">
        <f>+E47</f>
        <v>6177041</v>
      </c>
    </row>
    <row r="72" spans="1:5" ht="24" customHeight="1" x14ac:dyDescent="0.2">
      <c r="A72" s="17">
        <v>7</v>
      </c>
      <c r="B72" s="45" t="s">
        <v>359</v>
      </c>
      <c r="C72" s="281">
        <f>+C70+C71</f>
        <v>7113903</v>
      </c>
      <c r="D72" s="281">
        <f>+D70+D71</f>
        <v>6313914</v>
      </c>
      <c r="E72" s="281">
        <f>+E70+E71</f>
        <v>7636619</v>
      </c>
    </row>
    <row r="73" spans="1:5" ht="24" customHeight="1" x14ac:dyDescent="0.2">
      <c r="A73" s="17">
        <v>8</v>
      </c>
      <c r="B73" s="45" t="s">
        <v>54</v>
      </c>
      <c r="C73" s="270">
        <f>+C40</f>
        <v>14769113</v>
      </c>
      <c r="D73" s="270">
        <f>+D40</f>
        <v>16222880</v>
      </c>
      <c r="E73" s="270">
        <f>+E40</f>
        <v>16564587</v>
      </c>
    </row>
    <row r="74" spans="1:5" ht="24" customHeight="1" x14ac:dyDescent="0.2">
      <c r="A74" s="17">
        <v>9</v>
      </c>
      <c r="B74" s="45" t="s">
        <v>58</v>
      </c>
      <c r="C74" s="281">
        <v>8855354</v>
      </c>
      <c r="D74" s="281">
        <v>7435989</v>
      </c>
      <c r="E74" s="281">
        <v>6022950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23624467</v>
      </c>
      <c r="D75" s="270">
        <f>+D73+D74</f>
        <v>23658869</v>
      </c>
      <c r="E75" s="270">
        <f>+E73+E74</f>
        <v>22587537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9.8516072396528447</v>
      </c>
      <c r="D77" s="286">
        <f>IF(D80=0,0,(D78/D80)*100)</f>
        <v>10.994943131914184</v>
      </c>
      <c r="E77" s="286">
        <f>IF(E80=0,0,(E78/E80)*100)</f>
        <v>9.3285734858707414</v>
      </c>
    </row>
    <row r="78" spans="1:5" ht="24" customHeight="1" x14ac:dyDescent="0.2">
      <c r="A78" s="17">
        <v>12</v>
      </c>
      <c r="B78" s="45" t="s">
        <v>58</v>
      </c>
      <c r="C78" s="270">
        <f>+C74</f>
        <v>8855354</v>
      </c>
      <c r="D78" s="270">
        <f>+D74</f>
        <v>7435989</v>
      </c>
      <c r="E78" s="270">
        <f>+E74</f>
        <v>6022950</v>
      </c>
    </row>
    <row r="79" spans="1:5" ht="24" customHeight="1" x14ac:dyDescent="0.2">
      <c r="A79" s="17">
        <v>13</v>
      </c>
      <c r="B79" s="45" t="s">
        <v>67</v>
      </c>
      <c r="C79" s="270">
        <f>+C32</f>
        <v>81032050</v>
      </c>
      <c r="D79" s="270">
        <f>+D32</f>
        <v>60195002</v>
      </c>
      <c r="E79" s="270">
        <f>+E32</f>
        <v>58541584</v>
      </c>
    </row>
    <row r="80" spans="1:5" ht="24" customHeight="1" x14ac:dyDescent="0.2">
      <c r="A80" s="17">
        <v>14</v>
      </c>
      <c r="B80" s="45" t="s">
        <v>362</v>
      </c>
      <c r="C80" s="270">
        <f>+C78+C79</f>
        <v>89887404</v>
      </c>
      <c r="D80" s="270">
        <f>+D78+D79</f>
        <v>67630991</v>
      </c>
      <c r="E80" s="270">
        <f>+E78+E79</f>
        <v>64564534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FILING&amp;R&amp;8THE CHARLOTTE HUNGERFORD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18568</v>
      </c>
      <c r="D11" s="297">
        <v>51</v>
      </c>
      <c r="E11" s="297">
        <v>73</v>
      </c>
      <c r="F11" s="298">
        <f>IF(D11=0,0,$C11/(D11*365))</f>
        <v>0.99747515444533974</v>
      </c>
      <c r="G11" s="298">
        <f>IF(E11=0,0,$C11/(E11*365))</f>
        <v>0.69686620379057984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2026</v>
      </c>
      <c r="D13" s="297">
        <v>7</v>
      </c>
      <c r="E13" s="297">
        <v>10</v>
      </c>
      <c r="F13" s="298">
        <f>IF(D13=0,0,$C13/(D13*365))</f>
        <v>0.79295499021526417</v>
      </c>
      <c r="G13" s="298">
        <f>IF(E13=0,0,$C13/(E13*365))</f>
        <v>0.55506849315068496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81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5194</v>
      </c>
      <c r="D16" s="297">
        <v>15</v>
      </c>
      <c r="E16" s="297">
        <v>17</v>
      </c>
      <c r="F16" s="298">
        <f t="shared" si="0"/>
        <v>0.94867579908675803</v>
      </c>
      <c r="G16" s="298">
        <f t="shared" si="0"/>
        <v>0.83706688154713937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5275</v>
      </c>
      <c r="D17" s="300">
        <f>SUM(D15:D16)</f>
        <v>15</v>
      </c>
      <c r="E17" s="300">
        <f>SUM(E15:E16)</f>
        <v>17</v>
      </c>
      <c r="F17" s="301">
        <f t="shared" si="0"/>
        <v>0.9634703196347032</v>
      </c>
      <c r="G17" s="301">
        <f t="shared" si="0"/>
        <v>0.85012087026591454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935</v>
      </c>
      <c r="D21" s="297">
        <v>4</v>
      </c>
      <c r="E21" s="297">
        <v>7</v>
      </c>
      <c r="F21" s="298">
        <f>IF(D21=0,0,$C21/(D21*365))</f>
        <v>0.6404109589041096</v>
      </c>
      <c r="G21" s="298">
        <f>IF(E21=0,0,$C21/(E21*365))</f>
        <v>0.36594911937377689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904</v>
      </c>
      <c r="D23" s="297">
        <v>3</v>
      </c>
      <c r="E23" s="297">
        <v>13</v>
      </c>
      <c r="F23" s="298">
        <f>IF(D23=0,0,$C23/(D23*365))</f>
        <v>0.82557077625570774</v>
      </c>
      <c r="G23" s="298">
        <f>IF(E23=0,0,$C23/(E23*365))</f>
        <v>0.19051633298208639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271</v>
      </c>
      <c r="D27" s="297">
        <v>1</v>
      </c>
      <c r="E27" s="297">
        <v>2</v>
      </c>
      <c r="F27" s="298">
        <f>IF(D27=0,0,$C27/(D27*365))</f>
        <v>0.74246575342465748</v>
      </c>
      <c r="G27" s="298">
        <f>IF(E27=0,0,$C27/(E27*365))</f>
        <v>0.37123287671232874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27075</v>
      </c>
      <c r="D31" s="300">
        <f>SUM(D10:D29)-D17-D23</f>
        <v>78</v>
      </c>
      <c r="E31" s="300">
        <f>SUM(E10:E29)-E17-E23</f>
        <v>109</v>
      </c>
      <c r="F31" s="301">
        <f>IF(D31=0,0,$C31/(D31*365))</f>
        <v>0.95100105374077981</v>
      </c>
      <c r="G31" s="301">
        <f>IF(E31=0,0,$C31/(E31*365))</f>
        <v>0.6805328641447782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27979</v>
      </c>
      <c r="D33" s="300">
        <f>SUM(D10:D29)-D17</f>
        <v>81</v>
      </c>
      <c r="E33" s="300">
        <f>SUM(E10:E29)-E17</f>
        <v>122</v>
      </c>
      <c r="F33" s="301">
        <f>IF(D33=0,0,$C33/(D33*365))</f>
        <v>0.94635548790799928</v>
      </c>
      <c r="G33" s="301">
        <f>IF(E33=0,0,$C33/(E33*365))</f>
        <v>0.62831798787334381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27979</v>
      </c>
      <c r="D36" s="300">
        <f>+D33</f>
        <v>81</v>
      </c>
      <c r="E36" s="300">
        <f>+E33</f>
        <v>122</v>
      </c>
      <c r="F36" s="301">
        <f>+F33</f>
        <v>0.94635548790799928</v>
      </c>
      <c r="G36" s="301">
        <f>+G33</f>
        <v>0.62831798787334381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28581</v>
      </c>
      <c r="D37" s="302">
        <v>81</v>
      </c>
      <c r="E37" s="302">
        <v>122</v>
      </c>
      <c r="F37" s="301">
        <f>IF(D37=0,0,$C37/(D37*365))</f>
        <v>0.96671740233384074</v>
      </c>
      <c r="G37" s="301">
        <f>IF(E37=0,0,$C37/(E37*365))</f>
        <v>0.6418369638445991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-602</v>
      </c>
      <c r="D38" s="300">
        <f>+D36-D37</f>
        <v>0</v>
      </c>
      <c r="E38" s="300">
        <f>+E36-E37</f>
        <v>0</v>
      </c>
      <c r="F38" s="301">
        <f>+F36-F37</f>
        <v>-2.0361914425841454E-2</v>
      </c>
      <c r="G38" s="301">
        <f>+G36-G37</f>
        <v>-1.3518975971255287E-2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-2.1062943913788882E-2</v>
      </c>
      <c r="D40" s="148">
        <f>IF(D37=0,0,D38/D37)</f>
        <v>0</v>
      </c>
      <c r="E40" s="148">
        <f>IF(E37=0,0,E38/E37)</f>
        <v>0</v>
      </c>
      <c r="F40" s="148">
        <f>IF(F37=0,0,F38/F37)</f>
        <v>-2.1062943913788969E-2</v>
      </c>
      <c r="G40" s="148">
        <f>IF(G37=0,0,G38/G37)</f>
        <v>-2.1062943913788809E-2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122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FILING&amp;RCHARLOTTE HUNGERFORD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3798</v>
      </c>
      <c r="D12" s="296">
        <v>3589</v>
      </c>
      <c r="E12" s="296">
        <f>+D12-C12</f>
        <v>-209</v>
      </c>
      <c r="F12" s="316">
        <f>IF(C12=0,0,+E12/C12)</f>
        <v>-5.5028962611901003E-2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3193</v>
      </c>
      <c r="D13" s="296">
        <v>3004</v>
      </c>
      <c r="E13" s="296">
        <f>+D13-C13</f>
        <v>-189</v>
      </c>
      <c r="F13" s="316">
        <f>IF(C13=0,0,+E13/C13)</f>
        <v>-5.9191982461634825E-2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6096</v>
      </c>
      <c r="D14" s="296">
        <v>6193</v>
      </c>
      <c r="E14" s="296">
        <f>+D14-C14</f>
        <v>97</v>
      </c>
      <c r="F14" s="316">
        <f>IF(C14=0,0,+E14/C14)</f>
        <v>1.5912073490813649E-2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2037</v>
      </c>
      <c r="D15" s="296">
        <v>1717</v>
      </c>
      <c r="E15" s="296">
        <f>+D15-C15</f>
        <v>-320</v>
      </c>
      <c r="F15" s="316">
        <f>IF(C15=0,0,+E15/C15)</f>
        <v>-0.15709376534118802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15124</v>
      </c>
      <c r="D16" s="300">
        <f>SUM(D12:D15)</f>
        <v>14503</v>
      </c>
      <c r="E16" s="300">
        <f>+D16-C16</f>
        <v>-621</v>
      </c>
      <c r="F16" s="309">
        <f>IF(C16=0,0,+E16/C16)</f>
        <v>-4.1060565987833905E-2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503</v>
      </c>
      <c r="D19" s="296">
        <v>429</v>
      </c>
      <c r="E19" s="296">
        <f>+D19-C19</f>
        <v>-74</v>
      </c>
      <c r="F19" s="316">
        <f>IF(C19=0,0,+E19/C19)</f>
        <v>-0.14711729622266401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229</v>
      </c>
      <c r="D20" s="296">
        <v>335</v>
      </c>
      <c r="E20" s="296">
        <f>+D20-C20</f>
        <v>106</v>
      </c>
      <c r="F20" s="316">
        <f>IF(C20=0,0,+E20/C20)</f>
        <v>0.46288209606986902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107</v>
      </c>
      <c r="D21" s="296">
        <v>86</v>
      </c>
      <c r="E21" s="296">
        <f>+D21-C21</f>
        <v>-21</v>
      </c>
      <c r="F21" s="316">
        <f>IF(C21=0,0,+E21/C21)</f>
        <v>-0.19626168224299065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5751</v>
      </c>
      <c r="D22" s="296">
        <v>5584</v>
      </c>
      <c r="E22" s="296">
        <f>+D22-C22</f>
        <v>-167</v>
      </c>
      <c r="F22" s="316">
        <f>IF(C22=0,0,+E22/C22)</f>
        <v>-2.9038428099460962E-2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6590</v>
      </c>
      <c r="D23" s="300">
        <f>SUM(D19:D22)</f>
        <v>6434</v>
      </c>
      <c r="E23" s="300">
        <f>+D23-C23</f>
        <v>-156</v>
      </c>
      <c r="F23" s="309">
        <f>IF(C23=0,0,+E23/C23)</f>
        <v>-2.3672230652503793E-2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22</v>
      </c>
      <c r="D27" s="296">
        <v>60</v>
      </c>
      <c r="E27" s="296">
        <f>+D27-C27</f>
        <v>38</v>
      </c>
      <c r="F27" s="316">
        <f>IF(C27=0,0,+E27/C27)</f>
        <v>1.7272727272727273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417</v>
      </c>
      <c r="D29" s="296">
        <v>377</v>
      </c>
      <c r="E29" s="296">
        <f>+D29-C29</f>
        <v>-40</v>
      </c>
      <c r="F29" s="316">
        <f>IF(C29=0,0,+E29/C29)</f>
        <v>-9.5923261390887291E-2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439</v>
      </c>
      <c r="D30" s="300">
        <f>SUM(D26:D29)</f>
        <v>437</v>
      </c>
      <c r="E30" s="300">
        <f>+D30-C30</f>
        <v>-2</v>
      </c>
      <c r="F30" s="309">
        <f>IF(C30=0,0,+E30/C30)</f>
        <v>-4.5558086560364463E-3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81</v>
      </c>
      <c r="D43" s="296">
        <v>63</v>
      </c>
      <c r="E43" s="296">
        <f>+D43-C43</f>
        <v>-18</v>
      </c>
      <c r="F43" s="316">
        <f>IF(C43=0,0,+E43/C43)</f>
        <v>-0.22222222222222221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4951</v>
      </c>
      <c r="D44" s="296">
        <v>4649</v>
      </c>
      <c r="E44" s="296">
        <f>+D44-C44</f>
        <v>-302</v>
      </c>
      <c r="F44" s="316">
        <f>IF(C44=0,0,+E44/C44)</f>
        <v>-6.0997778226620884E-2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5032</v>
      </c>
      <c r="D45" s="300">
        <f>SUM(D43:D44)</f>
        <v>4712</v>
      </c>
      <c r="E45" s="300">
        <f>+D45-C45</f>
        <v>-320</v>
      </c>
      <c r="F45" s="309">
        <f>IF(C45=0,0,+E45/C45)</f>
        <v>-6.3593004769475353E-2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1276</v>
      </c>
      <c r="D63" s="296">
        <v>1245</v>
      </c>
      <c r="E63" s="296">
        <f>+D63-C63</f>
        <v>-31</v>
      </c>
      <c r="F63" s="316">
        <f>IF(C63=0,0,+E63/C63)</f>
        <v>-2.4294670846394983E-2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2787</v>
      </c>
      <c r="D64" s="296">
        <v>2786</v>
      </c>
      <c r="E64" s="296">
        <f>+D64-C64</f>
        <v>-1</v>
      </c>
      <c r="F64" s="316">
        <f>IF(C64=0,0,+E64/C64)</f>
        <v>-3.588087549336204E-4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4063</v>
      </c>
      <c r="D65" s="300">
        <f>SUM(D63:D64)</f>
        <v>4031</v>
      </c>
      <c r="E65" s="300">
        <f>+D65-C65</f>
        <v>-32</v>
      </c>
      <c r="F65" s="309">
        <f>IF(C65=0,0,+E65/C65)</f>
        <v>-7.875953728771843E-3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412</v>
      </c>
      <c r="D68" s="296">
        <v>336</v>
      </c>
      <c r="E68" s="296">
        <f>+D68-C68</f>
        <v>-76</v>
      </c>
      <c r="F68" s="316">
        <f>IF(C68=0,0,+E68/C68)</f>
        <v>-0.18446601941747573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661</v>
      </c>
      <c r="D69" s="296">
        <v>690</v>
      </c>
      <c r="E69" s="296">
        <f>+D69-C69</f>
        <v>29</v>
      </c>
      <c r="F69" s="318">
        <f>IF(C69=0,0,+E69/C69)</f>
        <v>4.3872919818456882E-2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1073</v>
      </c>
      <c r="D70" s="300">
        <f>SUM(D68:D69)</f>
        <v>1026</v>
      </c>
      <c r="E70" s="300">
        <f>+D70-C70</f>
        <v>-47</v>
      </c>
      <c r="F70" s="309">
        <f>IF(C70=0,0,+E70/C70)</f>
        <v>-4.3802423112767941E-2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4476</v>
      </c>
      <c r="D73" s="319">
        <v>4589</v>
      </c>
      <c r="E73" s="296">
        <f>+D73-C73</f>
        <v>113</v>
      </c>
      <c r="F73" s="316">
        <f>IF(C73=0,0,+E73/C73)</f>
        <v>2.5245755138516533E-2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34464</v>
      </c>
      <c r="D74" s="319">
        <v>34004</v>
      </c>
      <c r="E74" s="296">
        <f>+D74-C74</f>
        <v>-460</v>
      </c>
      <c r="F74" s="316">
        <f>IF(C74=0,0,+E74/C74)</f>
        <v>-1.3347260909935005E-2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38940</v>
      </c>
      <c r="D75" s="300">
        <f>SUM(D73:D74)</f>
        <v>38593</v>
      </c>
      <c r="E75" s="300">
        <f>SUM(E73:E74)</f>
        <v>-347</v>
      </c>
      <c r="F75" s="309">
        <f>IF(C75=0,0,+E75/C75)</f>
        <v>-8.9111453518233175E-3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3710</v>
      </c>
      <c r="D79" s="319">
        <v>4282</v>
      </c>
      <c r="E79" s="296">
        <f t="shared" ref="E79:E84" si="0">+D79-C79</f>
        <v>572</v>
      </c>
      <c r="F79" s="316">
        <f t="shared" ref="F79:F84" si="1">IF(C79=0,0,+E79/C79)</f>
        <v>0.15417789757412398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30835</v>
      </c>
      <c r="D81" s="319">
        <v>31902</v>
      </c>
      <c r="E81" s="296">
        <f t="shared" si="0"/>
        <v>1067</v>
      </c>
      <c r="F81" s="316">
        <f t="shared" si="1"/>
        <v>3.4603534944057081E-2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12657</v>
      </c>
      <c r="D82" s="319">
        <v>11519</v>
      </c>
      <c r="E82" s="296">
        <f t="shared" si="0"/>
        <v>-1138</v>
      </c>
      <c r="F82" s="316">
        <f t="shared" si="1"/>
        <v>-8.9910721339969982E-2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1609</v>
      </c>
      <c r="D83" s="319">
        <v>9446</v>
      </c>
      <c r="E83" s="296">
        <f t="shared" si="0"/>
        <v>7837</v>
      </c>
      <c r="F83" s="316">
        <f t="shared" si="1"/>
        <v>4.8707271597265382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48811</v>
      </c>
      <c r="D84" s="320">
        <f>SUM(D79:D83)</f>
        <v>57149</v>
      </c>
      <c r="E84" s="300">
        <f t="shared" si="0"/>
        <v>8338</v>
      </c>
      <c r="F84" s="309">
        <f t="shared" si="1"/>
        <v>0.17082215074470919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3725</v>
      </c>
      <c r="D87" s="322">
        <v>3807</v>
      </c>
      <c r="E87" s="323">
        <f t="shared" ref="E87:E92" si="2">+D87-C87</f>
        <v>82</v>
      </c>
      <c r="F87" s="318">
        <f t="shared" ref="F87:F92" si="3">IF(C87=0,0,+E87/C87)</f>
        <v>2.2013422818791945E-2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3504</v>
      </c>
      <c r="D88" s="322">
        <v>3529</v>
      </c>
      <c r="E88" s="296">
        <f t="shared" si="2"/>
        <v>25</v>
      </c>
      <c r="F88" s="316">
        <f t="shared" si="3"/>
        <v>7.1347031963470316E-3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131</v>
      </c>
      <c r="D89" s="322">
        <v>194</v>
      </c>
      <c r="E89" s="296">
        <f t="shared" si="2"/>
        <v>63</v>
      </c>
      <c r="F89" s="316">
        <f t="shared" si="3"/>
        <v>0.48091603053435117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1286</v>
      </c>
      <c r="D90" s="322">
        <v>1204</v>
      </c>
      <c r="E90" s="296">
        <f t="shared" si="2"/>
        <v>-82</v>
      </c>
      <c r="F90" s="316">
        <f t="shared" si="3"/>
        <v>-6.3763608087091764E-2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113508</v>
      </c>
      <c r="D91" s="322">
        <v>108910</v>
      </c>
      <c r="E91" s="296">
        <f t="shared" si="2"/>
        <v>-4598</v>
      </c>
      <c r="F91" s="316">
        <f t="shared" si="3"/>
        <v>-4.0508158015294074E-2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122154</v>
      </c>
      <c r="D92" s="320">
        <f>SUM(D87:D91)</f>
        <v>117644</v>
      </c>
      <c r="E92" s="300">
        <f t="shared" si="2"/>
        <v>-4510</v>
      </c>
      <c r="F92" s="309">
        <f t="shared" si="3"/>
        <v>-3.6920608412331975E-2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276.8</v>
      </c>
      <c r="D96" s="325">
        <v>286.89999999999998</v>
      </c>
      <c r="E96" s="326">
        <f>+D96-C96</f>
        <v>10.099999999999966</v>
      </c>
      <c r="F96" s="316">
        <f>IF(C96=0,0,+E96/C96)</f>
        <v>3.6488439306358256E-2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18</v>
      </c>
      <c r="D97" s="325">
        <v>24.1</v>
      </c>
      <c r="E97" s="326">
        <f>+D97-C97</f>
        <v>6.1000000000000014</v>
      </c>
      <c r="F97" s="316">
        <f>IF(C97=0,0,+E97/C97)</f>
        <v>0.33888888888888896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390</v>
      </c>
      <c r="D98" s="325">
        <v>402.2</v>
      </c>
      <c r="E98" s="326">
        <f>+D98-C98</f>
        <v>12.199999999999989</v>
      </c>
      <c r="F98" s="316">
        <f>IF(C98=0,0,+E98/C98)</f>
        <v>3.1282051282051256E-2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684.8</v>
      </c>
      <c r="D99" s="327">
        <f>SUM(D96:D98)</f>
        <v>713.2</v>
      </c>
      <c r="E99" s="327">
        <f>+D99-C99</f>
        <v>28.400000000000091</v>
      </c>
      <c r="F99" s="309">
        <f>IF(C99=0,0,+E99/C99)</f>
        <v>4.1471962616822566E-2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FILING&amp;RCHARLOTTE HUNGERFORD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2787</v>
      </c>
      <c r="D12" s="296">
        <v>2786</v>
      </c>
      <c r="E12" s="296">
        <f>+D12-C12</f>
        <v>-1</v>
      </c>
      <c r="F12" s="316">
        <f>IF(C12=0,0,+E12/C12)</f>
        <v>-3.588087549336204E-4</v>
      </c>
    </row>
    <row r="13" spans="1:16" ht="15.75" customHeight="1" x14ac:dyDescent="0.25">
      <c r="A13" s="294"/>
      <c r="B13" s="135" t="s">
        <v>584</v>
      </c>
      <c r="C13" s="300">
        <f>SUM(C11:C12)</f>
        <v>2787</v>
      </c>
      <c r="D13" s="300">
        <f>SUM(D11:D12)</f>
        <v>2786</v>
      </c>
      <c r="E13" s="300">
        <f>+D13-C13</f>
        <v>-1</v>
      </c>
      <c r="F13" s="309">
        <f>IF(C13=0,0,+E13/C13)</f>
        <v>-3.588087549336204E-4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661</v>
      </c>
      <c r="D16" s="296">
        <v>690</v>
      </c>
      <c r="E16" s="296">
        <f>+D16-C16</f>
        <v>29</v>
      </c>
      <c r="F16" s="316">
        <f>IF(C16=0,0,+E16/C16)</f>
        <v>4.3872919818456882E-2</v>
      </c>
    </row>
    <row r="17" spans="1:6" ht="15.75" customHeight="1" x14ac:dyDescent="0.25">
      <c r="A17" s="294"/>
      <c r="B17" s="135" t="s">
        <v>585</v>
      </c>
      <c r="C17" s="300">
        <f>SUM(C15:C16)</f>
        <v>661</v>
      </c>
      <c r="D17" s="300">
        <f>SUM(D15:D16)</f>
        <v>690</v>
      </c>
      <c r="E17" s="300">
        <f>+D17-C17</f>
        <v>29</v>
      </c>
      <c r="F17" s="309">
        <f>IF(C17=0,0,+E17/C17)</f>
        <v>4.3872919818456882E-2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27606</v>
      </c>
      <c r="D20" s="296">
        <v>27446</v>
      </c>
      <c r="E20" s="296">
        <f>+D20-C20</f>
        <v>-160</v>
      </c>
      <c r="F20" s="316">
        <f>IF(C20=0,0,+E20/C20)</f>
        <v>-5.7958414837354201E-3</v>
      </c>
    </row>
    <row r="21" spans="1:6" ht="15.75" customHeight="1" x14ac:dyDescent="0.2">
      <c r="A21" s="294">
        <v>2</v>
      </c>
      <c r="B21" s="295" t="s">
        <v>587</v>
      </c>
      <c r="C21" s="296">
        <v>6858</v>
      </c>
      <c r="D21" s="296">
        <v>6558</v>
      </c>
      <c r="E21" s="296">
        <f>+D21-C21</f>
        <v>-300</v>
      </c>
      <c r="F21" s="316">
        <f>IF(C21=0,0,+E21/C21)</f>
        <v>-4.3744531933508309E-2</v>
      </c>
    </row>
    <row r="22" spans="1:6" ht="15.75" customHeight="1" x14ac:dyDescent="0.25">
      <c r="A22" s="294"/>
      <c r="B22" s="135" t="s">
        <v>588</v>
      </c>
      <c r="C22" s="300">
        <f>SUM(C19:C21)</f>
        <v>34464</v>
      </c>
      <c r="D22" s="300">
        <f>SUM(D19:D21)</f>
        <v>34004</v>
      </c>
      <c r="E22" s="300">
        <f>+D22-C22</f>
        <v>-460</v>
      </c>
      <c r="F22" s="309">
        <f>IF(C22=0,0,+E22/C22)</f>
        <v>-1.3347260909935005E-2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589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590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591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FILING&amp;RCHARLOTTE HUNGERFORD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592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593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594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595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596</v>
      </c>
      <c r="D7" s="341" t="s">
        <v>596</v>
      </c>
      <c r="E7" s="341" t="s">
        <v>597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598</v>
      </c>
      <c r="D8" s="344" t="s">
        <v>599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600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601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602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603</v>
      </c>
      <c r="C15" s="361">
        <v>49306977</v>
      </c>
      <c r="D15" s="361">
        <v>48768258</v>
      </c>
      <c r="E15" s="361">
        <f t="shared" ref="E15:E24" si="0">D15-C15</f>
        <v>-538719</v>
      </c>
      <c r="F15" s="362">
        <f t="shared" ref="F15:F24" si="1">IF(C15=0,0,E15/C15)</f>
        <v>-1.0925816847380443E-2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604</v>
      </c>
      <c r="C16" s="361">
        <v>32935779</v>
      </c>
      <c r="D16" s="361">
        <v>33003580</v>
      </c>
      <c r="E16" s="361">
        <f t="shared" si="0"/>
        <v>67801</v>
      </c>
      <c r="F16" s="362">
        <f t="shared" si="1"/>
        <v>2.0585819451849007E-3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605</v>
      </c>
      <c r="C17" s="366">
        <f>IF(C15=0,0,C16/C15)</f>
        <v>0.66797400700513443</v>
      </c>
      <c r="D17" s="366">
        <f>IF(LN_IA1=0,0,LN_IA2/LN_IA1)</f>
        <v>0.67674305692854564</v>
      </c>
      <c r="E17" s="367">
        <f t="shared" si="0"/>
        <v>8.7690499234112096E-3</v>
      </c>
      <c r="F17" s="362">
        <f t="shared" si="1"/>
        <v>1.3127831070444341E-2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3405</v>
      </c>
      <c r="D18" s="369">
        <v>3371</v>
      </c>
      <c r="E18" s="369">
        <f t="shared" si="0"/>
        <v>-34</v>
      </c>
      <c r="F18" s="362">
        <f t="shared" si="1"/>
        <v>-9.9853157121879595E-3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606</v>
      </c>
      <c r="C19" s="372">
        <v>1.4336</v>
      </c>
      <c r="D19" s="372">
        <v>1.4221999999999999</v>
      </c>
      <c r="E19" s="373">
        <f t="shared" si="0"/>
        <v>-1.1400000000000077E-2</v>
      </c>
      <c r="F19" s="362">
        <f t="shared" si="1"/>
        <v>-7.9520089285714819E-3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607</v>
      </c>
      <c r="C20" s="376">
        <f>C18*C19</f>
        <v>4881.4080000000004</v>
      </c>
      <c r="D20" s="376">
        <f>LN_IA4*LN_IA5</f>
        <v>4794.2361999999994</v>
      </c>
      <c r="E20" s="376">
        <f t="shared" si="0"/>
        <v>-87.171800000000985</v>
      </c>
      <c r="F20" s="362">
        <f t="shared" si="1"/>
        <v>-1.7857921321061666E-2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608</v>
      </c>
      <c r="C21" s="378">
        <f>IF(C20=0,0,C16/C20)</f>
        <v>6747.1883112413461</v>
      </c>
      <c r="D21" s="378">
        <f>IF(LN_IA6=0,0,LN_IA2/LN_IA6)</f>
        <v>6884.0120976934768</v>
      </c>
      <c r="E21" s="378">
        <f t="shared" si="0"/>
        <v>136.82378645213066</v>
      </c>
      <c r="F21" s="362">
        <f t="shared" si="1"/>
        <v>2.02786375806603E-2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17327</v>
      </c>
      <c r="D22" s="369">
        <v>16250</v>
      </c>
      <c r="E22" s="369">
        <f t="shared" si="0"/>
        <v>-1077</v>
      </c>
      <c r="F22" s="362">
        <f t="shared" si="1"/>
        <v>-6.2157326715530675E-2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609</v>
      </c>
      <c r="C23" s="378">
        <f>IF(C22=0,0,C16/C22)</f>
        <v>1900.8356322502452</v>
      </c>
      <c r="D23" s="378">
        <f>IF(LN_IA8=0,0,LN_IA2/LN_IA8)</f>
        <v>2030.9895384615384</v>
      </c>
      <c r="E23" s="378">
        <f t="shared" si="0"/>
        <v>130.15390621129313</v>
      </c>
      <c r="F23" s="362">
        <f t="shared" si="1"/>
        <v>6.8471941499336511E-2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610</v>
      </c>
      <c r="C24" s="379">
        <f>IF(C18=0,0,C22/C18)</f>
        <v>5.0886930983847281</v>
      </c>
      <c r="D24" s="379">
        <f>IF(LN_IA4=0,0,LN_IA8/LN_IA4)</f>
        <v>4.8205280332245621</v>
      </c>
      <c r="E24" s="379">
        <f t="shared" si="0"/>
        <v>-0.26816506516016592</v>
      </c>
      <c r="F24" s="362">
        <f t="shared" si="1"/>
        <v>-5.269821936113378E-2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611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612</v>
      </c>
      <c r="C27" s="361">
        <v>32195042</v>
      </c>
      <c r="D27" s="361">
        <v>35241741</v>
      </c>
      <c r="E27" s="361">
        <f t="shared" ref="E27:E32" si="2">D27-C27</f>
        <v>3046699</v>
      </c>
      <c r="F27" s="362">
        <f t="shared" ref="F27:F32" si="3">IF(C27=0,0,E27/C27)</f>
        <v>9.4632552428414285E-2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613</v>
      </c>
      <c r="C28" s="361">
        <v>13488536</v>
      </c>
      <c r="D28" s="361">
        <v>15426549</v>
      </c>
      <c r="E28" s="361">
        <f t="shared" si="2"/>
        <v>1938013</v>
      </c>
      <c r="F28" s="362">
        <f t="shared" si="3"/>
        <v>0.14367852819609186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614</v>
      </c>
      <c r="C29" s="366">
        <f>IF(C27=0,0,C28/C27)</f>
        <v>0.41896314345544261</v>
      </c>
      <c r="D29" s="366">
        <f>IF(LN_IA11=0,0,LN_IA12/LN_IA11)</f>
        <v>0.43773515616041786</v>
      </c>
      <c r="E29" s="367">
        <f t="shared" si="2"/>
        <v>1.8772012704975249E-2</v>
      </c>
      <c r="F29" s="362">
        <f t="shared" si="3"/>
        <v>4.4805880894799241E-2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615</v>
      </c>
      <c r="C30" s="366">
        <f>IF(C15=0,0,C27/C15)</f>
        <v>0.65295104179678265</v>
      </c>
      <c r="D30" s="366">
        <f>IF(LN_IA1=0,0,LN_IA11/LN_IA1)</f>
        <v>0.72263686351068768</v>
      </c>
      <c r="E30" s="367">
        <f t="shared" si="2"/>
        <v>6.9685821713905027E-2</v>
      </c>
      <c r="F30" s="362">
        <f t="shared" si="3"/>
        <v>0.10672442075005262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616</v>
      </c>
      <c r="C31" s="376">
        <f>C30*C18</f>
        <v>2223.2982973180451</v>
      </c>
      <c r="D31" s="376">
        <f>LN_IA14*LN_IA4</f>
        <v>2436.0088668945282</v>
      </c>
      <c r="E31" s="376">
        <f t="shared" si="2"/>
        <v>212.71056957648307</v>
      </c>
      <c r="F31" s="362">
        <f t="shared" si="3"/>
        <v>9.5673428002474914E-2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617</v>
      </c>
      <c r="C32" s="378">
        <f>IF(C31=0,0,C28/C31)</f>
        <v>6066.9034003539518</v>
      </c>
      <c r="D32" s="378">
        <f>IF(LN_IA15=0,0,LN_IA12/LN_IA15)</f>
        <v>6332.7146340259696</v>
      </c>
      <c r="E32" s="378">
        <f t="shared" si="2"/>
        <v>265.81123367201781</v>
      </c>
      <c r="F32" s="362">
        <f t="shared" si="3"/>
        <v>4.3813328832054584E-2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618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619</v>
      </c>
      <c r="C35" s="361">
        <f>C15+C27</f>
        <v>81502019</v>
      </c>
      <c r="D35" s="361">
        <f>LN_IA1+LN_IA11</f>
        <v>84009999</v>
      </c>
      <c r="E35" s="361">
        <f>D35-C35</f>
        <v>2507980</v>
      </c>
      <c r="F35" s="362">
        <f>IF(C35=0,0,E35/C35)</f>
        <v>3.0771998421290643E-2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620</v>
      </c>
      <c r="C36" s="361">
        <f>C16+C28</f>
        <v>46424315</v>
      </c>
      <c r="D36" s="361">
        <f>LN_IA2+LN_IA12</f>
        <v>48430129</v>
      </c>
      <c r="E36" s="361">
        <f>D36-C36</f>
        <v>2005814</v>
      </c>
      <c r="F36" s="362">
        <f>IF(C36=0,0,E36/C36)</f>
        <v>4.3206108695411014E-2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621</v>
      </c>
      <c r="C37" s="361">
        <f>C35-C36</f>
        <v>35077704</v>
      </c>
      <c r="D37" s="361">
        <f>LN_IA17-LN_IA18</f>
        <v>35579870</v>
      </c>
      <c r="E37" s="361">
        <f>D37-C37</f>
        <v>502166</v>
      </c>
      <c r="F37" s="362">
        <f>IF(C37=0,0,E37/C37)</f>
        <v>1.4315817249612461E-2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622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623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603</v>
      </c>
      <c r="C42" s="361">
        <v>20271304</v>
      </c>
      <c r="D42" s="361">
        <v>20138494</v>
      </c>
      <c r="E42" s="361">
        <f t="shared" ref="E42:E53" si="4">D42-C42</f>
        <v>-132810</v>
      </c>
      <c r="F42" s="362">
        <f t="shared" ref="F42:F53" si="5">IF(C42=0,0,E42/C42)</f>
        <v>-6.5516258845508902E-3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604</v>
      </c>
      <c r="C43" s="361">
        <v>13484961</v>
      </c>
      <c r="D43" s="361">
        <v>13808822</v>
      </c>
      <c r="E43" s="361">
        <f t="shared" si="4"/>
        <v>323861</v>
      </c>
      <c r="F43" s="362">
        <f t="shared" si="5"/>
        <v>2.4016458037957988E-2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605</v>
      </c>
      <c r="C44" s="366">
        <f>IF(C42=0,0,C43/C42)</f>
        <v>0.66522415134221258</v>
      </c>
      <c r="D44" s="366">
        <f>IF(LN_IB1=0,0,LN_IB2/LN_IB1)</f>
        <v>0.68569288249657601</v>
      </c>
      <c r="E44" s="367">
        <f t="shared" si="4"/>
        <v>2.0468731154363429E-2</v>
      </c>
      <c r="F44" s="362">
        <f t="shared" si="5"/>
        <v>3.0769675323819773E-2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1896</v>
      </c>
      <c r="D45" s="369">
        <v>1900</v>
      </c>
      <c r="E45" s="369">
        <f t="shared" si="4"/>
        <v>4</v>
      </c>
      <c r="F45" s="362">
        <f t="shared" si="5"/>
        <v>2.1097046413502108E-3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606</v>
      </c>
      <c r="C46" s="372">
        <v>1.0369999999999999</v>
      </c>
      <c r="D46" s="372">
        <v>1.1143000000000001</v>
      </c>
      <c r="E46" s="373">
        <f t="shared" si="4"/>
        <v>7.7300000000000146E-2</v>
      </c>
      <c r="F46" s="362">
        <f t="shared" si="5"/>
        <v>7.4541947926711816E-2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607</v>
      </c>
      <c r="C47" s="376">
        <f>C45*C46</f>
        <v>1966.1519999999998</v>
      </c>
      <c r="D47" s="376">
        <f>LN_IB4*LN_IB5</f>
        <v>2117.17</v>
      </c>
      <c r="E47" s="376">
        <f t="shared" si="4"/>
        <v>151.01800000000026</v>
      </c>
      <c r="F47" s="362">
        <f t="shared" si="5"/>
        <v>7.680891406157829E-2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608</v>
      </c>
      <c r="C48" s="378">
        <f>IF(C47=0,0,C43/C47)</f>
        <v>6858.5546793940657</v>
      </c>
      <c r="D48" s="378">
        <f>IF(LN_IB6=0,0,LN_IB2/LN_IB6)</f>
        <v>6522.3019407983293</v>
      </c>
      <c r="E48" s="378">
        <f t="shared" si="4"/>
        <v>-336.25273859573645</v>
      </c>
      <c r="F48" s="362">
        <f t="shared" si="5"/>
        <v>-4.9026763555006528E-2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624</v>
      </c>
      <c r="C49" s="378">
        <f>C21-C48</f>
        <v>-111.36636815271959</v>
      </c>
      <c r="D49" s="378">
        <f>LN_IA7-LN_IB7</f>
        <v>361.71015689514752</v>
      </c>
      <c r="E49" s="378">
        <f t="shared" si="4"/>
        <v>473.07652504786711</v>
      </c>
      <c r="F49" s="362">
        <f t="shared" si="5"/>
        <v>-4.2479298992593977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625</v>
      </c>
      <c r="C50" s="391">
        <f>C49*C47</f>
        <v>-218963.20747620589</v>
      </c>
      <c r="D50" s="391">
        <f>LN_IB8*LN_IB6</f>
        <v>765801.89287369954</v>
      </c>
      <c r="E50" s="391">
        <f t="shared" si="4"/>
        <v>984765.10034990543</v>
      </c>
      <c r="F50" s="362">
        <f t="shared" si="5"/>
        <v>-4.4973998677696434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6787</v>
      </c>
      <c r="D51" s="369">
        <v>6459</v>
      </c>
      <c r="E51" s="369">
        <f t="shared" si="4"/>
        <v>-328</v>
      </c>
      <c r="F51" s="362">
        <f t="shared" si="5"/>
        <v>-4.8327685280683659E-2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609</v>
      </c>
      <c r="C52" s="378">
        <f>IF(C51=0,0,C43/C51)</f>
        <v>1986.8809488728452</v>
      </c>
      <c r="D52" s="378">
        <f>IF(LN_IB10=0,0,LN_IB2/LN_IB10)</f>
        <v>2137.9194921814524</v>
      </c>
      <c r="E52" s="378">
        <f t="shared" si="4"/>
        <v>151.03854330860713</v>
      </c>
      <c r="F52" s="362">
        <f t="shared" si="5"/>
        <v>7.60179130985634E-2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610</v>
      </c>
      <c r="C53" s="379">
        <f>IF(C45=0,0,C51/C45)</f>
        <v>3.5796413502109705</v>
      </c>
      <c r="D53" s="379">
        <f>IF(LN_IB4=0,0,LN_IB10/LN_IB4)</f>
        <v>3.3994736842105264</v>
      </c>
      <c r="E53" s="379">
        <f t="shared" si="4"/>
        <v>-0.18016766600044409</v>
      </c>
      <c r="F53" s="362">
        <f t="shared" si="5"/>
        <v>-5.0331205943250627E-2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626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612</v>
      </c>
      <c r="C56" s="361">
        <v>46028674</v>
      </c>
      <c r="D56" s="361">
        <v>48868395</v>
      </c>
      <c r="E56" s="361">
        <f t="shared" ref="E56:E63" si="6">D56-C56</f>
        <v>2839721</v>
      </c>
      <c r="F56" s="362">
        <f t="shared" ref="F56:F63" si="7">IF(C56=0,0,E56/C56)</f>
        <v>6.1694608017602244E-2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613</v>
      </c>
      <c r="C57" s="361">
        <v>22744150</v>
      </c>
      <c r="D57" s="361">
        <v>24661146</v>
      </c>
      <c r="E57" s="361">
        <f t="shared" si="6"/>
        <v>1916996</v>
      </c>
      <c r="F57" s="362">
        <f t="shared" si="7"/>
        <v>8.4285233785390976E-2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614</v>
      </c>
      <c r="C58" s="366">
        <f>IF(C56=0,0,C57/C56)</f>
        <v>0.4941300285991293</v>
      </c>
      <c r="D58" s="366">
        <f>IF(LN_IB13=0,0,LN_IB14/LN_IB13)</f>
        <v>0.50464407517373955</v>
      </c>
      <c r="E58" s="367">
        <f t="shared" si="6"/>
        <v>1.0514046574610247E-2</v>
      </c>
      <c r="F58" s="362">
        <f t="shared" si="7"/>
        <v>2.1277894412565508E-2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615</v>
      </c>
      <c r="C59" s="366">
        <f>IF(C42=0,0,C56/C42)</f>
        <v>2.2706321211501739</v>
      </c>
      <c r="D59" s="366">
        <f>IF(LN_IB1=0,0,LN_IB13/LN_IB1)</f>
        <v>2.4266161610694423</v>
      </c>
      <c r="E59" s="367">
        <f t="shared" si="6"/>
        <v>0.15598403991926846</v>
      </c>
      <c r="F59" s="362">
        <f t="shared" si="7"/>
        <v>6.8696306401345081E-2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616</v>
      </c>
      <c r="C60" s="376">
        <f>C59*C45</f>
        <v>4305.1185017007301</v>
      </c>
      <c r="D60" s="376">
        <f>LN_IB16*LN_IB4</f>
        <v>4610.5707060319401</v>
      </c>
      <c r="E60" s="376">
        <f t="shared" si="6"/>
        <v>305.45220433120994</v>
      </c>
      <c r="F60" s="362">
        <f t="shared" si="7"/>
        <v>7.0950939959153636E-2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617</v>
      </c>
      <c r="C61" s="378">
        <f>IF(C60=0,0,C57/C60)</f>
        <v>5283.0485365304021</v>
      </c>
      <c r="D61" s="378">
        <f>IF(LN_IB17=0,0,LN_IB14/LN_IB17)</f>
        <v>5348.8272000115285</v>
      </c>
      <c r="E61" s="378">
        <f t="shared" si="6"/>
        <v>65.778663481126387</v>
      </c>
      <c r="F61" s="362">
        <f t="shared" si="7"/>
        <v>1.2450891379530269E-2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627</v>
      </c>
      <c r="C62" s="378">
        <f>C32-C61</f>
        <v>783.85486382354975</v>
      </c>
      <c r="D62" s="378">
        <f>LN_IA16-LN_IB18</f>
        <v>983.88743401444117</v>
      </c>
      <c r="E62" s="378">
        <f t="shared" si="6"/>
        <v>200.03257019089142</v>
      </c>
      <c r="F62" s="362">
        <f t="shared" si="7"/>
        <v>0.2551908260352645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628</v>
      </c>
      <c r="C63" s="361">
        <f>C62*C60</f>
        <v>3374588.0768948705</v>
      </c>
      <c r="D63" s="361">
        <f>LN_IB19*LN_IB17</f>
        <v>4536282.5812999159</v>
      </c>
      <c r="E63" s="361">
        <f t="shared" si="6"/>
        <v>1161694.5044050454</v>
      </c>
      <c r="F63" s="362">
        <f t="shared" si="7"/>
        <v>0.34424779497057295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629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619</v>
      </c>
      <c r="C66" s="361">
        <f>C42+C56</f>
        <v>66299978</v>
      </c>
      <c r="D66" s="361">
        <f>LN_IB1+LN_IB13</f>
        <v>69006889</v>
      </c>
      <c r="E66" s="361">
        <f>D66-C66</f>
        <v>2706911</v>
      </c>
      <c r="F66" s="362">
        <f>IF(C66=0,0,E66/C66)</f>
        <v>4.0828233758991597E-2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620</v>
      </c>
      <c r="C67" s="361">
        <f>C43+C57</f>
        <v>36229111</v>
      </c>
      <c r="D67" s="361">
        <f>LN_IB2+LN_IB14</f>
        <v>38469968</v>
      </c>
      <c r="E67" s="361">
        <f>D67-C67</f>
        <v>2240857</v>
      </c>
      <c r="F67" s="362">
        <f>IF(C67=0,0,E67/C67)</f>
        <v>6.1852387159044557E-2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621</v>
      </c>
      <c r="C68" s="361">
        <f>C66-C67</f>
        <v>30070867</v>
      </c>
      <c r="D68" s="361">
        <f>LN_IB21-LN_IB22</f>
        <v>30536921</v>
      </c>
      <c r="E68" s="361">
        <f>D68-C68</f>
        <v>466054</v>
      </c>
      <c r="F68" s="362">
        <f>IF(C68=0,0,E68/C68)</f>
        <v>1.5498522207557234E-2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630</v>
      </c>
      <c r="C70" s="353">
        <f>C50+C63</f>
        <v>3155624.8694186648</v>
      </c>
      <c r="D70" s="353">
        <f>LN_IB9+LN_IB20</f>
        <v>5302084.4741736157</v>
      </c>
      <c r="E70" s="361">
        <f>D70-C70</f>
        <v>2146459.6047549509</v>
      </c>
      <c r="F70" s="362">
        <f>IF(C70=0,0,E70/C70)</f>
        <v>0.68020113086203926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631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632</v>
      </c>
      <c r="C73" s="400">
        <v>65804567</v>
      </c>
      <c r="D73" s="400">
        <v>69006889</v>
      </c>
      <c r="E73" s="400">
        <f>D73-C73</f>
        <v>3202322</v>
      </c>
      <c r="F73" s="401">
        <f>IF(C73=0,0,E73/C73)</f>
        <v>4.8664129953168753E-2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633</v>
      </c>
      <c r="C74" s="400">
        <v>39914356</v>
      </c>
      <c r="D74" s="400">
        <v>42222944</v>
      </c>
      <c r="E74" s="400">
        <f>D74-C74</f>
        <v>2308588</v>
      </c>
      <c r="F74" s="401">
        <f>IF(C74=0,0,E74/C74)</f>
        <v>5.7838538093912879E-2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634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635</v>
      </c>
      <c r="C76" s="353">
        <f>C73-C74</f>
        <v>25890211</v>
      </c>
      <c r="D76" s="353">
        <f>LN_IB32-LN_IB33</f>
        <v>26783945</v>
      </c>
      <c r="E76" s="400">
        <f>D76-C76</f>
        <v>893734</v>
      </c>
      <c r="F76" s="401">
        <f>IF(C76=0,0,E76/C76)</f>
        <v>3.4520151264893127E-2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636</v>
      </c>
      <c r="C77" s="366">
        <f>IF(C73=0,0,C76/C73)</f>
        <v>0.39344094460799356</v>
      </c>
      <c r="D77" s="366">
        <f>IF(LN_IB1=0,0,LN_IB34/LN_IB32)</f>
        <v>0.38813436438208365</v>
      </c>
      <c r="E77" s="405">
        <f>D77-C77</f>
        <v>-5.3065802259099071E-3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637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638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603</v>
      </c>
      <c r="C83" s="361">
        <v>1170201</v>
      </c>
      <c r="D83" s="361">
        <v>1088411</v>
      </c>
      <c r="E83" s="361">
        <f t="shared" ref="E83:E95" si="8">D83-C83</f>
        <v>-81790</v>
      </c>
      <c r="F83" s="362">
        <f t="shared" ref="F83:F95" si="9">IF(C83=0,0,E83/C83)</f>
        <v>-6.989397547942619E-2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604</v>
      </c>
      <c r="C84" s="361">
        <v>311253</v>
      </c>
      <c r="D84" s="361">
        <v>275446</v>
      </c>
      <c r="E84" s="361">
        <f t="shared" si="8"/>
        <v>-35807</v>
      </c>
      <c r="F84" s="362">
        <f t="shared" si="9"/>
        <v>-0.11504146144776115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605</v>
      </c>
      <c r="C85" s="366">
        <f>IF(C83=0,0,C84/C83)</f>
        <v>0.26598251069688028</v>
      </c>
      <c r="D85" s="366">
        <f>IF(LN_IC1=0,0,LN_IC2/LN_IC1)</f>
        <v>0.2530716797239278</v>
      </c>
      <c r="E85" s="367">
        <f t="shared" si="8"/>
        <v>-1.2910830972952481E-2</v>
      </c>
      <c r="F85" s="362">
        <f t="shared" si="9"/>
        <v>-4.8540150023871145E-2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123</v>
      </c>
      <c r="D86" s="369">
        <v>155</v>
      </c>
      <c r="E86" s="369">
        <f t="shared" si="8"/>
        <v>32</v>
      </c>
      <c r="F86" s="362">
        <f t="shared" si="9"/>
        <v>0.26016260162601629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606</v>
      </c>
      <c r="C87" s="372">
        <v>0.88380000000000003</v>
      </c>
      <c r="D87" s="372">
        <v>0.97219999999999995</v>
      </c>
      <c r="E87" s="373">
        <f t="shared" si="8"/>
        <v>8.8399999999999923E-2</v>
      </c>
      <c r="F87" s="362">
        <f t="shared" si="9"/>
        <v>0.10002262955419769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607</v>
      </c>
      <c r="C88" s="376">
        <f>C86*C87</f>
        <v>108.70740000000001</v>
      </c>
      <c r="D88" s="376">
        <f>LN_IC4*LN_IC5</f>
        <v>150.691</v>
      </c>
      <c r="E88" s="376">
        <f t="shared" si="8"/>
        <v>41.983599999999996</v>
      </c>
      <c r="F88" s="362">
        <f t="shared" si="9"/>
        <v>0.38620737870650934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608</v>
      </c>
      <c r="C89" s="378">
        <f>IF(C88=0,0,C84/C88)</f>
        <v>2863.2181433830629</v>
      </c>
      <c r="D89" s="378">
        <f>IF(LN_IC6=0,0,LN_IC2/LN_IC6)</f>
        <v>1827.88620421923</v>
      </c>
      <c r="E89" s="378">
        <f t="shared" si="8"/>
        <v>-1035.3319391638329</v>
      </c>
      <c r="F89" s="362">
        <f t="shared" si="9"/>
        <v>-0.36159729622994302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639</v>
      </c>
      <c r="C90" s="378">
        <f>C48-C89</f>
        <v>3995.3365360110029</v>
      </c>
      <c r="D90" s="378">
        <f>LN_IB7-LN_IC7</f>
        <v>4694.4157365790998</v>
      </c>
      <c r="E90" s="378">
        <f t="shared" si="8"/>
        <v>699.07920056809689</v>
      </c>
      <c r="F90" s="362">
        <f t="shared" si="9"/>
        <v>0.17497379614135505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640</v>
      </c>
      <c r="C91" s="378">
        <f>C21-C89</f>
        <v>3883.9701678582833</v>
      </c>
      <c r="D91" s="378">
        <f>LN_IA7-LN_IC7</f>
        <v>5056.1258934742473</v>
      </c>
      <c r="E91" s="378">
        <f t="shared" si="8"/>
        <v>1172.155725615964</v>
      </c>
      <c r="F91" s="362">
        <f t="shared" si="9"/>
        <v>0.301793184539911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625</v>
      </c>
      <c r="C92" s="353">
        <f>C91*C88</f>
        <v>422216.29862543754</v>
      </c>
      <c r="D92" s="353">
        <f>LN_IC9*LN_IC6</f>
        <v>761912.66701352783</v>
      </c>
      <c r="E92" s="353">
        <f t="shared" si="8"/>
        <v>339696.36838809028</v>
      </c>
      <c r="F92" s="362">
        <f t="shared" si="9"/>
        <v>0.80455531795906932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576</v>
      </c>
      <c r="D93" s="369">
        <v>729</v>
      </c>
      <c r="E93" s="369">
        <f t="shared" si="8"/>
        <v>153</v>
      </c>
      <c r="F93" s="362">
        <f t="shared" si="9"/>
        <v>0.265625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609</v>
      </c>
      <c r="C94" s="411">
        <f>IF(C93=0,0,C84/C93)</f>
        <v>540.36979166666663</v>
      </c>
      <c r="D94" s="411">
        <f>IF(LN_IC11=0,0,LN_IC2/LN_IC11)</f>
        <v>377.84087791495199</v>
      </c>
      <c r="E94" s="411">
        <f t="shared" si="8"/>
        <v>-162.52891375171464</v>
      </c>
      <c r="F94" s="362">
        <f t="shared" si="9"/>
        <v>-0.30077350040316925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610</v>
      </c>
      <c r="C95" s="379">
        <f>IF(C86=0,0,C93/C86)</f>
        <v>4.6829268292682924</v>
      </c>
      <c r="D95" s="379">
        <f>IF(LN_IC4=0,0,LN_IC11/LN_IC4)</f>
        <v>4.7032258064516128</v>
      </c>
      <c r="E95" s="379">
        <f t="shared" si="8"/>
        <v>2.029897718332041E-2</v>
      </c>
      <c r="F95" s="362">
        <f t="shared" si="9"/>
        <v>4.3346774193548793E-3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641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612</v>
      </c>
      <c r="C98" s="361">
        <v>3638115</v>
      </c>
      <c r="D98" s="361">
        <v>3745209</v>
      </c>
      <c r="E98" s="361">
        <f t="shared" ref="E98:E106" si="10">D98-C98</f>
        <v>107094</v>
      </c>
      <c r="F98" s="362">
        <f t="shared" ref="F98:F106" si="11">IF(C98=0,0,E98/C98)</f>
        <v>2.9436672562577048E-2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613</v>
      </c>
      <c r="C99" s="361">
        <v>967674</v>
      </c>
      <c r="D99" s="361">
        <v>947806</v>
      </c>
      <c r="E99" s="361">
        <f t="shared" si="10"/>
        <v>-19868</v>
      </c>
      <c r="F99" s="362">
        <f t="shared" si="11"/>
        <v>-2.0531707992567746E-2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614</v>
      </c>
      <c r="C100" s="366">
        <f>IF(C98=0,0,C99/C98)</f>
        <v>0.26598224630062545</v>
      </c>
      <c r="D100" s="366">
        <f>IF(LN_IC14=0,0,LN_IC15/LN_IC14)</f>
        <v>0.25307159093124043</v>
      </c>
      <c r="E100" s="367">
        <f t="shared" si="10"/>
        <v>-1.2910655369385016E-2</v>
      </c>
      <c r="F100" s="362">
        <f t="shared" si="11"/>
        <v>-4.8539538066735458E-2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615</v>
      </c>
      <c r="C101" s="366">
        <f>IF(C83=0,0,C98/C83)</f>
        <v>3.1089658956025503</v>
      </c>
      <c r="D101" s="366">
        <f>IF(LN_IC1=0,0,LN_IC14/LN_IC1)</f>
        <v>3.4409878253711144</v>
      </c>
      <c r="E101" s="367">
        <f t="shared" si="10"/>
        <v>0.33202192976856404</v>
      </c>
      <c r="F101" s="362">
        <f t="shared" si="11"/>
        <v>0.10679497328619447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616</v>
      </c>
      <c r="C102" s="376">
        <f>C101*C86</f>
        <v>382.40280515911371</v>
      </c>
      <c r="D102" s="376">
        <f>LN_IC17*LN_IC4</f>
        <v>533.35311293252278</v>
      </c>
      <c r="E102" s="376">
        <f t="shared" si="10"/>
        <v>150.95030777340907</v>
      </c>
      <c r="F102" s="362">
        <f t="shared" si="11"/>
        <v>0.39474163300292803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617</v>
      </c>
      <c r="C103" s="378">
        <f>IF(C102=0,0,C99/C102)</f>
        <v>2530.5096797011238</v>
      </c>
      <c r="D103" s="378">
        <f>IF(LN_IC18=0,0,LN_IC15/LN_IC18)</f>
        <v>1777.0703442391116</v>
      </c>
      <c r="E103" s="378">
        <f t="shared" si="10"/>
        <v>-753.4393354620122</v>
      </c>
      <c r="F103" s="362">
        <f t="shared" si="11"/>
        <v>-0.29774212740849909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642</v>
      </c>
      <c r="C104" s="378">
        <f>C61-C103</f>
        <v>2752.5388568292783</v>
      </c>
      <c r="D104" s="378">
        <f>LN_IB18-LN_IC19</f>
        <v>3571.7568557724171</v>
      </c>
      <c r="E104" s="378">
        <f t="shared" si="10"/>
        <v>819.21799894313881</v>
      </c>
      <c r="F104" s="362">
        <f t="shared" si="11"/>
        <v>0.29762268274999665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643</v>
      </c>
      <c r="C105" s="378">
        <f>C32-C103</f>
        <v>3536.3937206528281</v>
      </c>
      <c r="D105" s="378">
        <f>LN_IA16-LN_IC19</f>
        <v>4555.6442897868583</v>
      </c>
      <c r="E105" s="378">
        <f t="shared" si="10"/>
        <v>1019.2505691340302</v>
      </c>
      <c r="F105" s="362">
        <f t="shared" si="11"/>
        <v>0.28821750337965019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628</v>
      </c>
      <c r="C106" s="361">
        <f>C105*C102</f>
        <v>1352326.8789247165</v>
      </c>
      <c r="D106" s="361">
        <f>LN_IC21*LN_IC18</f>
        <v>2429767.0633710925</v>
      </c>
      <c r="E106" s="361">
        <f t="shared" si="10"/>
        <v>1077440.184446376</v>
      </c>
      <c r="F106" s="362">
        <f t="shared" si="11"/>
        <v>0.79673058432668831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644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619</v>
      </c>
      <c r="C109" s="361">
        <f>C83+C98</f>
        <v>4808316</v>
      </c>
      <c r="D109" s="361">
        <f>LN_IC1+LN_IC14</f>
        <v>4833620</v>
      </c>
      <c r="E109" s="361">
        <f>D109-C109</f>
        <v>25304</v>
      </c>
      <c r="F109" s="362">
        <f>IF(C109=0,0,E109/C109)</f>
        <v>5.2625493000044094E-3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620</v>
      </c>
      <c r="C110" s="361">
        <f>C84+C99</f>
        <v>1278927</v>
      </c>
      <c r="D110" s="361">
        <f>LN_IC2+LN_IC15</f>
        <v>1223252</v>
      </c>
      <c r="E110" s="361">
        <f>D110-C110</f>
        <v>-55675</v>
      </c>
      <c r="F110" s="362">
        <f>IF(C110=0,0,E110/C110)</f>
        <v>-4.3532586300860016E-2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621</v>
      </c>
      <c r="C111" s="361">
        <f>C109-C110</f>
        <v>3529389</v>
      </c>
      <c r="D111" s="361">
        <f>LN_IC23-LN_IC24</f>
        <v>3610368</v>
      </c>
      <c r="E111" s="361">
        <f>D111-C111</f>
        <v>80979</v>
      </c>
      <c r="F111" s="362">
        <f>IF(C111=0,0,E111/C111)</f>
        <v>2.2944197990077037E-2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630</v>
      </c>
      <c r="C113" s="361">
        <f>C92+C106</f>
        <v>1774543.177550154</v>
      </c>
      <c r="D113" s="361">
        <f>LN_IC10+LN_IC22</f>
        <v>3191679.7303846204</v>
      </c>
      <c r="E113" s="361">
        <f>D113-C113</f>
        <v>1417136.5528344663</v>
      </c>
      <c r="F113" s="362">
        <f>IF(C113=0,0,E113/C113)</f>
        <v>0.79859231985039358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645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646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603</v>
      </c>
      <c r="C118" s="361">
        <v>5912856</v>
      </c>
      <c r="D118" s="361">
        <v>9213369</v>
      </c>
      <c r="E118" s="361">
        <f t="shared" ref="E118:E130" si="12">D118-C118</f>
        <v>3300513</v>
      </c>
      <c r="F118" s="362">
        <f t="shared" ref="F118:F130" si="13">IF(C118=0,0,E118/C118)</f>
        <v>0.55819269063883847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604</v>
      </c>
      <c r="C119" s="361">
        <v>2971140</v>
      </c>
      <c r="D119" s="361">
        <v>4383899</v>
      </c>
      <c r="E119" s="361">
        <f t="shared" si="12"/>
        <v>1412759</v>
      </c>
      <c r="F119" s="362">
        <f t="shared" si="13"/>
        <v>0.47549391815935971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605</v>
      </c>
      <c r="C120" s="366">
        <f>IF(C118=0,0,C119/C118)</f>
        <v>0.50248813771213097</v>
      </c>
      <c r="D120" s="366">
        <f>IF(LN_ID1=0,0,LN_1D2/LN_ID1)</f>
        <v>0.47581932298597829</v>
      </c>
      <c r="E120" s="367">
        <f t="shared" si="12"/>
        <v>-2.6668814726152679E-2</v>
      </c>
      <c r="F120" s="362">
        <f t="shared" si="13"/>
        <v>-5.3073520994103354E-2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735</v>
      </c>
      <c r="D121" s="369">
        <v>935</v>
      </c>
      <c r="E121" s="369">
        <f t="shared" si="12"/>
        <v>200</v>
      </c>
      <c r="F121" s="362">
        <f t="shared" si="13"/>
        <v>0.27210884353741499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606</v>
      </c>
      <c r="C122" s="372">
        <v>0.77680000000000005</v>
      </c>
      <c r="D122" s="372">
        <v>0.8599</v>
      </c>
      <c r="E122" s="373">
        <f t="shared" si="12"/>
        <v>8.3099999999999952E-2</v>
      </c>
      <c r="F122" s="362">
        <f t="shared" si="13"/>
        <v>0.10697734294541703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607</v>
      </c>
      <c r="C123" s="376">
        <f>C121*C122</f>
        <v>570.94799999999998</v>
      </c>
      <c r="D123" s="376">
        <f>LN_ID4*LN_ID5</f>
        <v>804.00649999999996</v>
      </c>
      <c r="E123" s="376">
        <f t="shared" si="12"/>
        <v>233.05849999999998</v>
      </c>
      <c r="F123" s="362">
        <f t="shared" si="13"/>
        <v>0.40819566755641495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608</v>
      </c>
      <c r="C124" s="378">
        <f>IF(C123=0,0,C119/C123)</f>
        <v>5203.8714558944075</v>
      </c>
      <c r="D124" s="378">
        <f>IF(LN_ID6=0,0,LN_1D2/LN_ID6)</f>
        <v>5452.5666148221444</v>
      </c>
      <c r="E124" s="378">
        <f t="shared" si="12"/>
        <v>248.69515892773688</v>
      </c>
      <c r="F124" s="362">
        <f t="shared" si="13"/>
        <v>4.7790411626336529E-2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647</v>
      </c>
      <c r="C125" s="378">
        <f>C48-C124</f>
        <v>1654.6832234996582</v>
      </c>
      <c r="D125" s="378">
        <f>LN_IB7-LN_ID7</f>
        <v>1069.7353259761849</v>
      </c>
      <c r="E125" s="378">
        <f t="shared" si="12"/>
        <v>-584.94789752347333</v>
      </c>
      <c r="F125" s="362">
        <f t="shared" si="13"/>
        <v>-0.35351050232219516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648</v>
      </c>
      <c r="C126" s="378">
        <f>C21-C124</f>
        <v>1543.3168553469386</v>
      </c>
      <c r="D126" s="378">
        <f>LN_IA7-LN_ID7</f>
        <v>1431.4454828713324</v>
      </c>
      <c r="E126" s="378">
        <f t="shared" si="12"/>
        <v>-111.87137247560622</v>
      </c>
      <c r="F126" s="362">
        <f t="shared" si="13"/>
        <v>-7.2487624357901195E-2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625</v>
      </c>
      <c r="C127" s="391">
        <f>C126*C123</f>
        <v>881153.67192662391</v>
      </c>
      <c r="D127" s="391">
        <f>LN_ID9*LN_ID6</f>
        <v>1150891.4726241899</v>
      </c>
      <c r="E127" s="391">
        <f t="shared" si="12"/>
        <v>269737.80069756601</v>
      </c>
      <c r="F127" s="362">
        <f t="shared" si="13"/>
        <v>0.30611890898416166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2800</v>
      </c>
      <c r="D128" s="369">
        <v>3996</v>
      </c>
      <c r="E128" s="369">
        <f t="shared" si="12"/>
        <v>1196</v>
      </c>
      <c r="F128" s="362">
        <f t="shared" si="13"/>
        <v>0.42714285714285716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609</v>
      </c>
      <c r="C129" s="378">
        <f>IF(C128=0,0,C119/C128)</f>
        <v>1061.1214285714286</v>
      </c>
      <c r="D129" s="378">
        <f>IF(LN_ID11=0,0,LN_1D2/LN_ID11)</f>
        <v>1097.0718218218219</v>
      </c>
      <c r="E129" s="378">
        <f t="shared" si="12"/>
        <v>35.95039325039329</v>
      </c>
      <c r="F129" s="362">
        <f t="shared" si="13"/>
        <v>3.3879622333885716E-2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610</v>
      </c>
      <c r="C130" s="379">
        <f>IF(C121=0,0,C128/C121)</f>
        <v>3.8095238095238093</v>
      </c>
      <c r="D130" s="379">
        <f>IF(LN_ID4=0,0,LN_ID11/LN_ID4)</f>
        <v>4.2737967914438499</v>
      </c>
      <c r="E130" s="379">
        <f t="shared" si="12"/>
        <v>0.46427298192004063</v>
      </c>
      <c r="F130" s="362">
        <f t="shared" si="13"/>
        <v>0.12187165775401067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649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612</v>
      </c>
      <c r="C133" s="361">
        <v>14090292</v>
      </c>
      <c r="D133" s="361">
        <v>18698664</v>
      </c>
      <c r="E133" s="361">
        <f t="shared" ref="E133:E141" si="14">D133-C133</f>
        <v>4608372</v>
      </c>
      <c r="F133" s="362">
        <f t="shared" ref="F133:F141" si="15">IF(C133=0,0,E133/C133)</f>
        <v>0.32706007796005931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613</v>
      </c>
      <c r="C134" s="361">
        <v>4924548</v>
      </c>
      <c r="D134" s="361">
        <v>6677053</v>
      </c>
      <c r="E134" s="361">
        <f t="shared" si="14"/>
        <v>1752505</v>
      </c>
      <c r="F134" s="362">
        <f t="shared" si="15"/>
        <v>0.35587123935029163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614</v>
      </c>
      <c r="C135" s="366">
        <f>IF(C133=0,0,C134/C133)</f>
        <v>0.34949935742992411</v>
      </c>
      <c r="D135" s="366">
        <f>IF(LN_ID14=0,0,LN_ID15/LN_ID14)</f>
        <v>0.35708716943627633</v>
      </c>
      <c r="E135" s="367">
        <f t="shared" si="14"/>
        <v>7.5878120063522236E-3</v>
      </c>
      <c r="F135" s="362">
        <f t="shared" si="15"/>
        <v>2.1710517759316931E-2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615</v>
      </c>
      <c r="C136" s="366">
        <f>IF(C118=0,0,C133/C118)</f>
        <v>2.3829925842942901</v>
      </c>
      <c r="D136" s="366">
        <f>IF(LN_ID1=0,0,LN_ID14/LN_ID1)</f>
        <v>2.0295142851653938</v>
      </c>
      <c r="E136" s="367">
        <f t="shared" si="14"/>
        <v>-0.35347829912889628</v>
      </c>
      <c r="F136" s="362">
        <f t="shared" si="15"/>
        <v>-0.14833378058269406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616</v>
      </c>
      <c r="C137" s="376">
        <f>C136*C121</f>
        <v>1751.4995494563032</v>
      </c>
      <c r="D137" s="376">
        <f>LN_ID17*LN_ID4</f>
        <v>1897.5958566296431</v>
      </c>
      <c r="E137" s="376">
        <f t="shared" si="14"/>
        <v>146.09630717333994</v>
      </c>
      <c r="F137" s="362">
        <f t="shared" si="15"/>
        <v>8.3412129462831344E-2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617</v>
      </c>
      <c r="C138" s="378">
        <f>IF(C137=0,0,C134/C137)</f>
        <v>2811.6181939805056</v>
      </c>
      <c r="D138" s="378">
        <f>IF(LN_ID18=0,0,LN_ID15/LN_ID18)</f>
        <v>3518.6907563443165</v>
      </c>
      <c r="E138" s="378">
        <f t="shared" si="14"/>
        <v>707.0725623638109</v>
      </c>
      <c r="F138" s="362">
        <f t="shared" si="15"/>
        <v>0.25148242527296488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650</v>
      </c>
      <c r="C139" s="378">
        <f>C61-C138</f>
        <v>2471.4303425498965</v>
      </c>
      <c r="D139" s="378">
        <f>LN_IB18-LN_ID19</f>
        <v>1830.136443667212</v>
      </c>
      <c r="E139" s="378">
        <f t="shared" si="14"/>
        <v>-641.29389888268452</v>
      </c>
      <c r="F139" s="362">
        <f t="shared" si="15"/>
        <v>-0.25948289451728185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651</v>
      </c>
      <c r="C140" s="378">
        <f>C32-C138</f>
        <v>3255.2852063734463</v>
      </c>
      <c r="D140" s="378">
        <f>LN_IA16-LN_ID19</f>
        <v>2814.0238776816532</v>
      </c>
      <c r="E140" s="378">
        <f t="shared" si="14"/>
        <v>-441.2613286917931</v>
      </c>
      <c r="F140" s="362">
        <f t="shared" si="15"/>
        <v>-0.13555227905310968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628</v>
      </c>
      <c r="C141" s="353">
        <f>C140*C137</f>
        <v>5701630.5723148603</v>
      </c>
      <c r="D141" s="353">
        <f>LN_ID21*LN_ID18</f>
        <v>5339880.0507455869</v>
      </c>
      <c r="E141" s="353">
        <f t="shared" si="14"/>
        <v>-361750.52156927343</v>
      </c>
      <c r="F141" s="362">
        <f t="shared" si="15"/>
        <v>-6.3446853839638162E-2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652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619</v>
      </c>
      <c r="C144" s="361">
        <f>C118+C133</f>
        <v>20003148</v>
      </c>
      <c r="D144" s="361">
        <f>LN_ID1+LN_ID14</f>
        <v>27912033</v>
      </c>
      <c r="E144" s="361">
        <f>D144-C144</f>
        <v>7908885</v>
      </c>
      <c r="F144" s="362">
        <f>IF(C144=0,0,E144/C144)</f>
        <v>0.39538201687054458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620</v>
      </c>
      <c r="C145" s="361">
        <f>C119+C134</f>
        <v>7895688</v>
      </c>
      <c r="D145" s="361">
        <f>LN_1D2+LN_ID15</f>
        <v>11060952</v>
      </c>
      <c r="E145" s="361">
        <f>D145-C145</f>
        <v>3165264</v>
      </c>
      <c r="F145" s="362">
        <f>IF(C145=0,0,E145/C145)</f>
        <v>0.40088514135816916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621</v>
      </c>
      <c r="C146" s="361">
        <f>C144-C145</f>
        <v>12107460</v>
      </c>
      <c r="D146" s="361">
        <f>LN_ID23-LN_ID24</f>
        <v>16851081</v>
      </c>
      <c r="E146" s="361">
        <f>D146-C146</f>
        <v>4743621</v>
      </c>
      <c r="F146" s="362">
        <f>IF(C146=0,0,E146/C146)</f>
        <v>0.39179324152216899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630</v>
      </c>
      <c r="C148" s="361">
        <f>C127+C141</f>
        <v>6582784.2442414844</v>
      </c>
      <c r="D148" s="361">
        <f>LN_ID10+LN_ID22</f>
        <v>6490771.523369777</v>
      </c>
      <c r="E148" s="361">
        <f>D148-C148</f>
        <v>-92012.720871707425</v>
      </c>
      <c r="F148" s="415">
        <f>IF(C148=0,0,E148/C148)</f>
        <v>-1.3977781658604214E-2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653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654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603</v>
      </c>
      <c r="C153" s="361">
        <v>3226414</v>
      </c>
      <c r="D153" s="361">
        <v>2283988</v>
      </c>
      <c r="E153" s="361">
        <f t="shared" ref="E153:E165" si="16">D153-C153</f>
        <v>-942426</v>
      </c>
      <c r="F153" s="362">
        <f t="shared" ref="F153:F165" si="17">IF(C153=0,0,E153/C153)</f>
        <v>-0.29209704644227308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604</v>
      </c>
      <c r="C154" s="361">
        <v>880023</v>
      </c>
      <c r="D154" s="361">
        <v>1000775</v>
      </c>
      <c r="E154" s="361">
        <f t="shared" si="16"/>
        <v>120752</v>
      </c>
      <c r="F154" s="362">
        <f t="shared" si="17"/>
        <v>0.13721459552761689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605</v>
      </c>
      <c r="C155" s="366">
        <f>IF(C153=0,0,C154/C153)</f>
        <v>0.27275575918031597</v>
      </c>
      <c r="D155" s="366">
        <f>IF(LN_IE1=0,0,LN_IE2/LN_IE1)</f>
        <v>0.43816999038523846</v>
      </c>
      <c r="E155" s="367">
        <f t="shared" si="16"/>
        <v>0.16541423120492249</v>
      </c>
      <c r="F155" s="362">
        <f t="shared" si="17"/>
        <v>0.60645550327525399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259</v>
      </c>
      <c r="D156" s="419">
        <v>198</v>
      </c>
      <c r="E156" s="419">
        <f t="shared" si="16"/>
        <v>-61</v>
      </c>
      <c r="F156" s="362">
        <f t="shared" si="17"/>
        <v>-0.23552123552123552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606</v>
      </c>
      <c r="C157" s="372">
        <v>1.0006999999999999</v>
      </c>
      <c r="D157" s="372">
        <v>0.99150000000000005</v>
      </c>
      <c r="E157" s="373">
        <f t="shared" si="16"/>
        <v>-9.1999999999998749E-3</v>
      </c>
      <c r="F157" s="362">
        <f t="shared" si="17"/>
        <v>-9.1935645048464836E-3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607</v>
      </c>
      <c r="C158" s="376">
        <f>C156*C157</f>
        <v>259.18129999999996</v>
      </c>
      <c r="D158" s="376">
        <f>LN_IE4*LN_IE5</f>
        <v>196.31700000000001</v>
      </c>
      <c r="E158" s="376">
        <f t="shared" si="16"/>
        <v>-62.864299999999957</v>
      </c>
      <c r="F158" s="362">
        <f t="shared" si="17"/>
        <v>-0.24254952035505634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608</v>
      </c>
      <c r="C159" s="378">
        <f>IF(C158=0,0,C154/C158)</f>
        <v>3395.3954239754185</v>
      </c>
      <c r="D159" s="378">
        <f>IF(LN_IE6=0,0,LN_IE2/LN_IE6)</f>
        <v>5097.7500674928815</v>
      </c>
      <c r="E159" s="378">
        <f t="shared" si="16"/>
        <v>1702.354643517463</v>
      </c>
      <c r="F159" s="362">
        <f t="shared" si="17"/>
        <v>0.5013715432072714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655</v>
      </c>
      <c r="C160" s="378">
        <f>C48-C159</f>
        <v>3463.1592554186473</v>
      </c>
      <c r="D160" s="378">
        <f>LN_IB7-LN_IE7</f>
        <v>1424.5518733054478</v>
      </c>
      <c r="E160" s="378">
        <f t="shared" si="16"/>
        <v>-2038.6073821131995</v>
      </c>
      <c r="F160" s="362">
        <f t="shared" si="17"/>
        <v>-0.58865539577005699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656</v>
      </c>
      <c r="C161" s="378">
        <f>C21-C159</f>
        <v>3351.7928872659277</v>
      </c>
      <c r="D161" s="378">
        <f>LN_IA7-LN_IE7</f>
        <v>1786.2620302005953</v>
      </c>
      <c r="E161" s="378">
        <f t="shared" si="16"/>
        <v>-1565.5308570653324</v>
      </c>
      <c r="F161" s="362">
        <f t="shared" si="17"/>
        <v>-0.46707267117042628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625</v>
      </c>
      <c r="C162" s="391">
        <f>C161*C158</f>
        <v>868722.03785233642</v>
      </c>
      <c r="D162" s="391">
        <f>LN_IE9*LN_IE6</f>
        <v>350673.60298289027</v>
      </c>
      <c r="E162" s="391">
        <f t="shared" si="16"/>
        <v>-518048.43486944615</v>
      </c>
      <c r="F162" s="362">
        <f t="shared" si="17"/>
        <v>-0.59633393916214084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1534</v>
      </c>
      <c r="D163" s="369">
        <v>1061</v>
      </c>
      <c r="E163" s="419">
        <f t="shared" si="16"/>
        <v>-473</v>
      </c>
      <c r="F163" s="362">
        <f t="shared" si="17"/>
        <v>-0.30834419817470665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609</v>
      </c>
      <c r="C164" s="378">
        <f>IF(C163=0,0,C154/C163)</f>
        <v>573.67861799217735</v>
      </c>
      <c r="D164" s="378">
        <f>IF(LN_IE11=0,0,LN_IE2/LN_IE11)</f>
        <v>943.23751178133841</v>
      </c>
      <c r="E164" s="378">
        <f t="shared" si="16"/>
        <v>369.55889378916106</v>
      </c>
      <c r="F164" s="362">
        <f t="shared" si="17"/>
        <v>0.64419150757715771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610</v>
      </c>
      <c r="C165" s="379">
        <f>IF(C156=0,0,C163/C156)</f>
        <v>5.9227799227799229</v>
      </c>
      <c r="D165" s="379">
        <f>IF(LN_IE4=0,0,LN_IE11/LN_IE4)</f>
        <v>5.358585858585859</v>
      </c>
      <c r="E165" s="379">
        <f t="shared" si="16"/>
        <v>-0.56419406419406393</v>
      </c>
      <c r="F165" s="362">
        <f t="shared" si="17"/>
        <v>-9.5258319834590974E-2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657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612</v>
      </c>
      <c r="C168" s="424">
        <v>4660463</v>
      </c>
      <c r="D168" s="424">
        <v>3954703</v>
      </c>
      <c r="E168" s="424">
        <f t="shared" ref="E168:E176" si="18">D168-C168</f>
        <v>-705760</v>
      </c>
      <c r="F168" s="362">
        <f t="shared" ref="F168:F176" si="19">IF(C168=0,0,E168/C168)</f>
        <v>-0.15143559770778139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613</v>
      </c>
      <c r="C169" s="424">
        <v>1039393</v>
      </c>
      <c r="D169" s="424">
        <v>1155191</v>
      </c>
      <c r="E169" s="424">
        <f t="shared" si="18"/>
        <v>115798</v>
      </c>
      <c r="F169" s="362">
        <f t="shared" si="19"/>
        <v>0.11140925520953095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614</v>
      </c>
      <c r="C170" s="366">
        <f>IF(C168=0,0,C169/C168)</f>
        <v>0.22302354937696103</v>
      </c>
      <c r="D170" s="366">
        <f>IF(LN_IE14=0,0,LN_IE15/LN_IE14)</f>
        <v>0.2921056271482334</v>
      </c>
      <c r="E170" s="367">
        <f t="shared" si="18"/>
        <v>6.9082077771272371E-2</v>
      </c>
      <c r="F170" s="362">
        <f t="shared" si="19"/>
        <v>0.30975239145937811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615</v>
      </c>
      <c r="C171" s="366">
        <f>IF(C153=0,0,C168/C153)</f>
        <v>1.444471478241788</v>
      </c>
      <c r="D171" s="366">
        <f>IF(LN_IE1=0,0,LN_IE14/LN_IE1)</f>
        <v>1.7314902705268154</v>
      </c>
      <c r="E171" s="367">
        <f t="shared" si="18"/>
        <v>0.28701879228502736</v>
      </c>
      <c r="F171" s="362">
        <f t="shared" si="19"/>
        <v>0.19870159889511069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616</v>
      </c>
      <c r="C172" s="376">
        <f>C171*C156</f>
        <v>374.11811286462307</v>
      </c>
      <c r="D172" s="376">
        <f>LN_IE17*LN_IE4</f>
        <v>342.83507356430943</v>
      </c>
      <c r="E172" s="376">
        <f t="shared" si="18"/>
        <v>-31.283039300313646</v>
      </c>
      <c r="F172" s="362">
        <f t="shared" si="19"/>
        <v>-8.3618082697946267E-2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617</v>
      </c>
      <c r="C173" s="378">
        <f>IF(C172=0,0,C169/C172)</f>
        <v>2778.248270422851</v>
      </c>
      <c r="D173" s="378">
        <f>IF(LN_IE18=0,0,LN_IE15/LN_IE18)</f>
        <v>3369.5239754496934</v>
      </c>
      <c r="E173" s="378">
        <f t="shared" si="18"/>
        <v>591.27570502684239</v>
      </c>
      <c r="F173" s="362">
        <f t="shared" si="19"/>
        <v>0.21282320637847454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658</v>
      </c>
      <c r="C174" s="378">
        <f>C61-C173</f>
        <v>2504.8002661075511</v>
      </c>
      <c r="D174" s="378">
        <f>LN_IB18-LN_IE19</f>
        <v>1979.3032245618351</v>
      </c>
      <c r="E174" s="378">
        <f t="shared" si="18"/>
        <v>-525.497041545716</v>
      </c>
      <c r="F174" s="362">
        <f t="shared" si="19"/>
        <v>-0.20979598599385976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659</v>
      </c>
      <c r="C175" s="378">
        <f>C32-C173</f>
        <v>3288.6551299311009</v>
      </c>
      <c r="D175" s="378">
        <f>LN_IA16-LN_IE19</f>
        <v>2963.1906585762763</v>
      </c>
      <c r="E175" s="378">
        <f t="shared" si="18"/>
        <v>-325.46447135482458</v>
      </c>
      <c r="F175" s="362">
        <f t="shared" si="19"/>
        <v>-9.8965825997584383E-2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628</v>
      </c>
      <c r="C176" s="353">
        <f>C175*C172</f>
        <v>1230345.4510723853</v>
      </c>
      <c r="D176" s="353">
        <f>LN_IE21*LN_IE18</f>
        <v>1015885.6874180721</v>
      </c>
      <c r="E176" s="353">
        <f t="shared" si="18"/>
        <v>-214459.76365431317</v>
      </c>
      <c r="F176" s="362">
        <f t="shared" si="19"/>
        <v>-0.17430857607299413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660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619</v>
      </c>
      <c r="C179" s="361">
        <f>C153+C168</f>
        <v>7886877</v>
      </c>
      <c r="D179" s="361">
        <f>LN_IE1+LN_IE14</f>
        <v>6238691</v>
      </c>
      <c r="E179" s="361">
        <f>D179-C179</f>
        <v>-1648186</v>
      </c>
      <c r="F179" s="362">
        <f>IF(C179=0,0,E179/C179)</f>
        <v>-0.2089782812639274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620</v>
      </c>
      <c r="C180" s="361">
        <f>C154+C169</f>
        <v>1919416</v>
      </c>
      <c r="D180" s="361">
        <f>LN_IE15+LN_IE2</f>
        <v>2155966</v>
      </c>
      <c r="E180" s="361">
        <f>D180-C180</f>
        <v>236550</v>
      </c>
      <c r="F180" s="362">
        <f>IF(C180=0,0,E180/C180)</f>
        <v>0.12324061068575025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621</v>
      </c>
      <c r="C181" s="361">
        <f>C179-C180</f>
        <v>5967461</v>
      </c>
      <c r="D181" s="361">
        <f>LN_IE23-LN_IE24</f>
        <v>4082725</v>
      </c>
      <c r="E181" s="361">
        <f>D181-C181</f>
        <v>-1884736</v>
      </c>
      <c r="F181" s="362">
        <f>IF(C181=0,0,E181/C181)</f>
        <v>-0.31583549519636578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661</v>
      </c>
      <c r="C183" s="361">
        <f>C162+C176</f>
        <v>2099067.4889247217</v>
      </c>
      <c r="D183" s="361">
        <f>LN_IE10+LN_IE22</f>
        <v>1366559.2904009623</v>
      </c>
      <c r="E183" s="353">
        <f>D183-C183</f>
        <v>-732508.19852375938</v>
      </c>
      <c r="F183" s="362">
        <f>IF(C183=0,0,E183/C183)</f>
        <v>-0.34896838829083932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662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663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603</v>
      </c>
      <c r="C188" s="361">
        <f>C118+C153</f>
        <v>9139270</v>
      </c>
      <c r="D188" s="361">
        <f>LN_ID1+LN_IE1</f>
        <v>11497357</v>
      </c>
      <c r="E188" s="361">
        <f t="shared" ref="E188:E200" si="20">D188-C188</f>
        <v>2358087</v>
      </c>
      <c r="F188" s="362">
        <f t="shared" ref="F188:F200" si="21">IF(C188=0,0,E188/C188)</f>
        <v>0.25801699698115932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604</v>
      </c>
      <c r="C189" s="361">
        <f>C119+C154</f>
        <v>3851163</v>
      </c>
      <c r="D189" s="361">
        <f>LN_1D2+LN_IE2</f>
        <v>5384674</v>
      </c>
      <c r="E189" s="361">
        <f t="shared" si="20"/>
        <v>1533511</v>
      </c>
      <c r="F189" s="362">
        <f t="shared" si="21"/>
        <v>0.3981942597599738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605</v>
      </c>
      <c r="C190" s="366">
        <f>IF(C188=0,0,C189/C188)</f>
        <v>0.4213862813988426</v>
      </c>
      <c r="D190" s="366">
        <f>IF(LN_IF1=0,0,LN_IF2/LN_IF1)</f>
        <v>0.46834015852512884</v>
      </c>
      <c r="E190" s="367">
        <f t="shared" si="20"/>
        <v>4.6953877126286236E-2</v>
      </c>
      <c r="F190" s="362">
        <f t="shared" si="21"/>
        <v>0.11142716125075827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994</v>
      </c>
      <c r="D191" s="369">
        <f>LN_ID4+LN_IE4</f>
        <v>1133</v>
      </c>
      <c r="E191" s="369">
        <f t="shared" si="20"/>
        <v>139</v>
      </c>
      <c r="F191" s="362">
        <f t="shared" si="21"/>
        <v>0.13983903420523139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606</v>
      </c>
      <c r="C192" s="372">
        <f>IF((C121+C156)=0,0,(C123+C158)/(C121+C156))</f>
        <v>0.83514014084507038</v>
      </c>
      <c r="D192" s="372">
        <f>IF((LN_ID4+LN_IE4)=0,0,(LN_ID6+LN_IE6)/(LN_ID4+LN_IE4))</f>
        <v>0.88289805825242718</v>
      </c>
      <c r="E192" s="373">
        <f t="shared" si="20"/>
        <v>4.7757917407356798E-2</v>
      </c>
      <c r="F192" s="362">
        <f t="shared" si="21"/>
        <v>5.7185513031418909E-2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607</v>
      </c>
      <c r="C193" s="376">
        <f>C123+C158</f>
        <v>830.12929999999994</v>
      </c>
      <c r="D193" s="376">
        <f>LN_IF4*LN_IF5</f>
        <v>1000.3235</v>
      </c>
      <c r="E193" s="376">
        <f t="shared" si="20"/>
        <v>170.19420000000002</v>
      </c>
      <c r="F193" s="362">
        <f t="shared" si="21"/>
        <v>0.20502131414949459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608</v>
      </c>
      <c r="C194" s="378">
        <f>IF(C193=0,0,C189/C193)</f>
        <v>4639.2327074830391</v>
      </c>
      <c r="D194" s="378">
        <f>IF(LN_IF6=0,0,LN_IF2/LN_IF6)</f>
        <v>5382.9326212970109</v>
      </c>
      <c r="E194" s="378">
        <f t="shared" si="20"/>
        <v>743.69991381397176</v>
      </c>
      <c r="F194" s="362">
        <f t="shared" si="21"/>
        <v>0.16030666291311294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664</v>
      </c>
      <c r="C195" s="378">
        <f>C48-C194</f>
        <v>2219.3219719110266</v>
      </c>
      <c r="D195" s="378">
        <f>LN_IB7-LN_IF7</f>
        <v>1139.3693195013184</v>
      </c>
      <c r="E195" s="378">
        <f t="shared" si="20"/>
        <v>-1079.9526524097082</v>
      </c>
      <c r="F195" s="362">
        <f t="shared" si="21"/>
        <v>-0.48661377937865247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665</v>
      </c>
      <c r="C196" s="378">
        <f>C21-C194</f>
        <v>2107.955603758307</v>
      </c>
      <c r="D196" s="378">
        <f>LN_IA7-LN_IF7</f>
        <v>1501.0794763964659</v>
      </c>
      <c r="E196" s="378">
        <f t="shared" si="20"/>
        <v>-606.8761273618411</v>
      </c>
      <c r="F196" s="362">
        <f t="shared" si="21"/>
        <v>-0.28789796439727294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625</v>
      </c>
      <c r="C197" s="391">
        <f>C127+C162</f>
        <v>1749875.7097789603</v>
      </c>
      <c r="D197" s="391">
        <f>LN_IF9*LN_IF6</f>
        <v>1501565.07560708</v>
      </c>
      <c r="E197" s="391">
        <f t="shared" si="20"/>
        <v>-248310.63417188032</v>
      </c>
      <c r="F197" s="362">
        <f t="shared" si="21"/>
        <v>-0.1419018692494716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4334</v>
      </c>
      <c r="D198" s="369">
        <f>LN_ID11+LN_IE11</f>
        <v>5057</v>
      </c>
      <c r="E198" s="369">
        <f t="shared" si="20"/>
        <v>723</v>
      </c>
      <c r="F198" s="362">
        <f t="shared" si="21"/>
        <v>0.16682048915551453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609</v>
      </c>
      <c r="C199" s="432">
        <f>IF(C198=0,0,C189/C198)</f>
        <v>888.59321642824182</v>
      </c>
      <c r="D199" s="432">
        <f>IF(LN_IF11=0,0,LN_IF2/LN_IF11)</f>
        <v>1064.7961241842991</v>
      </c>
      <c r="E199" s="432">
        <f t="shared" si="20"/>
        <v>176.20290775605724</v>
      </c>
      <c r="F199" s="362">
        <f t="shared" si="21"/>
        <v>0.1982942301363905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610</v>
      </c>
      <c r="C200" s="379">
        <f>IF(C191=0,0,C198/C191)</f>
        <v>4.3601609657947682</v>
      </c>
      <c r="D200" s="379">
        <f>IF(LN_IF4=0,0,LN_IF11/LN_IF4)</f>
        <v>4.4633715798764344</v>
      </c>
      <c r="E200" s="379">
        <f t="shared" si="20"/>
        <v>0.10321061408166621</v>
      </c>
      <c r="F200" s="362">
        <f t="shared" si="21"/>
        <v>2.3671285278536278E-2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666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612</v>
      </c>
      <c r="C203" s="361">
        <f>C133+C168</f>
        <v>18750755</v>
      </c>
      <c r="D203" s="361">
        <f>LN_ID14+LN_IE14</f>
        <v>22653367</v>
      </c>
      <c r="E203" s="361">
        <f t="shared" ref="E203:E211" si="22">D203-C203</f>
        <v>3902612</v>
      </c>
      <c r="F203" s="362">
        <f t="shared" ref="F203:F211" si="23">IF(C203=0,0,E203/C203)</f>
        <v>0.2081309259280493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613</v>
      </c>
      <c r="C204" s="361">
        <f>C134+C169</f>
        <v>5963941</v>
      </c>
      <c r="D204" s="361">
        <f>LN_ID15+LN_IE15</f>
        <v>7832244</v>
      </c>
      <c r="E204" s="361">
        <f t="shared" si="22"/>
        <v>1868303</v>
      </c>
      <c r="F204" s="362">
        <f t="shared" si="23"/>
        <v>0.31326651286456386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614</v>
      </c>
      <c r="C205" s="366">
        <f>IF(C203=0,0,C204/C203)</f>
        <v>0.31806404595441623</v>
      </c>
      <c r="D205" s="366">
        <f>IF(LN_IF14=0,0,LN_IF15/LN_IF14)</f>
        <v>0.34574304120001237</v>
      </c>
      <c r="E205" s="367">
        <f t="shared" si="22"/>
        <v>2.7678995245596139E-2</v>
      </c>
      <c r="F205" s="362">
        <f t="shared" si="23"/>
        <v>8.702333884529341E-2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615</v>
      </c>
      <c r="C206" s="366">
        <f>IF(C188=0,0,C203/C188)</f>
        <v>2.0516687875508657</v>
      </c>
      <c r="D206" s="366">
        <f>IF(LN_IF1=0,0,LN_IF14/LN_IF1)</f>
        <v>1.9703108288278777</v>
      </c>
      <c r="E206" s="367">
        <f t="shared" si="22"/>
        <v>-8.1357958722988011E-2</v>
      </c>
      <c r="F206" s="362">
        <f t="shared" si="23"/>
        <v>-3.9654528653285837E-2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616</v>
      </c>
      <c r="C207" s="376">
        <f>C137+C172</f>
        <v>2125.6176623209262</v>
      </c>
      <c r="D207" s="376">
        <f>LN_ID18+LN_IE18</f>
        <v>2240.4309301939525</v>
      </c>
      <c r="E207" s="376">
        <f t="shared" si="22"/>
        <v>114.81326787302623</v>
      </c>
      <c r="F207" s="362">
        <f t="shared" si="23"/>
        <v>5.4014073136588243E-2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617</v>
      </c>
      <c r="C208" s="378">
        <f>IF(C207=0,0,C204/C207)</f>
        <v>2805.7449397969685</v>
      </c>
      <c r="D208" s="378">
        <f>IF(LN_IF18=0,0,LN_IF15/LN_IF18)</f>
        <v>3495.8649670677278</v>
      </c>
      <c r="E208" s="378">
        <f t="shared" si="22"/>
        <v>690.12002727075924</v>
      </c>
      <c r="F208" s="362">
        <f t="shared" si="23"/>
        <v>0.24596677248955431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667</v>
      </c>
      <c r="C209" s="378">
        <f>C61-C208</f>
        <v>2477.3035967334336</v>
      </c>
      <c r="D209" s="378">
        <f>LN_IB18-LN_IF19</f>
        <v>1852.9622329438007</v>
      </c>
      <c r="E209" s="378">
        <f t="shared" si="22"/>
        <v>-624.34136378963285</v>
      </c>
      <c r="F209" s="362">
        <f t="shared" si="23"/>
        <v>-0.25202456598895989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668</v>
      </c>
      <c r="C210" s="378">
        <f>C32-C208</f>
        <v>3261.1584605569833</v>
      </c>
      <c r="D210" s="378">
        <f>LN_IA16-LN_IF19</f>
        <v>2836.8496669582419</v>
      </c>
      <c r="E210" s="378">
        <f t="shared" si="22"/>
        <v>-424.30879359874143</v>
      </c>
      <c r="F210" s="362">
        <f t="shared" si="23"/>
        <v>-0.13010983634517179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628</v>
      </c>
      <c r="C211" s="391">
        <f>C141+C176</f>
        <v>6931976.0233872458</v>
      </c>
      <c r="D211" s="353">
        <f>LN_IF21*LN_IF18</f>
        <v>6355765.7381636584</v>
      </c>
      <c r="E211" s="353">
        <f t="shared" si="22"/>
        <v>-576210.28522358742</v>
      </c>
      <c r="F211" s="362">
        <f t="shared" si="23"/>
        <v>-8.3123525424721192E-2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669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619</v>
      </c>
      <c r="C214" s="361">
        <f>C188+C203</f>
        <v>27890025</v>
      </c>
      <c r="D214" s="361">
        <f>LN_IF1+LN_IF14</f>
        <v>34150724</v>
      </c>
      <c r="E214" s="361">
        <f>D214-C214</f>
        <v>6260699</v>
      </c>
      <c r="F214" s="362">
        <f>IF(C214=0,0,E214/C214)</f>
        <v>0.2244780705646553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620</v>
      </c>
      <c r="C215" s="361">
        <f>C189+C204</f>
        <v>9815104</v>
      </c>
      <c r="D215" s="361">
        <f>LN_IF2+LN_IF15</f>
        <v>13216918</v>
      </c>
      <c r="E215" s="361">
        <f>D215-C215</f>
        <v>3401814</v>
      </c>
      <c r="F215" s="362">
        <f>IF(C215=0,0,E215/C215)</f>
        <v>0.34658970500974823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621</v>
      </c>
      <c r="C216" s="361">
        <f>C214-C215</f>
        <v>18074921</v>
      </c>
      <c r="D216" s="361">
        <f>LN_IF23-LN_IF24</f>
        <v>20933806</v>
      </c>
      <c r="E216" s="361">
        <f>D216-C216</f>
        <v>2858885</v>
      </c>
      <c r="F216" s="362">
        <f>IF(C216=0,0,E216/C216)</f>
        <v>0.15816860278393471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670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671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603</v>
      </c>
      <c r="C221" s="361">
        <v>360931</v>
      </c>
      <c r="D221" s="361">
        <v>675700</v>
      </c>
      <c r="E221" s="361">
        <f t="shared" ref="E221:E230" si="24">D221-C221</f>
        <v>314769</v>
      </c>
      <c r="F221" s="362">
        <f t="shared" ref="F221:F230" si="25">IF(C221=0,0,E221/C221)</f>
        <v>0.87210297813155424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604</v>
      </c>
      <c r="C222" s="361">
        <v>167102</v>
      </c>
      <c r="D222" s="361">
        <v>274836</v>
      </c>
      <c r="E222" s="361">
        <f t="shared" si="24"/>
        <v>107734</v>
      </c>
      <c r="F222" s="362">
        <f t="shared" si="25"/>
        <v>0.64471999138250891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605</v>
      </c>
      <c r="C223" s="366">
        <f>IF(C221=0,0,C222/C221)</f>
        <v>0.46297491764353854</v>
      </c>
      <c r="D223" s="366">
        <f>IF(LN_IG1=0,0,LN_IG2/LN_IG1)</f>
        <v>0.40674263726505844</v>
      </c>
      <c r="E223" s="367">
        <f t="shared" si="24"/>
        <v>-5.6232280378480104E-2</v>
      </c>
      <c r="F223" s="362">
        <f t="shared" si="25"/>
        <v>-0.12145858930045841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25</v>
      </c>
      <c r="D224" s="369">
        <v>34</v>
      </c>
      <c r="E224" s="369">
        <f t="shared" si="24"/>
        <v>9</v>
      </c>
      <c r="F224" s="362">
        <f t="shared" si="25"/>
        <v>0.36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606</v>
      </c>
      <c r="C225" s="372">
        <v>1.2313000000000001</v>
      </c>
      <c r="D225" s="372">
        <v>1.2007000000000001</v>
      </c>
      <c r="E225" s="373">
        <f t="shared" si="24"/>
        <v>-3.0599999999999961E-2</v>
      </c>
      <c r="F225" s="362">
        <f t="shared" si="25"/>
        <v>-2.4851782668724079E-2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607</v>
      </c>
      <c r="C226" s="376">
        <f>C224*C225</f>
        <v>30.782500000000002</v>
      </c>
      <c r="D226" s="376">
        <f>LN_IG3*LN_IG4</f>
        <v>40.823800000000006</v>
      </c>
      <c r="E226" s="376">
        <f t="shared" si="24"/>
        <v>10.041300000000003</v>
      </c>
      <c r="F226" s="362">
        <f t="shared" si="25"/>
        <v>0.32620157557053531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608</v>
      </c>
      <c r="C227" s="378">
        <f>IF(C226=0,0,C222/C226)</f>
        <v>5428.4739706001783</v>
      </c>
      <c r="D227" s="378">
        <f>IF(LN_IG5=0,0,LN_IG2/LN_IG5)</f>
        <v>6732.2493251485648</v>
      </c>
      <c r="E227" s="378">
        <f t="shared" si="24"/>
        <v>1303.7753545483865</v>
      </c>
      <c r="F227" s="362">
        <f t="shared" si="25"/>
        <v>0.24017345604113483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133</v>
      </c>
      <c r="D228" s="369">
        <v>213</v>
      </c>
      <c r="E228" s="369">
        <f t="shared" si="24"/>
        <v>80</v>
      </c>
      <c r="F228" s="362">
        <f t="shared" si="25"/>
        <v>0.60150375939849621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609</v>
      </c>
      <c r="C229" s="378">
        <f>IF(C228=0,0,C222/C228)</f>
        <v>1256.406015037594</v>
      </c>
      <c r="D229" s="378">
        <f>IF(LN_IG6=0,0,LN_IG2/LN_IG6)</f>
        <v>1290.3098591549297</v>
      </c>
      <c r="E229" s="378">
        <f t="shared" si="24"/>
        <v>33.903844117335666</v>
      </c>
      <c r="F229" s="362">
        <f t="shared" si="25"/>
        <v>2.6984783351519694E-2</v>
      </c>
      <c r="Q229" s="330"/>
      <c r="U229" s="375"/>
    </row>
    <row r="230" spans="1:21" ht="11.25" customHeight="1" x14ac:dyDescent="0.2">
      <c r="A230" s="364">
        <v>10</v>
      </c>
      <c r="B230" s="360" t="s">
        <v>610</v>
      </c>
      <c r="C230" s="379">
        <f>IF(C224=0,0,C228/C224)</f>
        <v>5.32</v>
      </c>
      <c r="D230" s="379">
        <f>IF(LN_IG3=0,0,LN_IG6/LN_IG3)</f>
        <v>6.2647058823529411</v>
      </c>
      <c r="E230" s="379">
        <f t="shared" si="24"/>
        <v>0.94470588235294084</v>
      </c>
      <c r="F230" s="362">
        <f t="shared" si="25"/>
        <v>0.17757629367536482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672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612</v>
      </c>
      <c r="C233" s="361">
        <v>338852</v>
      </c>
      <c r="D233" s="361">
        <v>379494</v>
      </c>
      <c r="E233" s="361">
        <f>D233-C233</f>
        <v>40642</v>
      </c>
      <c r="F233" s="362">
        <f>IF(C233=0,0,E233/C233)</f>
        <v>0.11994026890795982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613</v>
      </c>
      <c r="C234" s="361">
        <v>153650</v>
      </c>
      <c r="D234" s="361">
        <v>156734</v>
      </c>
      <c r="E234" s="361">
        <f>D234-C234</f>
        <v>3084</v>
      </c>
      <c r="F234" s="362">
        <f>IF(C234=0,0,E234/C234)</f>
        <v>2.0071591278880571E-2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673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619</v>
      </c>
      <c r="C237" s="361">
        <f>C221+C233</f>
        <v>699783</v>
      </c>
      <c r="D237" s="361">
        <f>LN_IG1+LN_IG9</f>
        <v>1055194</v>
      </c>
      <c r="E237" s="361">
        <f>D237-C237</f>
        <v>355411</v>
      </c>
      <c r="F237" s="362">
        <f>IF(C237=0,0,E237/C237)</f>
        <v>0.50788744510798345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620</v>
      </c>
      <c r="C238" s="361">
        <f>C222+C234</f>
        <v>320752</v>
      </c>
      <c r="D238" s="361">
        <f>LN_IG2+LN_IG10</f>
        <v>431570</v>
      </c>
      <c r="E238" s="361">
        <f>D238-C238</f>
        <v>110818</v>
      </c>
      <c r="F238" s="362">
        <f>IF(C238=0,0,E238/C238)</f>
        <v>0.34549433830498327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621</v>
      </c>
      <c r="C239" s="361">
        <f>C237-C238</f>
        <v>379031</v>
      </c>
      <c r="D239" s="361">
        <f>LN_IG13-LN_IG14</f>
        <v>623624</v>
      </c>
      <c r="E239" s="361">
        <f>D239-C239</f>
        <v>244593</v>
      </c>
      <c r="F239" s="362">
        <f>IF(C239=0,0,E239/C239)</f>
        <v>0.64531133337378732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674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675</v>
      </c>
      <c r="C243" s="361">
        <v>5573529</v>
      </c>
      <c r="D243" s="361">
        <v>5277783</v>
      </c>
      <c r="E243" s="353">
        <f>D243-C243</f>
        <v>-295746</v>
      </c>
      <c r="F243" s="415">
        <f>IF(C243=0,0,E243/C243)</f>
        <v>-5.306261078035119E-2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676</v>
      </c>
      <c r="C244" s="361">
        <v>100402359</v>
      </c>
      <c r="D244" s="361">
        <v>108897163</v>
      </c>
      <c r="E244" s="353">
        <f>D244-C244</f>
        <v>8494804</v>
      </c>
      <c r="F244" s="415">
        <f>IF(C244=0,0,E244/C244)</f>
        <v>8.4607613651786803E-2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677</v>
      </c>
      <c r="C245" s="400">
        <v>641511</v>
      </c>
      <c r="D245" s="400">
        <v>616056</v>
      </c>
      <c r="E245" s="400">
        <f>D245-C245</f>
        <v>-25455</v>
      </c>
      <c r="F245" s="401">
        <f>IF(C245=0,0,E245/C245)</f>
        <v>-3.9679756075889583E-2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678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679</v>
      </c>
      <c r="C248" s="353">
        <v>1438204</v>
      </c>
      <c r="D248" s="353">
        <v>1421695</v>
      </c>
      <c r="E248" s="353">
        <f>D248-C248</f>
        <v>-16509</v>
      </c>
      <c r="F248" s="362">
        <f>IF(C248=0,0,E248/C248)</f>
        <v>-1.1478900072590536E-2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680</v>
      </c>
      <c r="C249" s="353">
        <v>2247042</v>
      </c>
      <c r="D249" s="353">
        <v>2413649</v>
      </c>
      <c r="E249" s="353">
        <f>D249-C249</f>
        <v>166607</v>
      </c>
      <c r="F249" s="362">
        <f>IF(C249=0,0,E249/C249)</f>
        <v>7.4145031557042551E-2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681</v>
      </c>
      <c r="C250" s="353">
        <f>C248+C249</f>
        <v>3685246</v>
      </c>
      <c r="D250" s="353">
        <f>LN_IH4+LN_IH5</f>
        <v>3835344</v>
      </c>
      <c r="E250" s="353">
        <f>D250-C250</f>
        <v>150098</v>
      </c>
      <c r="F250" s="362">
        <f>IF(C250=0,0,E250/C250)</f>
        <v>4.0729438414694702E-2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682</v>
      </c>
      <c r="C251" s="353">
        <f>C250*C313</f>
        <v>1955584.6833037508</v>
      </c>
      <c r="D251" s="353">
        <f>LN_IH6*LN_III10</f>
        <v>2059714.7470902754</v>
      </c>
      <c r="E251" s="353">
        <f>D251-C251</f>
        <v>104130.06378652458</v>
      </c>
      <c r="F251" s="362">
        <f>IF(C251=0,0,E251/C251)</f>
        <v>5.3247534957477777E-2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683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619</v>
      </c>
      <c r="C254" s="353">
        <f>C188+C203</f>
        <v>27890025</v>
      </c>
      <c r="D254" s="353">
        <f>LN_IF23</f>
        <v>34150724</v>
      </c>
      <c r="E254" s="353">
        <f>D254-C254</f>
        <v>6260699</v>
      </c>
      <c r="F254" s="362">
        <f>IF(C254=0,0,E254/C254)</f>
        <v>0.2244780705646553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620</v>
      </c>
      <c r="C255" s="353">
        <f>C189+C204</f>
        <v>9815104</v>
      </c>
      <c r="D255" s="353">
        <f>LN_IF24</f>
        <v>13216918</v>
      </c>
      <c r="E255" s="353">
        <f>D255-C255</f>
        <v>3401814</v>
      </c>
      <c r="F255" s="362">
        <f>IF(C255=0,0,E255/C255)</f>
        <v>0.34658970500974823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684</v>
      </c>
      <c r="C256" s="353">
        <f>C254*C313</f>
        <v>14799909.071730541</v>
      </c>
      <c r="D256" s="353">
        <f>LN_IH8*LN_III10</f>
        <v>18340141.026883066</v>
      </c>
      <c r="E256" s="353">
        <f>D256-C256</f>
        <v>3540231.9551525246</v>
      </c>
      <c r="F256" s="362">
        <f>IF(C256=0,0,E256/C256)</f>
        <v>0.23920633147096546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685</v>
      </c>
      <c r="C257" s="353">
        <f>C256-C255</f>
        <v>4984805.0717305411</v>
      </c>
      <c r="D257" s="353">
        <f>LN_IH10-LN_IH9</f>
        <v>5123223.0268830657</v>
      </c>
      <c r="E257" s="353">
        <f>D257-C257</f>
        <v>138417.95515252464</v>
      </c>
      <c r="F257" s="362">
        <f>IF(C257=0,0,E257/C257)</f>
        <v>2.7767977515813072E-2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686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687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688</v>
      </c>
      <c r="C261" s="361">
        <f>C15+C42+C188+C221</f>
        <v>79078482</v>
      </c>
      <c r="D261" s="361">
        <f>LN_IA1+LN_IB1+LN_IF1+LN_IG1</f>
        <v>81079809</v>
      </c>
      <c r="E261" s="361">
        <f t="shared" ref="E261:E274" si="26">D261-C261</f>
        <v>2001327</v>
      </c>
      <c r="F261" s="415">
        <f t="shared" ref="F261:F274" si="27">IF(C261=0,0,E261/C261)</f>
        <v>2.5308110997881827E-2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689</v>
      </c>
      <c r="C262" s="361">
        <f>C16+C43+C189+C222</f>
        <v>50439005</v>
      </c>
      <c r="D262" s="361">
        <f>+LN_IA2+LN_IB2+LN_IF2+LN_IG2</f>
        <v>52471912</v>
      </c>
      <c r="E262" s="361">
        <f t="shared" si="26"/>
        <v>2032907</v>
      </c>
      <c r="F262" s="415">
        <f t="shared" si="27"/>
        <v>4.0304264527026255E-2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690</v>
      </c>
      <c r="C263" s="366">
        <f>IF(C261=0,0,C262/C261)</f>
        <v>0.63783476521463833</v>
      </c>
      <c r="D263" s="366">
        <f>IF(LN_IIA1=0,0,LN_IIA2/LN_IIA1)</f>
        <v>0.64716373468516686</v>
      </c>
      <c r="E263" s="367">
        <f t="shared" si="26"/>
        <v>9.3289694705285253E-3</v>
      </c>
      <c r="F263" s="371">
        <f t="shared" si="27"/>
        <v>1.4625997169328369E-2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691</v>
      </c>
      <c r="C264" s="369">
        <f>C18+C45+C191+C224</f>
        <v>6320</v>
      </c>
      <c r="D264" s="369">
        <f>LN_IA4+LN_IB4+LN_IF4+LN_IG3</f>
        <v>6438</v>
      </c>
      <c r="E264" s="369">
        <f t="shared" si="26"/>
        <v>118</v>
      </c>
      <c r="F264" s="415">
        <f t="shared" si="27"/>
        <v>1.8670886075949366E-2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692</v>
      </c>
      <c r="C265" s="439">
        <f>IF(C264=0,0,C266/C264)</f>
        <v>1.2196949050632913</v>
      </c>
      <c r="D265" s="439">
        <f>IF(LN_IIA4=0,0,LN_IIA6/LN_IIA4)</f>
        <v>1.2352521745883815</v>
      </c>
      <c r="E265" s="439">
        <f t="shared" si="26"/>
        <v>1.5557269525090289E-2</v>
      </c>
      <c r="F265" s="415">
        <f t="shared" si="27"/>
        <v>1.2755050021532235E-2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693</v>
      </c>
      <c r="C266" s="376">
        <f>C20+C47+C193+C226</f>
        <v>7708.4718000000003</v>
      </c>
      <c r="D266" s="376">
        <f>LN_IA6+LN_IB6+LN_IF6+LN_IG5</f>
        <v>7952.5535</v>
      </c>
      <c r="E266" s="376">
        <f t="shared" si="26"/>
        <v>244.08169999999973</v>
      </c>
      <c r="F266" s="415">
        <f t="shared" si="27"/>
        <v>3.1664084183326675E-2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694</v>
      </c>
      <c r="C267" s="361">
        <f>C27+C56+C203+C233</f>
        <v>97313323</v>
      </c>
      <c r="D267" s="361">
        <f>LN_IA11+LN_IB13+LN_IF14+LN_IG9</f>
        <v>107142997</v>
      </c>
      <c r="E267" s="361">
        <f t="shared" si="26"/>
        <v>9829674</v>
      </c>
      <c r="F267" s="415">
        <f t="shared" si="27"/>
        <v>0.10101056768968829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615</v>
      </c>
      <c r="C268" s="366">
        <f>IF(C261=0,0,C267/C261)</f>
        <v>1.230591692440429</v>
      </c>
      <c r="D268" s="366">
        <f>IF(LN_IIA1=0,0,LN_IIA7/LN_IIA1)</f>
        <v>1.3214510285785206</v>
      </c>
      <c r="E268" s="367">
        <f t="shared" si="26"/>
        <v>9.0859336138091606E-2</v>
      </c>
      <c r="F268" s="371">
        <f t="shared" si="27"/>
        <v>7.3833861138705811E-2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695</v>
      </c>
      <c r="C269" s="361">
        <f>C28+C57+C204+C234</f>
        <v>42350277</v>
      </c>
      <c r="D269" s="361">
        <f>LN_IA12+LN_IB14+LN_IF15+LN_IG10</f>
        <v>48076673</v>
      </c>
      <c r="E269" s="361">
        <f t="shared" si="26"/>
        <v>5726396</v>
      </c>
      <c r="F269" s="415">
        <f t="shared" si="27"/>
        <v>0.13521507781401287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614</v>
      </c>
      <c r="C270" s="366">
        <f>IF(C267=0,0,C269/C267)</f>
        <v>0.43519505546018605</v>
      </c>
      <c r="D270" s="366">
        <f>IF(LN_IIA7=0,0,LN_IIA9/LN_IIA7)</f>
        <v>0.44871502894398224</v>
      </c>
      <c r="E270" s="367">
        <f t="shared" si="26"/>
        <v>1.3519973483796188E-2</v>
      </c>
      <c r="F270" s="371">
        <f t="shared" si="27"/>
        <v>3.1066468504564768E-2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696</v>
      </c>
      <c r="C271" s="353">
        <f>C261+C267</f>
        <v>176391805</v>
      </c>
      <c r="D271" s="353">
        <f>LN_IIA1+LN_IIA7</f>
        <v>188222806</v>
      </c>
      <c r="E271" s="353">
        <f t="shared" si="26"/>
        <v>11831001</v>
      </c>
      <c r="F271" s="415">
        <f t="shared" si="27"/>
        <v>6.7072282638073799E-2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697</v>
      </c>
      <c r="C272" s="353">
        <f>C262+C269</f>
        <v>92789282</v>
      </c>
      <c r="D272" s="353">
        <f>LN_IIA2+LN_IIA9</f>
        <v>100548585</v>
      </c>
      <c r="E272" s="353">
        <f t="shared" si="26"/>
        <v>7759303</v>
      </c>
      <c r="F272" s="415">
        <f t="shared" si="27"/>
        <v>8.3622836956535565E-2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698</v>
      </c>
      <c r="C273" s="366">
        <f>IF(C271=0,0,C272/C271)</f>
        <v>0.52604077610068112</v>
      </c>
      <c r="D273" s="366">
        <f>IF(LN_IIA11=0,0,LN_IIA12/LN_IIA11)</f>
        <v>0.53419979829649333</v>
      </c>
      <c r="E273" s="367">
        <f t="shared" si="26"/>
        <v>8.1590221958122155E-3</v>
      </c>
      <c r="F273" s="371">
        <f t="shared" si="27"/>
        <v>1.5510246670023592E-2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28581</v>
      </c>
      <c r="D274" s="421">
        <f>LN_IA8+LN_IB10+LN_IF11+LN_IG6</f>
        <v>27979</v>
      </c>
      <c r="E274" s="442">
        <f t="shared" si="26"/>
        <v>-602</v>
      </c>
      <c r="F274" s="371">
        <f t="shared" si="27"/>
        <v>-2.1062943913788882E-2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699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700</v>
      </c>
      <c r="C277" s="361">
        <f>C15+C188+C221</f>
        <v>58807178</v>
      </c>
      <c r="D277" s="361">
        <f>LN_IA1+LN_IF1+LN_IG1</f>
        <v>60941315</v>
      </c>
      <c r="E277" s="361">
        <f t="shared" ref="E277:E291" si="28">D277-C277</f>
        <v>2134137</v>
      </c>
      <c r="F277" s="415">
        <f t="shared" ref="F277:F291" si="29">IF(C277=0,0,E277/C277)</f>
        <v>3.6290416792317426E-2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701</v>
      </c>
      <c r="C278" s="361">
        <f>C16+C189+C222</f>
        <v>36954044</v>
      </c>
      <c r="D278" s="361">
        <f>LN_IA2+LN_IF2+LN_IG2</f>
        <v>38663090</v>
      </c>
      <c r="E278" s="361">
        <f t="shared" si="28"/>
        <v>1709046</v>
      </c>
      <c r="F278" s="415">
        <f t="shared" si="29"/>
        <v>4.6247874792810229E-2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702</v>
      </c>
      <c r="C279" s="366">
        <f>IF(C277=0,0,C278/C277)</f>
        <v>0.62839342503393036</v>
      </c>
      <c r="D279" s="366">
        <f>IF(D277=0,0,LN_IIB2/D277)</f>
        <v>0.63443150184731001</v>
      </c>
      <c r="E279" s="367">
        <f t="shared" si="28"/>
        <v>6.0380768133796447E-3</v>
      </c>
      <c r="F279" s="371">
        <f t="shared" si="29"/>
        <v>9.6087523720567516E-3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703</v>
      </c>
      <c r="C280" s="369">
        <f>C18+C191+C224</f>
        <v>4424</v>
      </c>
      <c r="D280" s="369">
        <f>LN_IA4+LN_IF4+LN_IG3</f>
        <v>4538</v>
      </c>
      <c r="E280" s="369">
        <f t="shared" si="28"/>
        <v>114</v>
      </c>
      <c r="F280" s="415">
        <f t="shared" si="29"/>
        <v>2.5768535262206148E-2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704</v>
      </c>
      <c r="C281" s="439">
        <f>IF(C280=0,0,C282/C280)</f>
        <v>1.2979927215189875</v>
      </c>
      <c r="D281" s="439">
        <f>IF(LN_IIB4=0,0,LN_IIB6/LN_IIB4)</f>
        <v>1.2858932349052445</v>
      </c>
      <c r="E281" s="439">
        <f t="shared" si="28"/>
        <v>-1.2099486613742938E-2</v>
      </c>
      <c r="F281" s="415">
        <f t="shared" si="29"/>
        <v>-9.3216906482984016E-3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705</v>
      </c>
      <c r="C282" s="376">
        <f>C20+C193+C226</f>
        <v>5742.3198000000002</v>
      </c>
      <c r="D282" s="376">
        <f>LN_IA6+LN_IF6+LN_IG5</f>
        <v>5835.3834999999999</v>
      </c>
      <c r="E282" s="376">
        <f t="shared" si="28"/>
        <v>93.063699999999699</v>
      </c>
      <c r="F282" s="415">
        <f t="shared" si="29"/>
        <v>1.6206638299733792E-2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706</v>
      </c>
      <c r="C283" s="361">
        <f>C27+C203+C233</f>
        <v>51284649</v>
      </c>
      <c r="D283" s="361">
        <f>LN_IA11+LN_IF14+LN_IG9</f>
        <v>58274602</v>
      </c>
      <c r="E283" s="361">
        <f t="shared" si="28"/>
        <v>6989953</v>
      </c>
      <c r="F283" s="415">
        <f t="shared" si="29"/>
        <v>0.13629717929823407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707</v>
      </c>
      <c r="C284" s="366">
        <f>IF(C277=0,0,C283/C277)</f>
        <v>0.87208144896869566</v>
      </c>
      <c r="D284" s="366">
        <f>IF(D277=0,0,LN_IIB7/D277)</f>
        <v>0.95624129541674641</v>
      </c>
      <c r="E284" s="367">
        <f t="shared" si="28"/>
        <v>8.4159846448050746E-2</v>
      </c>
      <c r="F284" s="371">
        <f t="shared" si="29"/>
        <v>9.650457138788622E-2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708</v>
      </c>
      <c r="C285" s="361">
        <f>C28+C204+C234</f>
        <v>19606127</v>
      </c>
      <c r="D285" s="361">
        <f>LN_IA12+LN_IF15+LN_IG10</f>
        <v>23415527</v>
      </c>
      <c r="E285" s="361">
        <f t="shared" si="28"/>
        <v>3809400</v>
      </c>
      <c r="F285" s="415">
        <f t="shared" si="29"/>
        <v>0.19429640540429019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709</v>
      </c>
      <c r="C286" s="366">
        <f>IF(C283=0,0,C285/C283)</f>
        <v>0.38230011089673249</v>
      </c>
      <c r="D286" s="366">
        <f>IF(LN_IIB7=0,0,LN_IIB9/LN_IIB7)</f>
        <v>0.4018135893918246</v>
      </c>
      <c r="E286" s="367">
        <f t="shared" si="28"/>
        <v>1.9513478495092107E-2</v>
      </c>
      <c r="F286" s="371">
        <f t="shared" si="29"/>
        <v>5.1042304040458723E-2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710</v>
      </c>
      <c r="C287" s="353">
        <f>C277+C283</f>
        <v>110091827</v>
      </c>
      <c r="D287" s="353">
        <f>D277+LN_IIB7</f>
        <v>119215917</v>
      </c>
      <c r="E287" s="353">
        <f t="shared" si="28"/>
        <v>9124090</v>
      </c>
      <c r="F287" s="415">
        <f t="shared" si="29"/>
        <v>8.2877087687898934E-2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711</v>
      </c>
      <c r="C288" s="353">
        <f>C278+C285</f>
        <v>56560171</v>
      </c>
      <c r="D288" s="353">
        <f>LN_IIB2+LN_IIB9</f>
        <v>62078617</v>
      </c>
      <c r="E288" s="353">
        <f t="shared" si="28"/>
        <v>5518446</v>
      </c>
      <c r="F288" s="415">
        <f t="shared" si="29"/>
        <v>9.7567703605422273E-2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712</v>
      </c>
      <c r="C289" s="366">
        <f>IF(C287=0,0,C288/C287)</f>
        <v>0.51375449514522087</v>
      </c>
      <c r="D289" s="366">
        <f>IF(LN_IIB11=0,0,LN_IIB12/LN_IIB11)</f>
        <v>0.52072423349308294</v>
      </c>
      <c r="E289" s="367">
        <f t="shared" si="28"/>
        <v>6.9697383478620756E-3</v>
      </c>
      <c r="F289" s="371">
        <f t="shared" si="29"/>
        <v>1.356628197655374E-2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21794</v>
      </c>
      <c r="D290" s="421">
        <f>LN_IA8+LN_IF11+LN_IG6</f>
        <v>21520</v>
      </c>
      <c r="E290" s="442">
        <f t="shared" si="28"/>
        <v>-274</v>
      </c>
      <c r="F290" s="371">
        <f t="shared" si="29"/>
        <v>-1.2572267596586216E-2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713</v>
      </c>
      <c r="C291" s="361">
        <f>C287-C288</f>
        <v>53531656</v>
      </c>
      <c r="D291" s="429">
        <f>LN_IIB11-LN_IIB12</f>
        <v>57137300</v>
      </c>
      <c r="E291" s="353">
        <f t="shared" si="28"/>
        <v>3605644</v>
      </c>
      <c r="F291" s="415">
        <f t="shared" si="29"/>
        <v>6.7355360723382066E-2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610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601</v>
      </c>
      <c r="C294" s="379">
        <f>IF(C18=0,0,C22/C18)</f>
        <v>5.0886930983847281</v>
      </c>
      <c r="D294" s="379">
        <f>IF(LN_IA4=0,0,LN_IA8/LN_IA4)</f>
        <v>4.8205280332245621</v>
      </c>
      <c r="E294" s="379">
        <f t="shared" ref="E294:E300" si="30">D294-C294</f>
        <v>-0.26816506516016592</v>
      </c>
      <c r="F294" s="415">
        <f t="shared" ref="F294:F300" si="31">IF(C294=0,0,E294/C294)</f>
        <v>-5.269821936113378E-2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622</v>
      </c>
      <c r="C295" s="379">
        <f>IF(C45=0,0,C51/C45)</f>
        <v>3.5796413502109705</v>
      </c>
      <c r="D295" s="379">
        <f>IF(LN_IB4=0,0,(LN_IB10)/(LN_IB4))</f>
        <v>3.3994736842105264</v>
      </c>
      <c r="E295" s="379">
        <f t="shared" si="30"/>
        <v>-0.18016766600044409</v>
      </c>
      <c r="F295" s="415">
        <f t="shared" si="31"/>
        <v>-5.0331205943250627E-2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637</v>
      </c>
      <c r="C296" s="379">
        <f>IF(C86=0,0,C93/C86)</f>
        <v>4.6829268292682924</v>
      </c>
      <c r="D296" s="379">
        <f>IF(LN_IC4=0,0,LN_IC11/LN_IC4)</f>
        <v>4.7032258064516128</v>
      </c>
      <c r="E296" s="379">
        <f t="shared" si="30"/>
        <v>2.029897718332041E-2</v>
      </c>
      <c r="F296" s="415">
        <f t="shared" si="31"/>
        <v>4.3346774193548793E-3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3.8095238095238093</v>
      </c>
      <c r="D297" s="379">
        <f>IF(LN_ID4=0,0,LN_ID11/LN_ID4)</f>
        <v>4.2737967914438499</v>
      </c>
      <c r="E297" s="379">
        <f t="shared" si="30"/>
        <v>0.46427298192004063</v>
      </c>
      <c r="F297" s="415">
        <f t="shared" si="31"/>
        <v>0.12187165775401067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714</v>
      </c>
      <c r="C298" s="379">
        <f>IF(C156=0,0,C163/C156)</f>
        <v>5.9227799227799229</v>
      </c>
      <c r="D298" s="379">
        <f>IF(LN_IE4=0,0,LN_IE11/LN_IE4)</f>
        <v>5.358585858585859</v>
      </c>
      <c r="E298" s="379">
        <f t="shared" si="30"/>
        <v>-0.56419406419406393</v>
      </c>
      <c r="F298" s="415">
        <f t="shared" si="31"/>
        <v>-9.5258319834590974E-2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5.32</v>
      </c>
      <c r="D299" s="379">
        <f>IF(LN_IG3=0,0,LN_IG6/LN_IG3)</f>
        <v>6.2647058823529411</v>
      </c>
      <c r="E299" s="379">
        <f t="shared" si="30"/>
        <v>0.94470588235294084</v>
      </c>
      <c r="F299" s="415">
        <f t="shared" si="31"/>
        <v>0.17757629367536482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715</v>
      </c>
      <c r="C300" s="379">
        <f>IF(C264=0,0,C274/C264)</f>
        <v>4.522310126582278</v>
      </c>
      <c r="D300" s="379">
        <f>IF(LN_IIA4=0,0,LN_IIA14/LN_IIA4)</f>
        <v>4.3459148803976388</v>
      </c>
      <c r="E300" s="379">
        <f t="shared" si="30"/>
        <v>-0.1763952461846392</v>
      </c>
      <c r="F300" s="415">
        <f t="shared" si="31"/>
        <v>-3.9005561592908571E-2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716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710</v>
      </c>
      <c r="C304" s="353">
        <f>C35+C66+C214+C221+C233</f>
        <v>176391805</v>
      </c>
      <c r="D304" s="353">
        <f>LN_IIA11</f>
        <v>188222806</v>
      </c>
      <c r="E304" s="353">
        <f t="shared" ref="E304:E316" si="32">D304-C304</f>
        <v>11831001</v>
      </c>
      <c r="F304" s="362">
        <f>IF(C304=0,0,E304/C304)</f>
        <v>6.7072282638073799E-2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713</v>
      </c>
      <c r="C305" s="353">
        <f>C291</f>
        <v>53531656</v>
      </c>
      <c r="D305" s="353">
        <f>LN_IIB14</f>
        <v>57137300</v>
      </c>
      <c r="E305" s="353">
        <f t="shared" si="32"/>
        <v>3605644</v>
      </c>
      <c r="F305" s="362">
        <f>IF(C305=0,0,E305/C305)</f>
        <v>6.7355360723382066E-2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717</v>
      </c>
      <c r="C306" s="353">
        <f>C250</f>
        <v>3685246</v>
      </c>
      <c r="D306" s="353">
        <f>LN_IH6</f>
        <v>3835344</v>
      </c>
      <c r="E306" s="353">
        <f t="shared" si="32"/>
        <v>150098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718</v>
      </c>
      <c r="C307" s="353">
        <f>C73-C74</f>
        <v>25890211</v>
      </c>
      <c r="D307" s="353">
        <f>LN_IB32-LN_IB33</f>
        <v>26783945</v>
      </c>
      <c r="E307" s="353">
        <f t="shared" si="32"/>
        <v>893734</v>
      </c>
      <c r="F307" s="362">
        <f t="shared" ref="F307:F316" si="33">IF(C307=0,0,E307/C307)</f>
        <v>3.4520151264893127E-2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719</v>
      </c>
      <c r="C308" s="353">
        <v>323466</v>
      </c>
      <c r="D308" s="353">
        <v>0</v>
      </c>
      <c r="E308" s="353">
        <f t="shared" si="32"/>
        <v>-323466</v>
      </c>
      <c r="F308" s="362">
        <f t="shared" si="33"/>
        <v>-1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720</v>
      </c>
      <c r="C309" s="353">
        <f>C305+C307+C308+C306</f>
        <v>83430579</v>
      </c>
      <c r="D309" s="353">
        <f>LN_III2+LN_III3+LN_III4+LN_III5</f>
        <v>87756589</v>
      </c>
      <c r="E309" s="353">
        <f t="shared" si="32"/>
        <v>4326010</v>
      </c>
      <c r="F309" s="362">
        <f t="shared" si="33"/>
        <v>5.1851611865237082E-2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721</v>
      </c>
      <c r="C310" s="353">
        <f>C304-C309</f>
        <v>92961226</v>
      </c>
      <c r="D310" s="353">
        <f>LN_III1-LN_III6</f>
        <v>100466217</v>
      </c>
      <c r="E310" s="353">
        <f t="shared" si="32"/>
        <v>7504991</v>
      </c>
      <c r="F310" s="362">
        <f t="shared" si="33"/>
        <v>8.0732487327566008E-2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722</v>
      </c>
      <c r="C311" s="353">
        <f>C245</f>
        <v>641511</v>
      </c>
      <c r="D311" s="353">
        <f>LN_IH3</f>
        <v>616056</v>
      </c>
      <c r="E311" s="353">
        <f t="shared" si="32"/>
        <v>-25455</v>
      </c>
      <c r="F311" s="362">
        <f t="shared" si="33"/>
        <v>-3.9679756075889583E-2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723</v>
      </c>
      <c r="C312" s="353">
        <f>C310+C311</f>
        <v>93602737</v>
      </c>
      <c r="D312" s="353">
        <f>LN_III7+LN_III8</f>
        <v>101082273</v>
      </c>
      <c r="E312" s="353">
        <f t="shared" si="32"/>
        <v>7479536</v>
      </c>
      <c r="F312" s="362">
        <f t="shared" si="33"/>
        <v>7.9907236045886135E-2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724</v>
      </c>
      <c r="C313" s="448">
        <f>IF(C304=0,0,C312/C304)</f>
        <v>0.5306524132456153</v>
      </c>
      <c r="D313" s="448">
        <f>IF(LN_III1=0,0,LN_III9/LN_III1)</f>
        <v>0.53703520390616211</v>
      </c>
      <c r="E313" s="448">
        <f t="shared" si="32"/>
        <v>6.382790660546811E-3</v>
      </c>
      <c r="F313" s="362">
        <f t="shared" si="33"/>
        <v>1.2028194918605793E-2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682</v>
      </c>
      <c r="C314" s="353">
        <f>C306*C313</f>
        <v>1955584.6833037508</v>
      </c>
      <c r="D314" s="353">
        <f>D313*LN_III5</f>
        <v>2059714.7470902754</v>
      </c>
      <c r="E314" s="353">
        <f t="shared" si="32"/>
        <v>104130.06378652458</v>
      </c>
      <c r="F314" s="362">
        <f t="shared" si="33"/>
        <v>5.3247534957477777E-2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685</v>
      </c>
      <c r="C315" s="353">
        <f>(C214*C313)-C215</f>
        <v>4984805.0717305411</v>
      </c>
      <c r="D315" s="353">
        <f>D313*LN_IH8-LN_IH9</f>
        <v>5123223.0268830657</v>
      </c>
      <c r="E315" s="353">
        <f t="shared" si="32"/>
        <v>138417.95515252464</v>
      </c>
      <c r="F315" s="362">
        <f t="shared" si="33"/>
        <v>2.7767977515813072E-2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725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726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727</v>
      </c>
      <c r="C318" s="353">
        <f>C314+C315+C316</f>
        <v>6940389.7550342921</v>
      </c>
      <c r="D318" s="353">
        <f>D314+D315+D316</f>
        <v>7182937.7739733411</v>
      </c>
      <c r="E318" s="353">
        <f>D318-C318</f>
        <v>242548.01893904898</v>
      </c>
      <c r="F318" s="362">
        <f>IF(C318=0,0,E318/C318)</f>
        <v>3.4947319603068974E-2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728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5701630.5723148603</v>
      </c>
      <c r="D322" s="353">
        <f>LN_ID22</f>
        <v>5339880.0507455869</v>
      </c>
      <c r="E322" s="353">
        <f>LN_IV2-C322</f>
        <v>-361750.52156927343</v>
      </c>
      <c r="F322" s="362">
        <f>IF(C322=0,0,E322/C322)</f>
        <v>-6.3446853839638162E-2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714</v>
      </c>
      <c r="C323" s="353">
        <f>C162+C176</f>
        <v>2099067.4889247217</v>
      </c>
      <c r="D323" s="353">
        <f>LN_IE10+LN_IE22</f>
        <v>1366559.2904009623</v>
      </c>
      <c r="E323" s="353">
        <f>LN_IV3-C323</f>
        <v>-732508.19852375938</v>
      </c>
      <c r="F323" s="362">
        <f>IF(C323=0,0,E323/C323)</f>
        <v>-0.34896838829083932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729</v>
      </c>
      <c r="C324" s="353">
        <f>C92+C106</f>
        <v>1774543.177550154</v>
      </c>
      <c r="D324" s="353">
        <f>LN_IC10+LN_IC22</f>
        <v>3191679.7303846204</v>
      </c>
      <c r="E324" s="353">
        <f>LN_IV1-C324</f>
        <v>1417136.5528344663</v>
      </c>
      <c r="F324" s="362">
        <f>IF(C324=0,0,E324/C324)</f>
        <v>0.79859231985039358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730</v>
      </c>
      <c r="C325" s="429">
        <f>C324+C322+C323</f>
        <v>9575241.2387897354</v>
      </c>
      <c r="D325" s="429">
        <f>LN_IV1+LN_IV2+LN_IV3</f>
        <v>9898119.0715311691</v>
      </c>
      <c r="E325" s="353">
        <f>LN_IV4-C325</f>
        <v>322877.83274143375</v>
      </c>
      <c r="F325" s="362">
        <f>IF(C325=0,0,E325/C325)</f>
        <v>3.3720072914031771E-2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731</v>
      </c>
      <c r="B327" s="446" t="s">
        <v>732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733</v>
      </c>
      <c r="C329" s="431">
        <v>495412</v>
      </c>
      <c r="D329" s="431">
        <v>0</v>
      </c>
      <c r="E329" s="431">
        <f t="shared" ref="E329:E335" si="34">D329-C329</f>
        <v>-495412</v>
      </c>
      <c r="F329" s="462">
        <f t="shared" ref="F329:F335" si="35">IF(C329=0,0,E329/C329)</f>
        <v>-1</v>
      </c>
    </row>
    <row r="330" spans="1:22" s="333" customFormat="1" ht="11.25" customHeight="1" x14ac:dyDescent="0.2">
      <c r="A330" s="364">
        <v>2</v>
      </c>
      <c r="B330" s="360" t="s">
        <v>734</v>
      </c>
      <c r="C330" s="429">
        <v>2247797</v>
      </c>
      <c r="D330" s="429">
        <v>2029009</v>
      </c>
      <c r="E330" s="431">
        <f t="shared" si="34"/>
        <v>-218788</v>
      </c>
      <c r="F330" s="463">
        <f t="shared" si="35"/>
        <v>-9.733441231570289E-2</v>
      </c>
    </row>
    <row r="331" spans="1:22" s="333" customFormat="1" ht="11.25" customHeight="1" x14ac:dyDescent="0.2">
      <c r="A331" s="339">
        <v>3</v>
      </c>
      <c r="B331" s="360" t="s">
        <v>735</v>
      </c>
      <c r="C331" s="429">
        <v>95678590</v>
      </c>
      <c r="D331" s="429">
        <v>103193652</v>
      </c>
      <c r="E331" s="431">
        <f t="shared" si="34"/>
        <v>7515062</v>
      </c>
      <c r="F331" s="462">
        <f t="shared" si="35"/>
        <v>7.8544865679981285E-2</v>
      </c>
    </row>
    <row r="332" spans="1:22" s="333" customFormat="1" ht="11.25" customHeight="1" x14ac:dyDescent="0.2">
      <c r="A332" s="364">
        <v>4</v>
      </c>
      <c r="B332" s="360" t="s">
        <v>736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737</v>
      </c>
      <c r="C333" s="429">
        <v>176391807</v>
      </c>
      <c r="D333" s="429">
        <v>188222806</v>
      </c>
      <c r="E333" s="431">
        <f t="shared" si="34"/>
        <v>11830999</v>
      </c>
      <c r="F333" s="462">
        <f t="shared" si="35"/>
        <v>6.7072270539186671E-2</v>
      </c>
    </row>
    <row r="334" spans="1:22" s="333" customFormat="1" ht="11.25" customHeight="1" x14ac:dyDescent="0.2">
      <c r="A334" s="339">
        <v>6</v>
      </c>
      <c r="B334" s="360" t="s">
        <v>738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739</v>
      </c>
      <c r="C335" s="429">
        <v>3685246</v>
      </c>
      <c r="D335" s="429">
        <v>3835344</v>
      </c>
      <c r="E335" s="429">
        <f t="shared" si="34"/>
        <v>150098</v>
      </c>
      <c r="F335" s="462">
        <f t="shared" si="35"/>
        <v>4.0729438414694702E-2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FILING&amp;RCHARLOTTE HUNGERFORD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9.5703125" style="330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592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740</v>
      </c>
      <c r="B5" s="710"/>
      <c r="C5" s="710"/>
      <c r="D5" s="710"/>
      <c r="E5" s="710"/>
    </row>
    <row r="6" spans="1:5" s="338" customFormat="1" ht="15.75" customHeight="1" x14ac:dyDescent="0.25">
      <c r="A6" s="710" t="s">
        <v>741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742</v>
      </c>
      <c r="D9" s="494" t="s">
        <v>743</v>
      </c>
      <c r="E9" s="495" t="s">
        <v>744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745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746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622</v>
      </c>
      <c r="C14" s="513">
        <v>20271304</v>
      </c>
      <c r="D14" s="513">
        <v>20138494</v>
      </c>
      <c r="E14" s="514">
        <f t="shared" ref="E14:E22" si="0">D14-C14</f>
        <v>-132810</v>
      </c>
    </row>
    <row r="15" spans="1:5" s="506" customFormat="1" x14ac:dyDescent="0.2">
      <c r="A15" s="512">
        <v>2</v>
      </c>
      <c r="B15" s="511" t="s">
        <v>601</v>
      </c>
      <c r="C15" s="513">
        <v>49306977</v>
      </c>
      <c r="D15" s="515">
        <v>48768258</v>
      </c>
      <c r="E15" s="514">
        <f t="shared" si="0"/>
        <v>-538719</v>
      </c>
    </row>
    <row r="16" spans="1:5" s="506" customFormat="1" x14ac:dyDescent="0.2">
      <c r="A16" s="512">
        <v>3</v>
      </c>
      <c r="B16" s="511" t="s">
        <v>747</v>
      </c>
      <c r="C16" s="513">
        <v>9139270</v>
      </c>
      <c r="D16" s="515">
        <v>11497357</v>
      </c>
      <c r="E16" s="514">
        <f t="shared" si="0"/>
        <v>2358087</v>
      </c>
    </row>
    <row r="17" spans="1:5" s="506" customFormat="1" x14ac:dyDescent="0.2">
      <c r="A17" s="512">
        <v>4</v>
      </c>
      <c r="B17" s="511" t="s">
        <v>114</v>
      </c>
      <c r="C17" s="513">
        <v>5912856</v>
      </c>
      <c r="D17" s="515">
        <v>9213369</v>
      </c>
      <c r="E17" s="514">
        <f t="shared" si="0"/>
        <v>3300513</v>
      </c>
    </row>
    <row r="18" spans="1:5" s="506" customFormat="1" x14ac:dyDescent="0.2">
      <c r="A18" s="512">
        <v>5</v>
      </c>
      <c r="B18" s="511" t="s">
        <v>714</v>
      </c>
      <c r="C18" s="513">
        <v>3226414</v>
      </c>
      <c r="D18" s="515">
        <v>2283988</v>
      </c>
      <c r="E18" s="514">
        <f t="shared" si="0"/>
        <v>-942426</v>
      </c>
    </row>
    <row r="19" spans="1:5" s="506" customFormat="1" x14ac:dyDescent="0.2">
      <c r="A19" s="512">
        <v>6</v>
      </c>
      <c r="B19" s="511" t="s">
        <v>418</v>
      </c>
      <c r="C19" s="513">
        <v>360931</v>
      </c>
      <c r="D19" s="515">
        <v>675700</v>
      </c>
      <c r="E19" s="514">
        <f t="shared" si="0"/>
        <v>314769</v>
      </c>
    </row>
    <row r="20" spans="1:5" s="506" customFormat="1" x14ac:dyDescent="0.2">
      <c r="A20" s="512">
        <v>7</v>
      </c>
      <c r="B20" s="511" t="s">
        <v>729</v>
      </c>
      <c r="C20" s="513">
        <v>1170201</v>
      </c>
      <c r="D20" s="515">
        <v>1088411</v>
      </c>
      <c r="E20" s="514">
        <f t="shared" si="0"/>
        <v>-81790</v>
      </c>
    </row>
    <row r="21" spans="1:5" s="506" customFormat="1" x14ac:dyDescent="0.2">
      <c r="A21" s="512"/>
      <c r="B21" s="516" t="s">
        <v>748</v>
      </c>
      <c r="C21" s="517">
        <f>SUM(C15+C16+C19)</f>
        <v>58807178</v>
      </c>
      <c r="D21" s="517">
        <f>SUM(D15+D16+D19)</f>
        <v>60941315</v>
      </c>
      <c r="E21" s="517">
        <f t="shared" si="0"/>
        <v>2134137</v>
      </c>
    </row>
    <row r="22" spans="1:5" s="506" customFormat="1" x14ac:dyDescent="0.2">
      <c r="A22" s="512"/>
      <c r="B22" s="516" t="s">
        <v>688</v>
      </c>
      <c r="C22" s="517">
        <f>SUM(C14+C21)</f>
        <v>79078482</v>
      </c>
      <c r="D22" s="517">
        <f>SUM(D14+D21)</f>
        <v>81079809</v>
      </c>
      <c r="E22" s="517">
        <f t="shared" si="0"/>
        <v>2001327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749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622</v>
      </c>
      <c r="C25" s="513">
        <v>46028674</v>
      </c>
      <c r="D25" s="513">
        <v>48868395</v>
      </c>
      <c r="E25" s="514">
        <f t="shared" ref="E25:E33" si="1">D25-C25</f>
        <v>2839721</v>
      </c>
    </row>
    <row r="26" spans="1:5" s="506" customFormat="1" x14ac:dyDescent="0.2">
      <c r="A26" s="512">
        <v>2</v>
      </c>
      <c r="B26" s="511" t="s">
        <v>601</v>
      </c>
      <c r="C26" s="513">
        <v>32195042</v>
      </c>
      <c r="D26" s="515">
        <v>35241741</v>
      </c>
      <c r="E26" s="514">
        <f t="shared" si="1"/>
        <v>3046699</v>
      </c>
    </row>
    <row r="27" spans="1:5" s="506" customFormat="1" x14ac:dyDescent="0.2">
      <c r="A27" s="512">
        <v>3</v>
      </c>
      <c r="B27" s="511" t="s">
        <v>747</v>
      </c>
      <c r="C27" s="513">
        <v>18750755</v>
      </c>
      <c r="D27" s="515">
        <v>22653367</v>
      </c>
      <c r="E27" s="514">
        <f t="shared" si="1"/>
        <v>3902612</v>
      </c>
    </row>
    <row r="28" spans="1:5" s="506" customFormat="1" x14ac:dyDescent="0.2">
      <c r="A28" s="512">
        <v>4</v>
      </c>
      <c r="B28" s="511" t="s">
        <v>114</v>
      </c>
      <c r="C28" s="513">
        <v>14090292</v>
      </c>
      <c r="D28" s="515">
        <v>18698664</v>
      </c>
      <c r="E28" s="514">
        <f t="shared" si="1"/>
        <v>4608372</v>
      </c>
    </row>
    <row r="29" spans="1:5" s="506" customFormat="1" x14ac:dyDescent="0.2">
      <c r="A29" s="512">
        <v>5</v>
      </c>
      <c r="B29" s="511" t="s">
        <v>714</v>
      </c>
      <c r="C29" s="513">
        <v>4660463</v>
      </c>
      <c r="D29" s="515">
        <v>3954703</v>
      </c>
      <c r="E29" s="514">
        <f t="shared" si="1"/>
        <v>-705760</v>
      </c>
    </row>
    <row r="30" spans="1:5" s="506" customFormat="1" x14ac:dyDescent="0.2">
      <c r="A30" s="512">
        <v>6</v>
      </c>
      <c r="B30" s="511" t="s">
        <v>418</v>
      </c>
      <c r="C30" s="513">
        <v>338852</v>
      </c>
      <c r="D30" s="515">
        <v>379494</v>
      </c>
      <c r="E30" s="514">
        <f t="shared" si="1"/>
        <v>40642</v>
      </c>
    </row>
    <row r="31" spans="1:5" s="506" customFormat="1" x14ac:dyDescent="0.2">
      <c r="A31" s="512">
        <v>7</v>
      </c>
      <c r="B31" s="511" t="s">
        <v>729</v>
      </c>
      <c r="C31" s="514">
        <v>3638115</v>
      </c>
      <c r="D31" s="518">
        <v>3745209</v>
      </c>
      <c r="E31" s="514">
        <f t="shared" si="1"/>
        <v>107094</v>
      </c>
    </row>
    <row r="32" spans="1:5" s="506" customFormat="1" x14ac:dyDescent="0.2">
      <c r="A32" s="512"/>
      <c r="B32" s="516" t="s">
        <v>750</v>
      </c>
      <c r="C32" s="517">
        <f>SUM(C26+C27+C30)</f>
        <v>51284649</v>
      </c>
      <c r="D32" s="517">
        <f>SUM(D26+D27+D30)</f>
        <v>58274602</v>
      </c>
      <c r="E32" s="517">
        <f t="shared" si="1"/>
        <v>6989953</v>
      </c>
    </row>
    <row r="33" spans="1:5" s="506" customFormat="1" x14ac:dyDescent="0.2">
      <c r="A33" s="512"/>
      <c r="B33" s="516" t="s">
        <v>694</v>
      </c>
      <c r="C33" s="517">
        <f>SUM(C25+C32)</f>
        <v>97313323</v>
      </c>
      <c r="D33" s="517">
        <f>SUM(D25+D32)</f>
        <v>107142997</v>
      </c>
      <c r="E33" s="517">
        <f t="shared" si="1"/>
        <v>9829674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619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751</v>
      </c>
      <c r="C36" s="514">
        <f t="shared" ref="C36:D42" si="2">C14+C25</f>
        <v>66299978</v>
      </c>
      <c r="D36" s="514">
        <f t="shared" si="2"/>
        <v>69006889</v>
      </c>
      <c r="E36" s="514">
        <f t="shared" ref="E36:E44" si="3">D36-C36</f>
        <v>2706911</v>
      </c>
    </row>
    <row r="37" spans="1:5" s="506" customFormat="1" x14ac:dyDescent="0.2">
      <c r="A37" s="512">
        <v>2</v>
      </c>
      <c r="B37" s="511" t="s">
        <v>752</v>
      </c>
      <c r="C37" s="514">
        <f t="shared" si="2"/>
        <v>81502019</v>
      </c>
      <c r="D37" s="514">
        <f t="shared" si="2"/>
        <v>84009999</v>
      </c>
      <c r="E37" s="514">
        <f t="shared" si="3"/>
        <v>2507980</v>
      </c>
    </row>
    <row r="38" spans="1:5" s="506" customFormat="1" x14ac:dyDescent="0.2">
      <c r="A38" s="512">
        <v>3</v>
      </c>
      <c r="B38" s="511" t="s">
        <v>753</v>
      </c>
      <c r="C38" s="514">
        <f t="shared" si="2"/>
        <v>27890025</v>
      </c>
      <c r="D38" s="514">
        <f t="shared" si="2"/>
        <v>34150724</v>
      </c>
      <c r="E38" s="514">
        <f t="shared" si="3"/>
        <v>6260699</v>
      </c>
    </row>
    <row r="39" spans="1:5" s="506" customFormat="1" x14ac:dyDescent="0.2">
      <c r="A39" s="512">
        <v>4</v>
      </c>
      <c r="B39" s="511" t="s">
        <v>754</v>
      </c>
      <c r="C39" s="514">
        <f t="shared" si="2"/>
        <v>20003148</v>
      </c>
      <c r="D39" s="514">
        <f t="shared" si="2"/>
        <v>27912033</v>
      </c>
      <c r="E39" s="514">
        <f t="shared" si="3"/>
        <v>7908885</v>
      </c>
    </row>
    <row r="40" spans="1:5" s="506" customFormat="1" x14ac:dyDescent="0.2">
      <c r="A40" s="512">
        <v>5</v>
      </c>
      <c r="B40" s="511" t="s">
        <v>755</v>
      </c>
      <c r="C40" s="514">
        <f t="shared" si="2"/>
        <v>7886877</v>
      </c>
      <c r="D40" s="514">
        <f t="shared" si="2"/>
        <v>6238691</v>
      </c>
      <c r="E40" s="514">
        <f t="shared" si="3"/>
        <v>-1648186</v>
      </c>
    </row>
    <row r="41" spans="1:5" s="506" customFormat="1" x14ac:dyDescent="0.2">
      <c r="A41" s="512">
        <v>6</v>
      </c>
      <c r="B41" s="511" t="s">
        <v>756</v>
      </c>
      <c r="C41" s="514">
        <f t="shared" si="2"/>
        <v>699783</v>
      </c>
      <c r="D41" s="514">
        <f t="shared" si="2"/>
        <v>1055194</v>
      </c>
      <c r="E41" s="514">
        <f t="shared" si="3"/>
        <v>355411</v>
      </c>
    </row>
    <row r="42" spans="1:5" s="506" customFormat="1" x14ac:dyDescent="0.2">
      <c r="A42" s="512">
        <v>7</v>
      </c>
      <c r="B42" s="511" t="s">
        <v>757</v>
      </c>
      <c r="C42" s="514">
        <f t="shared" si="2"/>
        <v>4808316</v>
      </c>
      <c r="D42" s="514">
        <f t="shared" si="2"/>
        <v>4833620</v>
      </c>
      <c r="E42" s="514">
        <f t="shared" si="3"/>
        <v>25304</v>
      </c>
    </row>
    <row r="43" spans="1:5" s="506" customFormat="1" x14ac:dyDescent="0.2">
      <c r="A43" s="512"/>
      <c r="B43" s="516" t="s">
        <v>758</v>
      </c>
      <c r="C43" s="517">
        <f>SUM(C37+C38+C41)</f>
        <v>110091827</v>
      </c>
      <c r="D43" s="517">
        <f>SUM(D37+D38+D41)</f>
        <v>119215917</v>
      </c>
      <c r="E43" s="517">
        <f t="shared" si="3"/>
        <v>9124090</v>
      </c>
    </row>
    <row r="44" spans="1:5" s="506" customFormat="1" x14ac:dyDescent="0.2">
      <c r="A44" s="512"/>
      <c r="B44" s="516" t="s">
        <v>696</v>
      </c>
      <c r="C44" s="517">
        <f>SUM(C36+C43)</f>
        <v>176391805</v>
      </c>
      <c r="D44" s="517">
        <f>SUM(D36+D43)</f>
        <v>188222806</v>
      </c>
      <c r="E44" s="517">
        <f t="shared" si="3"/>
        <v>11831001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759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622</v>
      </c>
      <c r="C47" s="513">
        <v>13484961</v>
      </c>
      <c r="D47" s="513">
        <v>13808822</v>
      </c>
      <c r="E47" s="514">
        <f t="shared" ref="E47:E55" si="4">D47-C47</f>
        <v>323861</v>
      </c>
    </row>
    <row r="48" spans="1:5" s="506" customFormat="1" x14ac:dyDescent="0.2">
      <c r="A48" s="512">
        <v>2</v>
      </c>
      <c r="B48" s="511" t="s">
        <v>601</v>
      </c>
      <c r="C48" s="513">
        <v>32935779</v>
      </c>
      <c r="D48" s="515">
        <v>33003580</v>
      </c>
      <c r="E48" s="514">
        <f t="shared" si="4"/>
        <v>67801</v>
      </c>
    </row>
    <row r="49" spans="1:5" s="506" customFormat="1" x14ac:dyDescent="0.2">
      <c r="A49" s="512">
        <v>3</v>
      </c>
      <c r="B49" s="511" t="s">
        <v>747</v>
      </c>
      <c r="C49" s="513">
        <v>3851163</v>
      </c>
      <c r="D49" s="515">
        <v>5384674</v>
      </c>
      <c r="E49" s="514">
        <f t="shared" si="4"/>
        <v>1533511</v>
      </c>
    </row>
    <row r="50" spans="1:5" s="506" customFormat="1" x14ac:dyDescent="0.2">
      <c r="A50" s="512">
        <v>4</v>
      </c>
      <c r="B50" s="511" t="s">
        <v>114</v>
      </c>
      <c r="C50" s="513">
        <v>2971140</v>
      </c>
      <c r="D50" s="515">
        <v>4383899</v>
      </c>
      <c r="E50" s="514">
        <f t="shared" si="4"/>
        <v>1412759</v>
      </c>
    </row>
    <row r="51" spans="1:5" s="506" customFormat="1" x14ac:dyDescent="0.2">
      <c r="A51" s="512">
        <v>5</v>
      </c>
      <c r="B51" s="511" t="s">
        <v>714</v>
      </c>
      <c r="C51" s="513">
        <v>880023</v>
      </c>
      <c r="D51" s="515">
        <v>1000775</v>
      </c>
      <c r="E51" s="514">
        <f t="shared" si="4"/>
        <v>120752</v>
      </c>
    </row>
    <row r="52" spans="1:5" s="506" customFormat="1" x14ac:dyDescent="0.2">
      <c r="A52" s="512">
        <v>6</v>
      </c>
      <c r="B52" s="511" t="s">
        <v>418</v>
      </c>
      <c r="C52" s="513">
        <v>167102</v>
      </c>
      <c r="D52" s="515">
        <v>274836</v>
      </c>
      <c r="E52" s="514">
        <f t="shared" si="4"/>
        <v>107734</v>
      </c>
    </row>
    <row r="53" spans="1:5" s="506" customFormat="1" x14ac:dyDescent="0.2">
      <c r="A53" s="512">
        <v>7</v>
      </c>
      <c r="B53" s="511" t="s">
        <v>729</v>
      </c>
      <c r="C53" s="513">
        <v>311253</v>
      </c>
      <c r="D53" s="515">
        <v>275446</v>
      </c>
      <c r="E53" s="514">
        <f t="shared" si="4"/>
        <v>-35807</v>
      </c>
    </row>
    <row r="54" spans="1:5" s="506" customFormat="1" x14ac:dyDescent="0.2">
      <c r="A54" s="512"/>
      <c r="B54" s="516" t="s">
        <v>760</v>
      </c>
      <c r="C54" s="517">
        <f>SUM(C48+C49+C52)</f>
        <v>36954044</v>
      </c>
      <c r="D54" s="517">
        <f>SUM(D48+D49+D52)</f>
        <v>38663090</v>
      </c>
      <c r="E54" s="517">
        <f t="shared" si="4"/>
        <v>1709046</v>
      </c>
    </row>
    <row r="55" spans="1:5" s="506" customFormat="1" x14ac:dyDescent="0.2">
      <c r="A55" s="512"/>
      <c r="B55" s="516" t="s">
        <v>689</v>
      </c>
      <c r="C55" s="517">
        <f>SUM(C47+C54)</f>
        <v>50439005</v>
      </c>
      <c r="D55" s="517">
        <f>SUM(D47+D54)</f>
        <v>52471912</v>
      </c>
      <c r="E55" s="517">
        <f t="shared" si="4"/>
        <v>2032907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761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622</v>
      </c>
      <c r="C58" s="513">
        <v>22744150</v>
      </c>
      <c r="D58" s="513">
        <v>24661146</v>
      </c>
      <c r="E58" s="514">
        <f t="shared" ref="E58:E66" si="5">D58-C58</f>
        <v>1916996</v>
      </c>
    </row>
    <row r="59" spans="1:5" s="506" customFormat="1" x14ac:dyDescent="0.2">
      <c r="A59" s="512">
        <v>2</v>
      </c>
      <c r="B59" s="511" t="s">
        <v>601</v>
      </c>
      <c r="C59" s="513">
        <v>13488536</v>
      </c>
      <c r="D59" s="515">
        <v>15426549</v>
      </c>
      <c r="E59" s="514">
        <f t="shared" si="5"/>
        <v>1938013</v>
      </c>
    </row>
    <row r="60" spans="1:5" s="506" customFormat="1" x14ac:dyDescent="0.2">
      <c r="A60" s="512">
        <v>3</v>
      </c>
      <c r="B60" s="511" t="s">
        <v>747</v>
      </c>
      <c r="C60" s="513">
        <f>C61+C62</f>
        <v>5963941</v>
      </c>
      <c r="D60" s="515">
        <f>D61+D62</f>
        <v>7832244</v>
      </c>
      <c r="E60" s="514">
        <f t="shared" si="5"/>
        <v>1868303</v>
      </c>
    </row>
    <row r="61" spans="1:5" s="506" customFormat="1" x14ac:dyDescent="0.2">
      <c r="A61" s="512">
        <v>4</v>
      </c>
      <c r="B61" s="511" t="s">
        <v>114</v>
      </c>
      <c r="C61" s="513">
        <v>4924548</v>
      </c>
      <c r="D61" s="515">
        <v>6677053</v>
      </c>
      <c r="E61" s="514">
        <f t="shared" si="5"/>
        <v>1752505</v>
      </c>
    </row>
    <row r="62" spans="1:5" s="506" customFormat="1" x14ac:dyDescent="0.2">
      <c r="A62" s="512">
        <v>5</v>
      </c>
      <c r="B62" s="511" t="s">
        <v>714</v>
      </c>
      <c r="C62" s="513">
        <v>1039393</v>
      </c>
      <c r="D62" s="515">
        <v>1155191</v>
      </c>
      <c r="E62" s="514">
        <f t="shared" si="5"/>
        <v>115798</v>
      </c>
    </row>
    <row r="63" spans="1:5" s="506" customFormat="1" x14ac:dyDescent="0.2">
      <c r="A63" s="512">
        <v>6</v>
      </c>
      <c r="B63" s="511" t="s">
        <v>418</v>
      </c>
      <c r="C63" s="513">
        <v>153650</v>
      </c>
      <c r="D63" s="515">
        <v>156734</v>
      </c>
      <c r="E63" s="514">
        <f t="shared" si="5"/>
        <v>3084</v>
      </c>
    </row>
    <row r="64" spans="1:5" s="506" customFormat="1" x14ac:dyDescent="0.2">
      <c r="A64" s="512">
        <v>7</v>
      </c>
      <c r="B64" s="511" t="s">
        <v>729</v>
      </c>
      <c r="C64" s="513">
        <v>967674</v>
      </c>
      <c r="D64" s="515">
        <v>947806</v>
      </c>
      <c r="E64" s="514">
        <f t="shared" si="5"/>
        <v>-19868</v>
      </c>
    </row>
    <row r="65" spans="1:5" s="506" customFormat="1" x14ac:dyDescent="0.2">
      <c r="A65" s="512"/>
      <c r="B65" s="516" t="s">
        <v>762</v>
      </c>
      <c r="C65" s="517">
        <f>SUM(C59+C60+C63)</f>
        <v>19606127</v>
      </c>
      <c r="D65" s="517">
        <f>SUM(D59+D60+D63)</f>
        <v>23415527</v>
      </c>
      <c r="E65" s="517">
        <f t="shared" si="5"/>
        <v>3809400</v>
      </c>
    </row>
    <row r="66" spans="1:5" s="506" customFormat="1" x14ac:dyDescent="0.2">
      <c r="A66" s="512"/>
      <c r="B66" s="516" t="s">
        <v>695</v>
      </c>
      <c r="C66" s="517">
        <f>SUM(C58+C65)</f>
        <v>42350277</v>
      </c>
      <c r="D66" s="517">
        <f>SUM(D58+D65)</f>
        <v>48076673</v>
      </c>
      <c r="E66" s="517">
        <f t="shared" si="5"/>
        <v>5726396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620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751</v>
      </c>
      <c r="C69" s="514">
        <f t="shared" ref="C69:D75" si="6">C47+C58</f>
        <v>36229111</v>
      </c>
      <c r="D69" s="514">
        <f t="shared" si="6"/>
        <v>38469968</v>
      </c>
      <c r="E69" s="514">
        <f t="shared" ref="E69:E77" si="7">D69-C69</f>
        <v>2240857</v>
      </c>
    </row>
    <row r="70" spans="1:5" s="506" customFormat="1" x14ac:dyDescent="0.2">
      <c r="A70" s="512">
        <v>2</v>
      </c>
      <c r="B70" s="511" t="s">
        <v>752</v>
      </c>
      <c r="C70" s="514">
        <f t="shared" si="6"/>
        <v>46424315</v>
      </c>
      <c r="D70" s="514">
        <f t="shared" si="6"/>
        <v>48430129</v>
      </c>
      <c r="E70" s="514">
        <f t="shared" si="7"/>
        <v>2005814</v>
      </c>
    </row>
    <row r="71" spans="1:5" s="506" customFormat="1" x14ac:dyDescent="0.2">
      <c r="A71" s="512">
        <v>3</v>
      </c>
      <c r="B71" s="511" t="s">
        <v>753</v>
      </c>
      <c r="C71" s="514">
        <f t="shared" si="6"/>
        <v>9815104</v>
      </c>
      <c r="D71" s="514">
        <f t="shared" si="6"/>
        <v>13216918</v>
      </c>
      <c r="E71" s="514">
        <f t="shared" si="7"/>
        <v>3401814</v>
      </c>
    </row>
    <row r="72" spans="1:5" s="506" customFormat="1" x14ac:dyDescent="0.2">
      <c r="A72" s="512">
        <v>4</v>
      </c>
      <c r="B72" s="511" t="s">
        <v>754</v>
      </c>
      <c r="C72" s="514">
        <f t="shared" si="6"/>
        <v>7895688</v>
      </c>
      <c r="D72" s="514">
        <f t="shared" si="6"/>
        <v>11060952</v>
      </c>
      <c r="E72" s="514">
        <f t="shared" si="7"/>
        <v>3165264</v>
      </c>
    </row>
    <row r="73" spans="1:5" s="506" customFormat="1" x14ac:dyDescent="0.2">
      <c r="A73" s="512">
        <v>5</v>
      </c>
      <c r="B73" s="511" t="s">
        <v>755</v>
      </c>
      <c r="C73" s="514">
        <f t="shared" si="6"/>
        <v>1919416</v>
      </c>
      <c r="D73" s="514">
        <f t="shared" si="6"/>
        <v>2155966</v>
      </c>
      <c r="E73" s="514">
        <f t="shared" si="7"/>
        <v>236550</v>
      </c>
    </row>
    <row r="74" spans="1:5" s="506" customFormat="1" x14ac:dyDescent="0.2">
      <c r="A74" s="512">
        <v>6</v>
      </c>
      <c r="B74" s="511" t="s">
        <v>756</v>
      </c>
      <c r="C74" s="514">
        <f t="shared" si="6"/>
        <v>320752</v>
      </c>
      <c r="D74" s="514">
        <f t="shared" si="6"/>
        <v>431570</v>
      </c>
      <c r="E74" s="514">
        <f t="shared" si="7"/>
        <v>110818</v>
      </c>
    </row>
    <row r="75" spans="1:5" s="506" customFormat="1" x14ac:dyDescent="0.2">
      <c r="A75" s="512">
        <v>7</v>
      </c>
      <c r="B75" s="511" t="s">
        <v>757</v>
      </c>
      <c r="C75" s="514">
        <f t="shared" si="6"/>
        <v>1278927</v>
      </c>
      <c r="D75" s="514">
        <f t="shared" si="6"/>
        <v>1223252</v>
      </c>
      <c r="E75" s="514">
        <f t="shared" si="7"/>
        <v>-55675</v>
      </c>
    </row>
    <row r="76" spans="1:5" s="506" customFormat="1" x14ac:dyDescent="0.2">
      <c r="A76" s="512"/>
      <c r="B76" s="516" t="s">
        <v>763</v>
      </c>
      <c r="C76" s="517">
        <f>SUM(C70+C71+C74)</f>
        <v>56560171</v>
      </c>
      <c r="D76" s="517">
        <f>SUM(D70+D71+D74)</f>
        <v>62078617</v>
      </c>
      <c r="E76" s="517">
        <f t="shared" si="7"/>
        <v>5518446</v>
      </c>
    </row>
    <row r="77" spans="1:5" s="506" customFormat="1" x14ac:dyDescent="0.2">
      <c r="A77" s="512"/>
      <c r="B77" s="516" t="s">
        <v>697</v>
      </c>
      <c r="C77" s="517">
        <f>SUM(C69+C76)</f>
        <v>92789282</v>
      </c>
      <c r="D77" s="517">
        <f>SUM(D69+D76)</f>
        <v>100548585</v>
      </c>
      <c r="E77" s="517">
        <f t="shared" si="7"/>
        <v>7759303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764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765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622</v>
      </c>
      <c r="C83" s="523">
        <f t="shared" ref="C83:D89" si="8">IF(C$44=0,0,C14/C$44)</f>
        <v>0.11492202826542877</v>
      </c>
      <c r="D83" s="523">
        <f t="shared" si="8"/>
        <v>0.10699284761486341</v>
      </c>
      <c r="E83" s="523">
        <f t="shared" ref="E83:E91" si="9">D83-C83</f>
        <v>-7.9291806505653595E-3</v>
      </c>
    </row>
    <row r="84" spans="1:5" s="506" customFormat="1" x14ac:dyDescent="0.2">
      <c r="A84" s="512">
        <v>2</v>
      </c>
      <c r="B84" s="511" t="s">
        <v>601</v>
      </c>
      <c r="C84" s="523">
        <f t="shared" si="8"/>
        <v>0.27953099635212647</v>
      </c>
      <c r="D84" s="523">
        <f t="shared" si="8"/>
        <v>0.25909856003315562</v>
      </c>
      <c r="E84" s="523">
        <f t="shared" si="9"/>
        <v>-2.0432436318970848E-2</v>
      </c>
    </row>
    <row r="85" spans="1:5" s="506" customFormat="1" x14ac:dyDescent="0.2">
      <c r="A85" s="512">
        <v>3</v>
      </c>
      <c r="B85" s="511" t="s">
        <v>747</v>
      </c>
      <c r="C85" s="523">
        <f t="shared" si="8"/>
        <v>5.1812327675880405E-2</v>
      </c>
      <c r="D85" s="523">
        <f t="shared" si="8"/>
        <v>6.1083761550127992E-2</v>
      </c>
      <c r="E85" s="523">
        <f t="shared" si="9"/>
        <v>9.2714338742475866E-3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3.3521149125947204E-2</v>
      </c>
      <c r="D86" s="523">
        <f t="shared" si="8"/>
        <v>4.8949270260055522E-2</v>
      </c>
      <c r="E86" s="523">
        <f t="shared" si="9"/>
        <v>1.5428121134108318E-2</v>
      </c>
    </row>
    <row r="87" spans="1:5" s="506" customFormat="1" x14ac:dyDescent="0.2">
      <c r="A87" s="512">
        <v>5</v>
      </c>
      <c r="B87" s="511" t="s">
        <v>714</v>
      </c>
      <c r="C87" s="523">
        <f t="shared" si="8"/>
        <v>1.8291178549933201E-2</v>
      </c>
      <c r="D87" s="523">
        <f t="shared" si="8"/>
        <v>1.2134491290072469E-2</v>
      </c>
      <c r="E87" s="523">
        <f t="shared" si="9"/>
        <v>-6.1566872598607329E-3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2.0461891639467038E-3</v>
      </c>
      <c r="D88" s="523">
        <f t="shared" si="8"/>
        <v>3.5898944148138987E-3</v>
      </c>
      <c r="E88" s="523">
        <f t="shared" si="9"/>
        <v>1.5437052508671949E-3</v>
      </c>
    </row>
    <row r="89" spans="1:5" s="506" customFormat="1" x14ac:dyDescent="0.2">
      <c r="A89" s="512">
        <v>7</v>
      </c>
      <c r="B89" s="511" t="s">
        <v>729</v>
      </c>
      <c r="C89" s="523">
        <f t="shared" si="8"/>
        <v>6.634100716867204E-3</v>
      </c>
      <c r="D89" s="523">
        <f t="shared" si="8"/>
        <v>5.7825670710700168E-3</v>
      </c>
      <c r="E89" s="523">
        <f t="shared" si="9"/>
        <v>-8.5153364579718723E-4</v>
      </c>
    </row>
    <row r="90" spans="1:5" s="506" customFormat="1" x14ac:dyDescent="0.2">
      <c r="A90" s="512"/>
      <c r="B90" s="516" t="s">
        <v>766</v>
      </c>
      <c r="C90" s="524">
        <f>SUM(C84+C85+C88)</f>
        <v>0.33338951319195359</v>
      </c>
      <c r="D90" s="524">
        <f>SUM(D84+D85+D88)</f>
        <v>0.32377221599809752</v>
      </c>
      <c r="E90" s="525">
        <f t="shared" si="9"/>
        <v>-9.617297193856067E-3</v>
      </c>
    </row>
    <row r="91" spans="1:5" s="506" customFormat="1" x14ac:dyDescent="0.2">
      <c r="A91" s="512"/>
      <c r="B91" s="516" t="s">
        <v>767</v>
      </c>
      <c r="C91" s="524">
        <f>SUM(C83+C90)</f>
        <v>0.44831154145738239</v>
      </c>
      <c r="D91" s="524">
        <f>SUM(D83+D90)</f>
        <v>0.43076506361296096</v>
      </c>
      <c r="E91" s="525">
        <f t="shared" si="9"/>
        <v>-1.7546477844421426E-2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768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622</v>
      </c>
      <c r="C95" s="523">
        <f t="shared" ref="C95:D101" si="10">IF(C$44=0,0,C25/C$44)</f>
        <v>0.26094564880721072</v>
      </c>
      <c r="D95" s="523">
        <f t="shared" si="10"/>
        <v>0.25963057314106774</v>
      </c>
      <c r="E95" s="523">
        <f t="shared" ref="E95:E103" si="11">D95-C95</f>
        <v>-1.315075666142973E-3</v>
      </c>
    </row>
    <row r="96" spans="1:5" s="506" customFormat="1" x14ac:dyDescent="0.2">
      <c r="A96" s="512">
        <v>2</v>
      </c>
      <c r="B96" s="511" t="s">
        <v>601</v>
      </c>
      <c r="C96" s="523">
        <f t="shared" si="10"/>
        <v>0.18252005528261361</v>
      </c>
      <c r="D96" s="523">
        <f t="shared" si="10"/>
        <v>0.18723417076249516</v>
      </c>
      <c r="E96" s="523">
        <f t="shared" si="11"/>
        <v>4.7141154798815421E-3</v>
      </c>
    </row>
    <row r="97" spans="1:5" s="506" customFormat="1" x14ac:dyDescent="0.2">
      <c r="A97" s="512">
        <v>3</v>
      </c>
      <c r="B97" s="511" t="s">
        <v>747</v>
      </c>
      <c r="C97" s="523">
        <f t="shared" si="10"/>
        <v>0.10630173550296172</v>
      </c>
      <c r="D97" s="523">
        <f t="shared" si="10"/>
        <v>0.12035399684775712</v>
      </c>
      <c r="E97" s="523">
        <f t="shared" si="11"/>
        <v>1.4052261344795397E-2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7.9880649784155225E-2</v>
      </c>
      <c r="D98" s="523">
        <f t="shared" si="10"/>
        <v>9.9343243241204263E-2</v>
      </c>
      <c r="E98" s="523">
        <f t="shared" si="11"/>
        <v>1.9462593457049038E-2</v>
      </c>
    </row>
    <row r="99" spans="1:5" s="506" customFormat="1" x14ac:dyDescent="0.2">
      <c r="A99" s="512">
        <v>5</v>
      </c>
      <c r="B99" s="511" t="s">
        <v>714</v>
      </c>
      <c r="C99" s="523">
        <f t="shared" si="10"/>
        <v>2.6421085718806494E-2</v>
      </c>
      <c r="D99" s="523">
        <f t="shared" si="10"/>
        <v>2.1010753606552864E-2</v>
      </c>
      <c r="E99" s="523">
        <f t="shared" si="11"/>
        <v>-5.4103321122536303E-3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1.921018949831598E-3</v>
      </c>
      <c r="D100" s="523">
        <f t="shared" si="10"/>
        <v>2.0161956357190852E-3</v>
      </c>
      <c r="E100" s="523">
        <f t="shared" si="11"/>
        <v>9.5176685887487199E-5</v>
      </c>
    </row>
    <row r="101" spans="1:5" s="506" customFormat="1" x14ac:dyDescent="0.2">
      <c r="A101" s="512">
        <v>7</v>
      </c>
      <c r="B101" s="511" t="s">
        <v>729</v>
      </c>
      <c r="C101" s="523">
        <f t="shared" si="10"/>
        <v>2.0625192876732566E-2</v>
      </c>
      <c r="D101" s="523">
        <f t="shared" si="10"/>
        <v>1.9897742890943832E-2</v>
      </c>
      <c r="E101" s="523">
        <f t="shared" si="11"/>
        <v>-7.2744998578873343E-4</v>
      </c>
    </row>
    <row r="102" spans="1:5" s="506" customFormat="1" x14ac:dyDescent="0.2">
      <c r="A102" s="512"/>
      <c r="B102" s="516" t="s">
        <v>769</v>
      </c>
      <c r="C102" s="524">
        <f>SUM(C96+C97+C100)</f>
        <v>0.29074280973540695</v>
      </c>
      <c r="D102" s="524">
        <f>SUM(D96+D97+D100)</f>
        <v>0.30960436324597135</v>
      </c>
      <c r="E102" s="525">
        <f t="shared" si="11"/>
        <v>1.8861553510564399E-2</v>
      </c>
    </row>
    <row r="103" spans="1:5" s="506" customFormat="1" x14ac:dyDescent="0.2">
      <c r="A103" s="512"/>
      <c r="B103" s="516" t="s">
        <v>770</v>
      </c>
      <c r="C103" s="524">
        <f>SUM(C95+C102)</f>
        <v>0.55168845854261761</v>
      </c>
      <c r="D103" s="524">
        <f>SUM(D95+D102)</f>
        <v>0.56923493638703904</v>
      </c>
      <c r="E103" s="525">
        <f t="shared" si="11"/>
        <v>1.7546477844421426E-2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771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772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622</v>
      </c>
      <c r="C109" s="523">
        <f t="shared" ref="C109:D115" si="12">IF(C$77=0,0,C47/C$77)</f>
        <v>0.14532886459882297</v>
      </c>
      <c r="D109" s="523">
        <f t="shared" si="12"/>
        <v>0.13733482176800399</v>
      </c>
      <c r="E109" s="523">
        <f t="shared" ref="E109:E117" si="13">D109-C109</f>
        <v>-7.9940428308189759E-3</v>
      </c>
    </row>
    <row r="110" spans="1:5" s="506" customFormat="1" x14ac:dyDescent="0.2">
      <c r="A110" s="512">
        <v>2</v>
      </c>
      <c r="B110" s="511" t="s">
        <v>601</v>
      </c>
      <c r="C110" s="523">
        <f t="shared" si="12"/>
        <v>0.35495240711098508</v>
      </c>
      <c r="D110" s="523">
        <f t="shared" si="12"/>
        <v>0.32823515119581242</v>
      </c>
      <c r="E110" s="523">
        <f t="shared" si="13"/>
        <v>-2.6717255915172655E-2</v>
      </c>
    </row>
    <row r="111" spans="1:5" s="506" customFormat="1" x14ac:dyDescent="0.2">
      <c r="A111" s="512">
        <v>3</v>
      </c>
      <c r="B111" s="511" t="s">
        <v>747</v>
      </c>
      <c r="C111" s="523">
        <f t="shared" si="12"/>
        <v>4.1504394871812886E-2</v>
      </c>
      <c r="D111" s="523">
        <f t="shared" si="12"/>
        <v>5.3552956513510358E-2</v>
      </c>
      <c r="E111" s="523">
        <f t="shared" si="13"/>
        <v>1.2048561641697472E-2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3.2020293033413062E-2</v>
      </c>
      <c r="D112" s="523">
        <f t="shared" si="12"/>
        <v>4.3599807993319847E-2</v>
      </c>
      <c r="E112" s="523">
        <f t="shared" si="13"/>
        <v>1.1579514959906785E-2</v>
      </c>
    </row>
    <row r="113" spans="1:5" s="506" customFormat="1" x14ac:dyDescent="0.2">
      <c r="A113" s="512">
        <v>5</v>
      </c>
      <c r="B113" s="511" t="s">
        <v>714</v>
      </c>
      <c r="C113" s="523">
        <f t="shared" si="12"/>
        <v>9.484101838399827E-3</v>
      </c>
      <c r="D113" s="523">
        <f t="shared" si="12"/>
        <v>9.9531485201905124E-3</v>
      </c>
      <c r="E113" s="523">
        <f t="shared" si="13"/>
        <v>4.6904668179068541E-4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1.8008760968750679E-3</v>
      </c>
      <c r="D114" s="523">
        <f t="shared" si="12"/>
        <v>2.7333651686893457E-3</v>
      </c>
      <c r="E114" s="523">
        <f t="shared" si="13"/>
        <v>9.3248907181427772E-4</v>
      </c>
    </row>
    <row r="115" spans="1:5" s="506" customFormat="1" x14ac:dyDescent="0.2">
      <c r="A115" s="512">
        <v>7</v>
      </c>
      <c r="B115" s="511" t="s">
        <v>729</v>
      </c>
      <c r="C115" s="523">
        <f t="shared" si="12"/>
        <v>3.3544068160803312E-3</v>
      </c>
      <c r="D115" s="523">
        <f t="shared" si="12"/>
        <v>2.7394318875795217E-3</v>
      </c>
      <c r="E115" s="523">
        <f t="shared" si="13"/>
        <v>-6.1497492850080956E-4</v>
      </c>
    </row>
    <row r="116" spans="1:5" s="506" customFormat="1" x14ac:dyDescent="0.2">
      <c r="A116" s="512"/>
      <c r="B116" s="516" t="s">
        <v>766</v>
      </c>
      <c r="C116" s="524">
        <f>SUM(C110+C111+C114)</f>
        <v>0.39825767807967305</v>
      </c>
      <c r="D116" s="524">
        <f>SUM(D110+D111+D114)</f>
        <v>0.38452147287801214</v>
      </c>
      <c r="E116" s="525">
        <f t="shared" si="13"/>
        <v>-1.3736205201660912E-2</v>
      </c>
    </row>
    <row r="117" spans="1:5" s="506" customFormat="1" x14ac:dyDescent="0.2">
      <c r="A117" s="512"/>
      <c r="B117" s="516" t="s">
        <v>767</v>
      </c>
      <c r="C117" s="524">
        <f>SUM(C109+C116)</f>
        <v>0.54358654267849604</v>
      </c>
      <c r="D117" s="524">
        <f>SUM(D109+D116)</f>
        <v>0.52185629464601613</v>
      </c>
      <c r="E117" s="525">
        <f t="shared" si="13"/>
        <v>-2.1730248032479915E-2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773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622</v>
      </c>
      <c r="C121" s="523">
        <f t="shared" ref="C121:D127" si="14">IF(C$77=0,0,C58/C$77)</f>
        <v>0.24511613313270383</v>
      </c>
      <c r="D121" s="523">
        <f t="shared" si="14"/>
        <v>0.24526596769114156</v>
      </c>
      <c r="E121" s="523">
        <f t="shared" ref="E121:E129" si="15">D121-C121</f>
        <v>1.4983455843772808E-4</v>
      </c>
    </row>
    <row r="122" spans="1:5" s="506" customFormat="1" x14ac:dyDescent="0.2">
      <c r="A122" s="512">
        <v>2</v>
      </c>
      <c r="B122" s="511" t="s">
        <v>601</v>
      </c>
      <c r="C122" s="523">
        <f t="shared" si="14"/>
        <v>0.14536739275555555</v>
      </c>
      <c r="D122" s="523">
        <f t="shared" si="14"/>
        <v>0.15342382988283723</v>
      </c>
      <c r="E122" s="523">
        <f t="shared" si="15"/>
        <v>8.0564371272816848E-3</v>
      </c>
    </row>
    <row r="123" spans="1:5" s="506" customFormat="1" x14ac:dyDescent="0.2">
      <c r="A123" s="512">
        <v>3</v>
      </c>
      <c r="B123" s="511" t="s">
        <v>747</v>
      </c>
      <c r="C123" s="523">
        <f t="shared" si="14"/>
        <v>6.4274028976751857E-2</v>
      </c>
      <c r="D123" s="523">
        <f t="shared" si="14"/>
        <v>7.7895119061098667E-2</v>
      </c>
      <c r="E123" s="523">
        <f t="shared" si="15"/>
        <v>1.362109008434681E-2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5.3072379631087137E-2</v>
      </c>
      <c r="D124" s="523">
        <f t="shared" si="14"/>
        <v>6.640623535378444E-2</v>
      </c>
      <c r="E124" s="523">
        <f t="shared" si="15"/>
        <v>1.3333855722697303E-2</v>
      </c>
    </row>
    <row r="125" spans="1:5" s="506" customFormat="1" x14ac:dyDescent="0.2">
      <c r="A125" s="512">
        <v>5</v>
      </c>
      <c r="B125" s="511" t="s">
        <v>714</v>
      </c>
      <c r="C125" s="523">
        <f t="shared" si="14"/>
        <v>1.1201649345664729E-2</v>
      </c>
      <c r="D125" s="523">
        <f t="shared" si="14"/>
        <v>1.148888370731423E-2</v>
      </c>
      <c r="E125" s="523">
        <f t="shared" si="15"/>
        <v>2.8723436164950107E-4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1.655902456492766E-3</v>
      </c>
      <c r="D126" s="523">
        <f t="shared" si="14"/>
        <v>1.5587887189063873E-3</v>
      </c>
      <c r="E126" s="523">
        <f t="shared" si="15"/>
        <v>-9.711373758637871E-5</v>
      </c>
    </row>
    <row r="127" spans="1:5" s="506" customFormat="1" x14ac:dyDescent="0.2">
      <c r="A127" s="512">
        <v>7</v>
      </c>
      <c r="B127" s="511" t="s">
        <v>729</v>
      </c>
      <c r="C127" s="523">
        <f t="shared" si="14"/>
        <v>1.0428726024628578E-2</v>
      </c>
      <c r="D127" s="523">
        <f t="shared" si="14"/>
        <v>9.4263484662663322E-3</v>
      </c>
      <c r="E127" s="523">
        <f t="shared" si="15"/>
        <v>-1.0023775583622458E-3</v>
      </c>
    </row>
    <row r="128" spans="1:5" s="506" customFormat="1" x14ac:dyDescent="0.2">
      <c r="A128" s="512"/>
      <c r="B128" s="516" t="s">
        <v>769</v>
      </c>
      <c r="C128" s="524">
        <f>SUM(C122+C123+C126)</f>
        <v>0.21129732418880018</v>
      </c>
      <c r="D128" s="524">
        <f>SUM(D122+D123+D126)</f>
        <v>0.23287773766284228</v>
      </c>
      <c r="E128" s="525">
        <f t="shared" si="15"/>
        <v>2.1580413474042104E-2</v>
      </c>
    </row>
    <row r="129" spans="1:5" s="506" customFormat="1" x14ac:dyDescent="0.2">
      <c r="A129" s="512"/>
      <c r="B129" s="516" t="s">
        <v>770</v>
      </c>
      <c r="C129" s="524">
        <f>SUM(C121+C128)</f>
        <v>0.45641345732150401</v>
      </c>
      <c r="D129" s="524">
        <f>SUM(D121+D128)</f>
        <v>0.47814370535398387</v>
      </c>
      <c r="E129" s="525">
        <f t="shared" si="15"/>
        <v>2.173024803247986E-2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774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775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776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622</v>
      </c>
      <c r="C137" s="530">
        <v>1896</v>
      </c>
      <c r="D137" s="530">
        <v>1900</v>
      </c>
      <c r="E137" s="531">
        <f t="shared" ref="E137:E145" si="16">D137-C137</f>
        <v>4</v>
      </c>
    </row>
    <row r="138" spans="1:5" s="506" customFormat="1" x14ac:dyDescent="0.2">
      <c r="A138" s="512">
        <v>2</v>
      </c>
      <c r="B138" s="511" t="s">
        <v>601</v>
      </c>
      <c r="C138" s="530">
        <v>3405</v>
      </c>
      <c r="D138" s="530">
        <v>3371</v>
      </c>
      <c r="E138" s="531">
        <f t="shared" si="16"/>
        <v>-34</v>
      </c>
    </row>
    <row r="139" spans="1:5" s="506" customFormat="1" x14ac:dyDescent="0.2">
      <c r="A139" s="512">
        <v>3</v>
      </c>
      <c r="B139" s="511" t="s">
        <v>747</v>
      </c>
      <c r="C139" s="530">
        <f>C140+C141</f>
        <v>994</v>
      </c>
      <c r="D139" s="530">
        <f>D140+D141</f>
        <v>1133</v>
      </c>
      <c r="E139" s="531">
        <f t="shared" si="16"/>
        <v>139</v>
      </c>
    </row>
    <row r="140" spans="1:5" s="506" customFormat="1" x14ac:dyDescent="0.2">
      <c r="A140" s="512">
        <v>4</v>
      </c>
      <c r="B140" s="511" t="s">
        <v>114</v>
      </c>
      <c r="C140" s="530">
        <v>735</v>
      </c>
      <c r="D140" s="530">
        <v>935</v>
      </c>
      <c r="E140" s="531">
        <f t="shared" si="16"/>
        <v>200</v>
      </c>
    </row>
    <row r="141" spans="1:5" s="506" customFormat="1" x14ac:dyDescent="0.2">
      <c r="A141" s="512">
        <v>5</v>
      </c>
      <c r="B141" s="511" t="s">
        <v>714</v>
      </c>
      <c r="C141" s="530">
        <v>259</v>
      </c>
      <c r="D141" s="530">
        <v>198</v>
      </c>
      <c r="E141" s="531">
        <f t="shared" si="16"/>
        <v>-61</v>
      </c>
    </row>
    <row r="142" spans="1:5" s="506" customFormat="1" x14ac:dyDescent="0.2">
      <c r="A142" s="512">
        <v>6</v>
      </c>
      <c r="B142" s="511" t="s">
        <v>418</v>
      </c>
      <c r="C142" s="530">
        <v>25</v>
      </c>
      <c r="D142" s="530">
        <v>34</v>
      </c>
      <c r="E142" s="531">
        <f t="shared" si="16"/>
        <v>9</v>
      </c>
    </row>
    <row r="143" spans="1:5" s="506" customFormat="1" x14ac:dyDescent="0.2">
      <c r="A143" s="512">
        <v>7</v>
      </c>
      <c r="B143" s="511" t="s">
        <v>729</v>
      </c>
      <c r="C143" s="530">
        <v>123</v>
      </c>
      <c r="D143" s="530">
        <v>155</v>
      </c>
      <c r="E143" s="531">
        <f t="shared" si="16"/>
        <v>32</v>
      </c>
    </row>
    <row r="144" spans="1:5" s="506" customFormat="1" x14ac:dyDescent="0.2">
      <c r="A144" s="512"/>
      <c r="B144" s="516" t="s">
        <v>777</v>
      </c>
      <c r="C144" s="532">
        <f>SUM(C138+C139+C142)</f>
        <v>4424</v>
      </c>
      <c r="D144" s="532">
        <f>SUM(D138+D139+D142)</f>
        <v>4538</v>
      </c>
      <c r="E144" s="533">
        <f t="shared" si="16"/>
        <v>114</v>
      </c>
    </row>
    <row r="145" spans="1:5" s="506" customFormat="1" x14ac:dyDescent="0.2">
      <c r="A145" s="512"/>
      <c r="B145" s="516" t="s">
        <v>691</v>
      </c>
      <c r="C145" s="532">
        <f>SUM(C137+C144)</f>
        <v>6320</v>
      </c>
      <c r="D145" s="532">
        <f>SUM(D137+D144)</f>
        <v>6438</v>
      </c>
      <c r="E145" s="533">
        <f t="shared" si="16"/>
        <v>118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622</v>
      </c>
      <c r="C149" s="534">
        <v>6787</v>
      </c>
      <c r="D149" s="534">
        <v>6459</v>
      </c>
      <c r="E149" s="531">
        <f t="shared" ref="E149:E157" si="17">D149-C149</f>
        <v>-328</v>
      </c>
    </row>
    <row r="150" spans="1:5" s="506" customFormat="1" x14ac:dyDescent="0.2">
      <c r="A150" s="512">
        <v>2</v>
      </c>
      <c r="B150" s="511" t="s">
        <v>601</v>
      </c>
      <c r="C150" s="534">
        <v>17327</v>
      </c>
      <c r="D150" s="534">
        <v>16250</v>
      </c>
      <c r="E150" s="531">
        <f t="shared" si="17"/>
        <v>-1077</v>
      </c>
    </row>
    <row r="151" spans="1:5" s="506" customFormat="1" x14ac:dyDescent="0.2">
      <c r="A151" s="512">
        <v>3</v>
      </c>
      <c r="B151" s="511" t="s">
        <v>747</v>
      </c>
      <c r="C151" s="534">
        <f>C152+C153</f>
        <v>4334</v>
      </c>
      <c r="D151" s="534">
        <f>D152+D153</f>
        <v>5057</v>
      </c>
      <c r="E151" s="531">
        <f t="shared" si="17"/>
        <v>723</v>
      </c>
    </row>
    <row r="152" spans="1:5" s="506" customFormat="1" x14ac:dyDescent="0.2">
      <c r="A152" s="512">
        <v>4</v>
      </c>
      <c r="B152" s="511" t="s">
        <v>114</v>
      </c>
      <c r="C152" s="534">
        <v>2800</v>
      </c>
      <c r="D152" s="534">
        <v>3996</v>
      </c>
      <c r="E152" s="531">
        <f t="shared" si="17"/>
        <v>1196</v>
      </c>
    </row>
    <row r="153" spans="1:5" s="506" customFormat="1" x14ac:dyDescent="0.2">
      <c r="A153" s="512">
        <v>5</v>
      </c>
      <c r="B153" s="511" t="s">
        <v>714</v>
      </c>
      <c r="C153" s="535">
        <v>1534</v>
      </c>
      <c r="D153" s="534">
        <v>1061</v>
      </c>
      <c r="E153" s="531">
        <f t="shared" si="17"/>
        <v>-473</v>
      </c>
    </row>
    <row r="154" spans="1:5" s="506" customFormat="1" x14ac:dyDescent="0.2">
      <c r="A154" s="512">
        <v>6</v>
      </c>
      <c r="B154" s="511" t="s">
        <v>418</v>
      </c>
      <c r="C154" s="534">
        <v>133</v>
      </c>
      <c r="D154" s="534">
        <v>213</v>
      </c>
      <c r="E154" s="531">
        <f t="shared" si="17"/>
        <v>80</v>
      </c>
    </row>
    <row r="155" spans="1:5" s="506" customFormat="1" x14ac:dyDescent="0.2">
      <c r="A155" s="512">
        <v>7</v>
      </c>
      <c r="B155" s="511" t="s">
        <v>729</v>
      </c>
      <c r="C155" s="534">
        <v>576</v>
      </c>
      <c r="D155" s="534">
        <v>729</v>
      </c>
      <c r="E155" s="531">
        <f t="shared" si="17"/>
        <v>153</v>
      </c>
    </row>
    <row r="156" spans="1:5" s="506" customFormat="1" x14ac:dyDescent="0.2">
      <c r="A156" s="512"/>
      <c r="B156" s="516" t="s">
        <v>778</v>
      </c>
      <c r="C156" s="532">
        <f>SUM(C150+C151+C154)</f>
        <v>21794</v>
      </c>
      <c r="D156" s="532">
        <f>SUM(D150+D151+D154)</f>
        <v>21520</v>
      </c>
      <c r="E156" s="533">
        <f t="shared" si="17"/>
        <v>-274</v>
      </c>
    </row>
    <row r="157" spans="1:5" s="506" customFormat="1" x14ac:dyDescent="0.2">
      <c r="A157" s="512"/>
      <c r="B157" s="516" t="s">
        <v>779</v>
      </c>
      <c r="C157" s="532">
        <f>SUM(C149+C156)</f>
        <v>28581</v>
      </c>
      <c r="D157" s="532">
        <f>SUM(D149+D156)</f>
        <v>27979</v>
      </c>
      <c r="E157" s="533">
        <f t="shared" si="17"/>
        <v>-602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780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622</v>
      </c>
      <c r="C161" s="536">
        <f t="shared" ref="C161:D169" si="18">IF(C137=0,0,C149/C137)</f>
        <v>3.5796413502109705</v>
      </c>
      <c r="D161" s="536">
        <f t="shared" si="18"/>
        <v>3.3994736842105264</v>
      </c>
      <c r="E161" s="537">
        <f t="shared" ref="E161:E169" si="19">D161-C161</f>
        <v>-0.18016766600044409</v>
      </c>
    </row>
    <row r="162" spans="1:5" s="506" customFormat="1" x14ac:dyDescent="0.2">
      <c r="A162" s="512">
        <v>2</v>
      </c>
      <c r="B162" s="511" t="s">
        <v>601</v>
      </c>
      <c r="C162" s="536">
        <f t="shared" si="18"/>
        <v>5.0886930983847281</v>
      </c>
      <c r="D162" s="536">
        <f t="shared" si="18"/>
        <v>4.8205280332245621</v>
      </c>
      <c r="E162" s="537">
        <f t="shared" si="19"/>
        <v>-0.26816506516016592</v>
      </c>
    </row>
    <row r="163" spans="1:5" s="506" customFormat="1" x14ac:dyDescent="0.2">
      <c r="A163" s="512">
        <v>3</v>
      </c>
      <c r="B163" s="511" t="s">
        <v>747</v>
      </c>
      <c r="C163" s="536">
        <f t="shared" si="18"/>
        <v>4.3601609657947682</v>
      </c>
      <c r="D163" s="536">
        <f t="shared" si="18"/>
        <v>4.4633715798764344</v>
      </c>
      <c r="E163" s="537">
        <f t="shared" si="19"/>
        <v>0.10321061408166621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3.8095238095238093</v>
      </c>
      <c r="D164" s="536">
        <f t="shared" si="18"/>
        <v>4.2737967914438499</v>
      </c>
      <c r="E164" s="537">
        <f t="shared" si="19"/>
        <v>0.46427298192004063</v>
      </c>
    </row>
    <row r="165" spans="1:5" s="506" customFormat="1" x14ac:dyDescent="0.2">
      <c r="A165" s="512">
        <v>5</v>
      </c>
      <c r="B165" s="511" t="s">
        <v>714</v>
      </c>
      <c r="C165" s="536">
        <f t="shared" si="18"/>
        <v>5.9227799227799229</v>
      </c>
      <c r="D165" s="536">
        <f t="shared" si="18"/>
        <v>5.358585858585859</v>
      </c>
      <c r="E165" s="537">
        <f t="shared" si="19"/>
        <v>-0.56419406419406393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5.32</v>
      </c>
      <c r="D166" s="536">
        <f t="shared" si="18"/>
        <v>6.2647058823529411</v>
      </c>
      <c r="E166" s="537">
        <f t="shared" si="19"/>
        <v>0.94470588235294084</v>
      </c>
    </row>
    <row r="167" spans="1:5" s="506" customFormat="1" x14ac:dyDescent="0.2">
      <c r="A167" s="512">
        <v>7</v>
      </c>
      <c r="B167" s="511" t="s">
        <v>729</v>
      </c>
      <c r="C167" s="536">
        <f t="shared" si="18"/>
        <v>4.6829268292682924</v>
      </c>
      <c r="D167" s="536">
        <f t="shared" si="18"/>
        <v>4.7032258064516128</v>
      </c>
      <c r="E167" s="537">
        <f t="shared" si="19"/>
        <v>2.029897718332041E-2</v>
      </c>
    </row>
    <row r="168" spans="1:5" s="506" customFormat="1" x14ac:dyDescent="0.2">
      <c r="A168" s="512"/>
      <c r="B168" s="516" t="s">
        <v>781</v>
      </c>
      <c r="C168" s="538">
        <f t="shared" si="18"/>
        <v>4.9263110307414104</v>
      </c>
      <c r="D168" s="538">
        <f t="shared" si="18"/>
        <v>4.7421771705597182</v>
      </c>
      <c r="E168" s="539">
        <f t="shared" si="19"/>
        <v>-0.1841338601816922</v>
      </c>
    </row>
    <row r="169" spans="1:5" s="506" customFormat="1" x14ac:dyDescent="0.2">
      <c r="A169" s="512"/>
      <c r="B169" s="516" t="s">
        <v>715</v>
      </c>
      <c r="C169" s="538">
        <f t="shared" si="18"/>
        <v>4.522310126582278</v>
      </c>
      <c r="D169" s="538">
        <f t="shared" si="18"/>
        <v>4.3459148803976388</v>
      </c>
      <c r="E169" s="539">
        <f t="shared" si="19"/>
        <v>-0.1763952461846392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782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622</v>
      </c>
      <c r="C173" s="541">
        <f t="shared" ref="C173:D181" si="20">IF(C137=0,0,C203/C137)</f>
        <v>1.0369999999999999</v>
      </c>
      <c r="D173" s="541">
        <f t="shared" si="20"/>
        <v>1.1143000000000001</v>
      </c>
      <c r="E173" s="542">
        <f t="shared" ref="E173:E181" si="21">D173-C173</f>
        <v>7.7300000000000146E-2</v>
      </c>
    </row>
    <row r="174" spans="1:5" s="506" customFormat="1" x14ac:dyDescent="0.2">
      <c r="A174" s="512">
        <v>2</v>
      </c>
      <c r="B174" s="511" t="s">
        <v>601</v>
      </c>
      <c r="C174" s="541">
        <f t="shared" si="20"/>
        <v>1.4336000000000002</v>
      </c>
      <c r="D174" s="541">
        <f t="shared" si="20"/>
        <v>1.4221999999999999</v>
      </c>
      <c r="E174" s="542">
        <f t="shared" si="21"/>
        <v>-1.1400000000000299E-2</v>
      </c>
    </row>
    <row r="175" spans="1:5" s="506" customFormat="1" x14ac:dyDescent="0.2">
      <c r="A175" s="512">
        <v>0</v>
      </c>
      <c r="B175" s="511" t="s">
        <v>747</v>
      </c>
      <c r="C175" s="541">
        <f t="shared" si="20"/>
        <v>0.83514014084507038</v>
      </c>
      <c r="D175" s="541">
        <f t="shared" si="20"/>
        <v>0.88289805825242718</v>
      </c>
      <c r="E175" s="542">
        <f t="shared" si="21"/>
        <v>4.7757917407356798E-2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0.77679999999999993</v>
      </c>
      <c r="D176" s="541">
        <f t="shared" si="20"/>
        <v>0.8599</v>
      </c>
      <c r="E176" s="542">
        <f t="shared" si="21"/>
        <v>8.3100000000000063E-2</v>
      </c>
    </row>
    <row r="177" spans="1:5" s="506" customFormat="1" x14ac:dyDescent="0.2">
      <c r="A177" s="512">
        <v>5</v>
      </c>
      <c r="B177" s="511" t="s">
        <v>714</v>
      </c>
      <c r="C177" s="541">
        <f t="shared" si="20"/>
        <v>1.0006999999999999</v>
      </c>
      <c r="D177" s="541">
        <f t="shared" si="20"/>
        <v>0.99150000000000005</v>
      </c>
      <c r="E177" s="542">
        <f t="shared" si="21"/>
        <v>-9.1999999999998749E-3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1.2313000000000001</v>
      </c>
      <c r="D178" s="541">
        <f t="shared" si="20"/>
        <v>1.2007000000000001</v>
      </c>
      <c r="E178" s="542">
        <f t="shared" si="21"/>
        <v>-3.0599999999999961E-2</v>
      </c>
    </row>
    <row r="179" spans="1:5" s="506" customFormat="1" x14ac:dyDescent="0.2">
      <c r="A179" s="512">
        <v>7</v>
      </c>
      <c r="B179" s="511" t="s">
        <v>729</v>
      </c>
      <c r="C179" s="541">
        <f t="shared" si="20"/>
        <v>0.88380000000000003</v>
      </c>
      <c r="D179" s="541">
        <f t="shared" si="20"/>
        <v>0.97220000000000006</v>
      </c>
      <c r="E179" s="542">
        <f t="shared" si="21"/>
        <v>8.8400000000000034E-2</v>
      </c>
    </row>
    <row r="180" spans="1:5" s="506" customFormat="1" x14ac:dyDescent="0.2">
      <c r="A180" s="512"/>
      <c r="B180" s="516" t="s">
        <v>783</v>
      </c>
      <c r="C180" s="543">
        <f t="shared" si="20"/>
        <v>1.2979927215189875</v>
      </c>
      <c r="D180" s="543">
        <f t="shared" si="20"/>
        <v>1.2858932349052445</v>
      </c>
      <c r="E180" s="544">
        <f t="shared" si="21"/>
        <v>-1.2099486613742938E-2</v>
      </c>
    </row>
    <row r="181" spans="1:5" s="506" customFormat="1" x14ac:dyDescent="0.2">
      <c r="A181" s="512"/>
      <c r="B181" s="516" t="s">
        <v>692</v>
      </c>
      <c r="C181" s="543">
        <f t="shared" si="20"/>
        <v>1.2196949050632913</v>
      </c>
      <c r="D181" s="543">
        <f t="shared" si="20"/>
        <v>1.2352521745883815</v>
      </c>
      <c r="E181" s="544">
        <f t="shared" si="21"/>
        <v>1.5557269525090289E-2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784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785</v>
      </c>
      <c r="C185" s="513">
        <v>65804567</v>
      </c>
      <c r="D185" s="513">
        <v>69006889</v>
      </c>
      <c r="E185" s="514">
        <f>D185-C185</f>
        <v>3202322</v>
      </c>
    </row>
    <row r="186" spans="1:5" s="506" customFormat="1" ht="25.5" x14ac:dyDescent="0.2">
      <c r="A186" s="512">
        <v>2</v>
      </c>
      <c r="B186" s="511" t="s">
        <v>786</v>
      </c>
      <c r="C186" s="513">
        <v>39914356</v>
      </c>
      <c r="D186" s="513">
        <v>42222944</v>
      </c>
      <c r="E186" s="514">
        <f>D186-C186</f>
        <v>2308588</v>
      </c>
    </row>
    <row r="187" spans="1:5" s="506" customFormat="1" x14ac:dyDescent="0.2">
      <c r="A187" s="512"/>
      <c r="B187" s="511" t="s">
        <v>634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718</v>
      </c>
      <c r="C188" s="546">
        <f>+C185-C186</f>
        <v>25890211</v>
      </c>
      <c r="D188" s="546">
        <f>+D185-D186</f>
        <v>26783945</v>
      </c>
      <c r="E188" s="514">
        <f t="shared" ref="E188:E197" si="22">D188-C188</f>
        <v>893734</v>
      </c>
    </row>
    <row r="189" spans="1:5" s="506" customFormat="1" x14ac:dyDescent="0.2">
      <c r="A189" s="512">
        <v>4</v>
      </c>
      <c r="B189" s="511" t="s">
        <v>636</v>
      </c>
      <c r="C189" s="547">
        <f>IF(C185=0,0,+C188/C185)</f>
        <v>0.39344094460799356</v>
      </c>
      <c r="D189" s="547">
        <f>IF(D185=0,0,+D188/D185)</f>
        <v>0.38813436438208365</v>
      </c>
      <c r="E189" s="523">
        <f t="shared" si="22"/>
        <v>-5.3065802259099071E-3</v>
      </c>
    </row>
    <row r="190" spans="1:5" s="506" customFormat="1" x14ac:dyDescent="0.2">
      <c r="A190" s="512">
        <v>5</v>
      </c>
      <c r="B190" s="511" t="s">
        <v>733</v>
      </c>
      <c r="C190" s="513">
        <v>495412</v>
      </c>
      <c r="D190" s="513">
        <v>0</v>
      </c>
      <c r="E190" s="546">
        <f t="shared" si="22"/>
        <v>-495412</v>
      </c>
    </row>
    <row r="191" spans="1:5" s="506" customFormat="1" x14ac:dyDescent="0.2">
      <c r="A191" s="512">
        <v>6</v>
      </c>
      <c r="B191" s="511" t="s">
        <v>719</v>
      </c>
      <c r="C191" s="513">
        <v>323466</v>
      </c>
      <c r="D191" s="513">
        <v>0</v>
      </c>
      <c r="E191" s="546">
        <f t="shared" si="22"/>
        <v>-323466</v>
      </c>
    </row>
    <row r="192" spans="1:5" ht="29.25" x14ac:dyDescent="0.2">
      <c r="A192" s="512">
        <v>7</v>
      </c>
      <c r="B192" s="548" t="s">
        <v>787</v>
      </c>
      <c r="C192" s="513">
        <v>641511</v>
      </c>
      <c r="D192" s="513">
        <v>616056</v>
      </c>
      <c r="E192" s="546">
        <f t="shared" si="22"/>
        <v>-25455</v>
      </c>
    </row>
    <row r="193" spans="1:5" s="506" customFormat="1" x14ac:dyDescent="0.2">
      <c r="A193" s="512">
        <v>8</v>
      </c>
      <c r="B193" s="511" t="s">
        <v>788</v>
      </c>
      <c r="C193" s="513">
        <v>1438204</v>
      </c>
      <c r="D193" s="513">
        <v>1421695</v>
      </c>
      <c r="E193" s="546">
        <f t="shared" si="22"/>
        <v>-16509</v>
      </c>
    </row>
    <row r="194" spans="1:5" s="506" customFormat="1" x14ac:dyDescent="0.2">
      <c r="A194" s="512">
        <v>9</v>
      </c>
      <c r="B194" s="511" t="s">
        <v>789</v>
      </c>
      <c r="C194" s="513">
        <v>2247042</v>
      </c>
      <c r="D194" s="513">
        <v>2413649</v>
      </c>
      <c r="E194" s="546">
        <f t="shared" si="22"/>
        <v>166607</v>
      </c>
    </row>
    <row r="195" spans="1:5" s="506" customFormat="1" x14ac:dyDescent="0.2">
      <c r="A195" s="512">
        <v>10</v>
      </c>
      <c r="B195" s="511" t="s">
        <v>790</v>
      </c>
      <c r="C195" s="513">
        <f>+C193+C194</f>
        <v>3685246</v>
      </c>
      <c r="D195" s="513">
        <f>+D193+D194</f>
        <v>3835344</v>
      </c>
      <c r="E195" s="549">
        <f t="shared" si="22"/>
        <v>150098</v>
      </c>
    </row>
    <row r="196" spans="1:5" s="506" customFormat="1" x14ac:dyDescent="0.2">
      <c r="A196" s="512">
        <v>11</v>
      </c>
      <c r="B196" s="511" t="s">
        <v>791</v>
      </c>
      <c r="C196" s="513">
        <v>65804567</v>
      </c>
      <c r="D196" s="513">
        <v>69006889</v>
      </c>
      <c r="E196" s="546">
        <f t="shared" si="22"/>
        <v>3202322</v>
      </c>
    </row>
    <row r="197" spans="1:5" s="506" customFormat="1" x14ac:dyDescent="0.2">
      <c r="A197" s="512">
        <v>12</v>
      </c>
      <c r="B197" s="511" t="s">
        <v>676</v>
      </c>
      <c r="C197" s="513">
        <v>100402359</v>
      </c>
      <c r="D197" s="513">
        <v>108897163</v>
      </c>
      <c r="E197" s="546">
        <f t="shared" si="22"/>
        <v>8494804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792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793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622</v>
      </c>
      <c r="C203" s="553">
        <v>1966.1519999999998</v>
      </c>
      <c r="D203" s="553">
        <v>2117.17</v>
      </c>
      <c r="E203" s="554">
        <f t="shared" ref="E203:E211" si="23">D203-C203</f>
        <v>151.01800000000026</v>
      </c>
    </row>
    <row r="204" spans="1:5" s="506" customFormat="1" x14ac:dyDescent="0.2">
      <c r="A204" s="512">
        <v>2</v>
      </c>
      <c r="B204" s="511" t="s">
        <v>601</v>
      </c>
      <c r="C204" s="553">
        <v>4881.4080000000004</v>
      </c>
      <c r="D204" s="553">
        <v>4794.2361999999994</v>
      </c>
      <c r="E204" s="554">
        <f t="shared" si="23"/>
        <v>-87.171800000000985</v>
      </c>
    </row>
    <row r="205" spans="1:5" s="506" customFormat="1" x14ac:dyDescent="0.2">
      <c r="A205" s="512">
        <v>3</v>
      </c>
      <c r="B205" s="511" t="s">
        <v>747</v>
      </c>
      <c r="C205" s="553">
        <f>C206+C207</f>
        <v>830.12929999999994</v>
      </c>
      <c r="D205" s="553">
        <f>D206+D207</f>
        <v>1000.3235</v>
      </c>
      <c r="E205" s="554">
        <f t="shared" si="23"/>
        <v>170.19420000000002</v>
      </c>
    </row>
    <row r="206" spans="1:5" s="506" customFormat="1" x14ac:dyDescent="0.2">
      <c r="A206" s="512">
        <v>4</v>
      </c>
      <c r="B206" s="511" t="s">
        <v>114</v>
      </c>
      <c r="C206" s="553">
        <v>570.94799999999998</v>
      </c>
      <c r="D206" s="553">
        <v>804.00649999999996</v>
      </c>
      <c r="E206" s="554">
        <f t="shared" si="23"/>
        <v>233.05849999999998</v>
      </c>
    </row>
    <row r="207" spans="1:5" s="506" customFormat="1" x14ac:dyDescent="0.2">
      <c r="A207" s="512">
        <v>5</v>
      </c>
      <c r="B207" s="511" t="s">
        <v>714</v>
      </c>
      <c r="C207" s="553">
        <v>259.18129999999996</v>
      </c>
      <c r="D207" s="553">
        <v>196.31700000000001</v>
      </c>
      <c r="E207" s="554">
        <f t="shared" si="23"/>
        <v>-62.864299999999957</v>
      </c>
    </row>
    <row r="208" spans="1:5" s="506" customFormat="1" x14ac:dyDescent="0.2">
      <c r="A208" s="512">
        <v>6</v>
      </c>
      <c r="B208" s="511" t="s">
        <v>418</v>
      </c>
      <c r="C208" s="553">
        <v>30.782500000000002</v>
      </c>
      <c r="D208" s="553">
        <v>40.823800000000006</v>
      </c>
      <c r="E208" s="554">
        <f t="shared" si="23"/>
        <v>10.041300000000003</v>
      </c>
    </row>
    <row r="209" spans="1:5" s="506" customFormat="1" x14ac:dyDescent="0.2">
      <c r="A209" s="512">
        <v>7</v>
      </c>
      <c r="B209" s="511" t="s">
        <v>729</v>
      </c>
      <c r="C209" s="553">
        <v>108.70740000000001</v>
      </c>
      <c r="D209" s="553">
        <v>150.691</v>
      </c>
      <c r="E209" s="554">
        <f t="shared" si="23"/>
        <v>41.983599999999996</v>
      </c>
    </row>
    <row r="210" spans="1:5" s="506" customFormat="1" x14ac:dyDescent="0.2">
      <c r="A210" s="512"/>
      <c r="B210" s="516" t="s">
        <v>794</v>
      </c>
      <c r="C210" s="555">
        <f>C204+C205+C208</f>
        <v>5742.3198000000002</v>
      </c>
      <c r="D210" s="555">
        <f>D204+D205+D208</f>
        <v>5835.3834999999999</v>
      </c>
      <c r="E210" s="556">
        <f t="shared" si="23"/>
        <v>93.063699999999699</v>
      </c>
    </row>
    <row r="211" spans="1:5" s="506" customFormat="1" x14ac:dyDescent="0.2">
      <c r="A211" s="512"/>
      <c r="B211" s="516" t="s">
        <v>693</v>
      </c>
      <c r="C211" s="555">
        <f>C210+C203</f>
        <v>7708.4718000000003</v>
      </c>
      <c r="D211" s="555">
        <f>D210+D203</f>
        <v>7952.5535</v>
      </c>
      <c r="E211" s="556">
        <f t="shared" si="23"/>
        <v>244.08169999999973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795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622</v>
      </c>
      <c r="C215" s="557">
        <f>IF(C14*C137=0,0,C25/C14*C137)</f>
        <v>4305.1185017007301</v>
      </c>
      <c r="D215" s="557">
        <f>IF(D14*D137=0,0,D25/D14*D137)</f>
        <v>4610.5707060319401</v>
      </c>
      <c r="E215" s="557">
        <f t="shared" ref="E215:E223" si="24">D215-C215</f>
        <v>305.45220433120994</v>
      </c>
    </row>
    <row r="216" spans="1:5" s="506" customFormat="1" x14ac:dyDescent="0.2">
      <c r="A216" s="512">
        <v>2</v>
      </c>
      <c r="B216" s="511" t="s">
        <v>601</v>
      </c>
      <c r="C216" s="557">
        <f>IF(C15*C138=0,0,C26/C15*C138)</f>
        <v>2223.2982973180451</v>
      </c>
      <c r="D216" s="557">
        <f>IF(D15*D138=0,0,D26/D15*D138)</f>
        <v>2436.0088668945282</v>
      </c>
      <c r="E216" s="557">
        <f t="shared" si="24"/>
        <v>212.71056957648307</v>
      </c>
    </row>
    <row r="217" spans="1:5" s="506" customFormat="1" x14ac:dyDescent="0.2">
      <c r="A217" s="512">
        <v>3</v>
      </c>
      <c r="B217" s="511" t="s">
        <v>747</v>
      </c>
      <c r="C217" s="557">
        <f>C218+C219</f>
        <v>2125.6176623209262</v>
      </c>
      <c r="D217" s="557">
        <f>D218+D219</f>
        <v>2240.4309301939525</v>
      </c>
      <c r="E217" s="557">
        <f t="shared" si="24"/>
        <v>114.81326787302623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1751.4995494563032</v>
      </c>
      <c r="D218" s="557">
        <f t="shared" si="25"/>
        <v>1897.5958566296431</v>
      </c>
      <c r="E218" s="557">
        <f t="shared" si="24"/>
        <v>146.09630717333994</v>
      </c>
    </row>
    <row r="219" spans="1:5" s="506" customFormat="1" x14ac:dyDescent="0.2">
      <c r="A219" s="512">
        <v>5</v>
      </c>
      <c r="B219" s="511" t="s">
        <v>714</v>
      </c>
      <c r="C219" s="557">
        <f t="shared" si="25"/>
        <v>374.11811286462307</v>
      </c>
      <c r="D219" s="557">
        <f t="shared" si="25"/>
        <v>342.83507356430943</v>
      </c>
      <c r="E219" s="557">
        <f t="shared" si="24"/>
        <v>-31.283039300313646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23.470691073917173</v>
      </c>
      <c r="D220" s="557">
        <f t="shared" si="25"/>
        <v>19.095450643776825</v>
      </c>
      <c r="E220" s="557">
        <f t="shared" si="24"/>
        <v>-4.375240430140348</v>
      </c>
    </row>
    <row r="221" spans="1:5" s="506" customFormat="1" x14ac:dyDescent="0.2">
      <c r="A221" s="512">
        <v>7</v>
      </c>
      <c r="B221" s="511" t="s">
        <v>729</v>
      </c>
      <c r="C221" s="557">
        <f t="shared" si="25"/>
        <v>382.40280515911371</v>
      </c>
      <c r="D221" s="557">
        <f t="shared" si="25"/>
        <v>533.35311293252278</v>
      </c>
      <c r="E221" s="557">
        <f t="shared" si="24"/>
        <v>150.95030777340907</v>
      </c>
    </row>
    <row r="222" spans="1:5" s="506" customFormat="1" x14ac:dyDescent="0.2">
      <c r="A222" s="512"/>
      <c r="B222" s="516" t="s">
        <v>796</v>
      </c>
      <c r="C222" s="558">
        <f>C216+C218+C219+C220</f>
        <v>4372.3866507128878</v>
      </c>
      <c r="D222" s="558">
        <f>D216+D218+D219+D220</f>
        <v>4695.5352477322576</v>
      </c>
      <c r="E222" s="558">
        <f t="shared" si="24"/>
        <v>323.14859701936984</v>
      </c>
    </row>
    <row r="223" spans="1:5" s="506" customFormat="1" x14ac:dyDescent="0.2">
      <c r="A223" s="512"/>
      <c r="B223" s="516" t="s">
        <v>797</v>
      </c>
      <c r="C223" s="558">
        <f>C215+C222</f>
        <v>8677.5051524136179</v>
      </c>
      <c r="D223" s="558">
        <f>D215+D222</f>
        <v>9306.1059537641977</v>
      </c>
      <c r="E223" s="558">
        <f t="shared" si="24"/>
        <v>628.60080135057979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798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622</v>
      </c>
      <c r="C227" s="560">
        <f t="shared" ref="C227:D235" si="26">IF(C203=0,0,C47/C203)</f>
        <v>6858.5546793940657</v>
      </c>
      <c r="D227" s="560">
        <f t="shared" si="26"/>
        <v>6522.3019407983293</v>
      </c>
      <c r="E227" s="560">
        <f t="shared" ref="E227:E235" si="27">D227-C227</f>
        <v>-336.25273859573645</v>
      </c>
    </row>
    <row r="228" spans="1:5" s="506" customFormat="1" x14ac:dyDescent="0.2">
      <c r="A228" s="512">
        <v>2</v>
      </c>
      <c r="B228" s="511" t="s">
        <v>601</v>
      </c>
      <c r="C228" s="560">
        <f t="shared" si="26"/>
        <v>6747.1883112413461</v>
      </c>
      <c r="D228" s="560">
        <f t="shared" si="26"/>
        <v>6884.0120976934768</v>
      </c>
      <c r="E228" s="560">
        <f t="shared" si="27"/>
        <v>136.82378645213066</v>
      </c>
    </row>
    <row r="229" spans="1:5" s="506" customFormat="1" x14ac:dyDescent="0.2">
      <c r="A229" s="512">
        <v>3</v>
      </c>
      <c r="B229" s="511" t="s">
        <v>747</v>
      </c>
      <c r="C229" s="560">
        <f t="shared" si="26"/>
        <v>4639.2327074830391</v>
      </c>
      <c r="D229" s="560">
        <f t="shared" si="26"/>
        <v>5382.9326212970109</v>
      </c>
      <c r="E229" s="560">
        <f t="shared" si="27"/>
        <v>743.69991381397176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5203.8714558944075</v>
      </c>
      <c r="D230" s="560">
        <f t="shared" si="26"/>
        <v>5452.5666148221444</v>
      </c>
      <c r="E230" s="560">
        <f t="shared" si="27"/>
        <v>248.69515892773688</v>
      </c>
    </row>
    <row r="231" spans="1:5" s="506" customFormat="1" x14ac:dyDescent="0.2">
      <c r="A231" s="512">
        <v>5</v>
      </c>
      <c r="B231" s="511" t="s">
        <v>714</v>
      </c>
      <c r="C231" s="560">
        <f t="shared" si="26"/>
        <v>3395.3954239754185</v>
      </c>
      <c r="D231" s="560">
        <f t="shared" si="26"/>
        <v>5097.7500674928815</v>
      </c>
      <c r="E231" s="560">
        <f t="shared" si="27"/>
        <v>1702.354643517463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5428.4739706001783</v>
      </c>
      <c r="D232" s="560">
        <f t="shared" si="26"/>
        <v>6732.2493251485648</v>
      </c>
      <c r="E232" s="560">
        <f t="shared" si="27"/>
        <v>1303.7753545483865</v>
      </c>
    </row>
    <row r="233" spans="1:5" s="506" customFormat="1" x14ac:dyDescent="0.2">
      <c r="A233" s="512">
        <v>7</v>
      </c>
      <c r="B233" s="511" t="s">
        <v>729</v>
      </c>
      <c r="C233" s="560">
        <f t="shared" si="26"/>
        <v>2863.2181433830629</v>
      </c>
      <c r="D233" s="560">
        <f t="shared" si="26"/>
        <v>1827.88620421923</v>
      </c>
      <c r="E233" s="560">
        <f t="shared" si="27"/>
        <v>-1035.3319391638329</v>
      </c>
    </row>
    <row r="234" spans="1:5" x14ac:dyDescent="0.2">
      <c r="A234" s="512"/>
      <c r="B234" s="516" t="s">
        <v>799</v>
      </c>
      <c r="C234" s="561">
        <f t="shared" si="26"/>
        <v>6435.3859219056376</v>
      </c>
      <c r="D234" s="561">
        <f t="shared" si="26"/>
        <v>6625.6296608440562</v>
      </c>
      <c r="E234" s="561">
        <f t="shared" si="27"/>
        <v>190.24373893841857</v>
      </c>
    </row>
    <row r="235" spans="1:5" s="506" customFormat="1" x14ac:dyDescent="0.2">
      <c r="A235" s="512"/>
      <c r="B235" s="516" t="s">
        <v>800</v>
      </c>
      <c r="C235" s="561">
        <f t="shared" si="26"/>
        <v>6543.3209472206927</v>
      </c>
      <c r="D235" s="561">
        <f t="shared" si="26"/>
        <v>6598.1212198069461</v>
      </c>
      <c r="E235" s="561">
        <f t="shared" si="27"/>
        <v>54.800272586253413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801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622</v>
      </c>
      <c r="C239" s="560">
        <f t="shared" ref="C239:D247" si="28">IF(C215=0,0,C58/C215)</f>
        <v>5283.0485365304021</v>
      </c>
      <c r="D239" s="560">
        <f t="shared" si="28"/>
        <v>5348.8272000115285</v>
      </c>
      <c r="E239" s="562">
        <f t="shared" ref="E239:E247" si="29">D239-C239</f>
        <v>65.778663481126387</v>
      </c>
    </row>
    <row r="240" spans="1:5" s="506" customFormat="1" x14ac:dyDescent="0.2">
      <c r="A240" s="512">
        <v>2</v>
      </c>
      <c r="B240" s="511" t="s">
        <v>601</v>
      </c>
      <c r="C240" s="560">
        <f t="shared" si="28"/>
        <v>6066.9034003539518</v>
      </c>
      <c r="D240" s="560">
        <f t="shared" si="28"/>
        <v>6332.7146340259696</v>
      </c>
      <c r="E240" s="562">
        <f t="shared" si="29"/>
        <v>265.81123367201781</v>
      </c>
    </row>
    <row r="241" spans="1:5" x14ac:dyDescent="0.2">
      <c r="A241" s="512">
        <v>3</v>
      </c>
      <c r="B241" s="511" t="s">
        <v>747</v>
      </c>
      <c r="C241" s="560">
        <f t="shared" si="28"/>
        <v>2805.7449397969685</v>
      </c>
      <c r="D241" s="560">
        <f t="shared" si="28"/>
        <v>3495.8649670677278</v>
      </c>
      <c r="E241" s="562">
        <f t="shared" si="29"/>
        <v>690.12002727075924</v>
      </c>
    </row>
    <row r="242" spans="1:5" x14ac:dyDescent="0.2">
      <c r="A242" s="512">
        <v>4</v>
      </c>
      <c r="B242" s="511" t="s">
        <v>114</v>
      </c>
      <c r="C242" s="560">
        <f t="shared" si="28"/>
        <v>2811.6181939805056</v>
      </c>
      <c r="D242" s="560">
        <f t="shared" si="28"/>
        <v>3518.6907563443165</v>
      </c>
      <c r="E242" s="562">
        <f t="shared" si="29"/>
        <v>707.0725623638109</v>
      </c>
    </row>
    <row r="243" spans="1:5" x14ac:dyDescent="0.2">
      <c r="A243" s="512">
        <v>5</v>
      </c>
      <c r="B243" s="511" t="s">
        <v>714</v>
      </c>
      <c r="C243" s="560">
        <f t="shared" si="28"/>
        <v>2778.248270422851</v>
      </c>
      <c r="D243" s="560">
        <f t="shared" si="28"/>
        <v>3369.5239754496934</v>
      </c>
      <c r="E243" s="562">
        <f t="shared" si="29"/>
        <v>591.27570502684239</v>
      </c>
    </row>
    <row r="244" spans="1:5" x14ac:dyDescent="0.2">
      <c r="A244" s="512">
        <v>6</v>
      </c>
      <c r="B244" s="511" t="s">
        <v>418</v>
      </c>
      <c r="C244" s="560">
        <f t="shared" si="28"/>
        <v>6546.4625441195576</v>
      </c>
      <c r="D244" s="560">
        <f t="shared" si="28"/>
        <v>8207.9236004351296</v>
      </c>
      <c r="E244" s="562">
        <f t="shared" si="29"/>
        <v>1661.461056315572</v>
      </c>
    </row>
    <row r="245" spans="1:5" x14ac:dyDescent="0.2">
      <c r="A245" s="512">
        <v>7</v>
      </c>
      <c r="B245" s="511" t="s">
        <v>729</v>
      </c>
      <c r="C245" s="560">
        <f t="shared" si="28"/>
        <v>2530.5096797011238</v>
      </c>
      <c r="D245" s="560">
        <f t="shared" si="28"/>
        <v>1777.0703442391116</v>
      </c>
      <c r="E245" s="562">
        <f t="shared" si="29"/>
        <v>-753.4393354620122</v>
      </c>
    </row>
    <row r="246" spans="1:5" ht="25.5" x14ac:dyDescent="0.2">
      <c r="A246" s="512"/>
      <c r="B246" s="516" t="s">
        <v>802</v>
      </c>
      <c r="C246" s="561">
        <f t="shared" si="28"/>
        <v>4484.0789633284958</v>
      </c>
      <c r="D246" s="561">
        <f t="shared" si="28"/>
        <v>4986.764184404472</v>
      </c>
      <c r="E246" s="563">
        <f t="shared" si="29"/>
        <v>502.68522107597619</v>
      </c>
    </row>
    <row r="247" spans="1:5" x14ac:dyDescent="0.2">
      <c r="A247" s="512"/>
      <c r="B247" s="516" t="s">
        <v>803</v>
      </c>
      <c r="C247" s="561">
        <f t="shared" si="28"/>
        <v>4880.4669379217157</v>
      </c>
      <c r="D247" s="561">
        <f t="shared" si="28"/>
        <v>5166.1428785424068</v>
      </c>
      <c r="E247" s="563">
        <f t="shared" si="29"/>
        <v>285.67594062069111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731</v>
      </c>
      <c r="B249" s="550" t="s">
        <v>728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5701630.5723148603</v>
      </c>
      <c r="D251" s="546">
        <f>((IF((IF(D15=0,0,D26/D15)*D138)=0,0,D59/(IF(D15=0,0,D26/D15)*D138)))-(IF((IF(D17=0,0,D28/D17)*D140)=0,0,D61/(IF(D17=0,0,D28/D17)*D140))))*(IF(D17=0,0,D28/D17)*D140)</f>
        <v>5339880.0507455869</v>
      </c>
      <c r="E251" s="546">
        <f>D251-C251</f>
        <v>-361750.52156927343</v>
      </c>
    </row>
    <row r="252" spans="1:5" x14ac:dyDescent="0.2">
      <c r="A252" s="512">
        <v>2</v>
      </c>
      <c r="B252" s="511" t="s">
        <v>714</v>
      </c>
      <c r="C252" s="546">
        <f>IF(C231=0,0,(C228-C231)*C207)+IF(C243=0,0,(C240-C243)*C219)</f>
        <v>2099067.4889247217</v>
      </c>
      <c r="D252" s="546">
        <f>IF(D231=0,0,(D228-D231)*D207)+IF(D243=0,0,(D240-D243)*D219)</f>
        <v>1366559.2904009623</v>
      </c>
      <c r="E252" s="546">
        <f>D252-C252</f>
        <v>-732508.19852375938</v>
      </c>
    </row>
    <row r="253" spans="1:5" x14ac:dyDescent="0.2">
      <c r="A253" s="512">
        <v>3</v>
      </c>
      <c r="B253" s="511" t="s">
        <v>729</v>
      </c>
      <c r="C253" s="546">
        <f>IF(C233=0,0,(C228-C233)*C209+IF(C221=0,0,(C240-C245)*C221))</f>
        <v>1774543.177550154</v>
      </c>
      <c r="D253" s="546">
        <f>IF(D233=0,0,(D228-D233)*D209+IF(D221=0,0,(D240-D245)*D221))</f>
        <v>3191679.7303846204</v>
      </c>
      <c r="E253" s="546">
        <f>D253-C253</f>
        <v>1417136.5528344663</v>
      </c>
    </row>
    <row r="254" spans="1:5" ht="15" customHeight="1" x14ac:dyDescent="0.2">
      <c r="A254" s="512"/>
      <c r="B254" s="516" t="s">
        <v>730</v>
      </c>
      <c r="C254" s="564">
        <f>+C251+C252+C253</f>
        <v>9575241.2387897354</v>
      </c>
      <c r="D254" s="564">
        <f>+D251+D252+D253</f>
        <v>9898119.0715311691</v>
      </c>
      <c r="E254" s="564">
        <f>D254-C254</f>
        <v>322877.83274143375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804</v>
      </c>
      <c r="B256" s="550" t="s">
        <v>805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696</v>
      </c>
      <c r="C258" s="546">
        <f>+C44</f>
        <v>176391805</v>
      </c>
      <c r="D258" s="549">
        <f>+D44</f>
        <v>188222806</v>
      </c>
      <c r="E258" s="546">
        <f t="shared" ref="E258:E271" si="30">D258-C258</f>
        <v>11831001</v>
      </c>
    </row>
    <row r="259" spans="1:5" x14ac:dyDescent="0.2">
      <c r="A259" s="512">
        <v>2</v>
      </c>
      <c r="B259" s="511" t="s">
        <v>713</v>
      </c>
      <c r="C259" s="546">
        <f>+(C43-C76)</f>
        <v>53531656</v>
      </c>
      <c r="D259" s="549">
        <f>+(D43-D76)</f>
        <v>57137300</v>
      </c>
      <c r="E259" s="546">
        <f t="shared" si="30"/>
        <v>3605644</v>
      </c>
    </row>
    <row r="260" spans="1:5" x14ac:dyDescent="0.2">
      <c r="A260" s="512">
        <v>3</v>
      </c>
      <c r="B260" s="511" t="s">
        <v>717</v>
      </c>
      <c r="C260" s="546">
        <f>C195</f>
        <v>3685246</v>
      </c>
      <c r="D260" s="546">
        <f>D195</f>
        <v>3835344</v>
      </c>
      <c r="E260" s="546">
        <f t="shared" si="30"/>
        <v>150098</v>
      </c>
    </row>
    <row r="261" spans="1:5" x14ac:dyDescent="0.2">
      <c r="A261" s="512">
        <v>4</v>
      </c>
      <c r="B261" s="511" t="s">
        <v>718</v>
      </c>
      <c r="C261" s="546">
        <f>C188</f>
        <v>25890211</v>
      </c>
      <c r="D261" s="546">
        <f>D188</f>
        <v>26783945</v>
      </c>
      <c r="E261" s="546">
        <f t="shared" si="30"/>
        <v>893734</v>
      </c>
    </row>
    <row r="262" spans="1:5" x14ac:dyDescent="0.2">
      <c r="A262" s="512">
        <v>5</v>
      </c>
      <c r="B262" s="511" t="s">
        <v>719</v>
      </c>
      <c r="C262" s="546">
        <f>C191</f>
        <v>323466</v>
      </c>
      <c r="D262" s="546">
        <f>D191</f>
        <v>0</v>
      </c>
      <c r="E262" s="546">
        <f t="shared" si="30"/>
        <v>-323466</v>
      </c>
    </row>
    <row r="263" spans="1:5" x14ac:dyDescent="0.2">
      <c r="A263" s="512">
        <v>6</v>
      </c>
      <c r="B263" s="511" t="s">
        <v>720</v>
      </c>
      <c r="C263" s="546">
        <f>+C259+C260+C261+C262</f>
        <v>83430579</v>
      </c>
      <c r="D263" s="546">
        <f>+D259+D260+D261+D262</f>
        <v>87756589</v>
      </c>
      <c r="E263" s="546">
        <f t="shared" si="30"/>
        <v>4326010</v>
      </c>
    </row>
    <row r="264" spans="1:5" x14ac:dyDescent="0.2">
      <c r="A264" s="512">
        <v>7</v>
      </c>
      <c r="B264" s="511" t="s">
        <v>620</v>
      </c>
      <c r="C264" s="546">
        <f>+C258-C263</f>
        <v>92961226</v>
      </c>
      <c r="D264" s="546">
        <f>+D258-D263</f>
        <v>100466217</v>
      </c>
      <c r="E264" s="546">
        <f t="shared" si="30"/>
        <v>7504991</v>
      </c>
    </row>
    <row r="265" spans="1:5" x14ac:dyDescent="0.2">
      <c r="A265" s="512">
        <v>8</v>
      </c>
      <c r="B265" s="511" t="s">
        <v>806</v>
      </c>
      <c r="C265" s="565">
        <f>C192</f>
        <v>641511</v>
      </c>
      <c r="D265" s="565">
        <f>D192</f>
        <v>616056</v>
      </c>
      <c r="E265" s="546">
        <f t="shared" si="30"/>
        <v>-25455</v>
      </c>
    </row>
    <row r="266" spans="1:5" x14ac:dyDescent="0.2">
      <c r="A266" s="512">
        <v>9</v>
      </c>
      <c r="B266" s="511" t="s">
        <v>807</v>
      </c>
      <c r="C266" s="546">
        <f>+C264+C265</f>
        <v>93602737</v>
      </c>
      <c r="D266" s="546">
        <f>+D264+D265</f>
        <v>101082273</v>
      </c>
      <c r="E266" s="565">
        <f t="shared" si="30"/>
        <v>7479536</v>
      </c>
    </row>
    <row r="267" spans="1:5" x14ac:dyDescent="0.2">
      <c r="A267" s="512">
        <v>10</v>
      </c>
      <c r="B267" s="511" t="s">
        <v>808</v>
      </c>
      <c r="C267" s="566">
        <f>IF(C258=0,0,C266/C258)</f>
        <v>0.5306524132456153</v>
      </c>
      <c r="D267" s="566">
        <f>IF(D258=0,0,D266/D258)</f>
        <v>0.53703520390616211</v>
      </c>
      <c r="E267" s="567">
        <f t="shared" si="30"/>
        <v>6.382790660546811E-3</v>
      </c>
    </row>
    <row r="268" spans="1:5" x14ac:dyDescent="0.2">
      <c r="A268" s="512">
        <v>11</v>
      </c>
      <c r="B268" s="511" t="s">
        <v>682</v>
      </c>
      <c r="C268" s="546">
        <f>+C260*C267</f>
        <v>1955584.6833037508</v>
      </c>
      <c r="D268" s="568">
        <f>+D260*D267</f>
        <v>2059714.7470902754</v>
      </c>
      <c r="E268" s="546">
        <f t="shared" si="30"/>
        <v>104130.06378652458</v>
      </c>
    </row>
    <row r="269" spans="1:5" x14ac:dyDescent="0.2">
      <c r="A269" s="512">
        <v>12</v>
      </c>
      <c r="B269" s="511" t="s">
        <v>809</v>
      </c>
      <c r="C269" s="546">
        <f>((C17+C18+C28+C29)*C267)-(C50+C51+C61+C62)</f>
        <v>4984805.0717305411</v>
      </c>
      <c r="D269" s="568">
        <f>((D17+D18+D28+D29)*D267)-(D50+D51+D61+D62)</f>
        <v>5123223.0268830657</v>
      </c>
      <c r="E269" s="546">
        <f t="shared" si="30"/>
        <v>138417.95515252464</v>
      </c>
    </row>
    <row r="270" spans="1:5" s="569" customFormat="1" x14ac:dyDescent="0.2">
      <c r="A270" s="570">
        <v>13</v>
      </c>
      <c r="B270" s="571" t="s">
        <v>810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811</v>
      </c>
      <c r="C271" s="546">
        <f>+C268+C269+C270</f>
        <v>6940389.7550342921</v>
      </c>
      <c r="D271" s="546">
        <f>+D268+D269+D270</f>
        <v>7182937.7739733411</v>
      </c>
      <c r="E271" s="549">
        <f t="shared" si="30"/>
        <v>242548.01893904898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812</v>
      </c>
      <c r="B273" s="550" t="s">
        <v>813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814</v>
      </c>
      <c r="C275" s="340"/>
      <c r="D275" s="340"/>
      <c r="E275" s="520"/>
    </row>
    <row r="276" spans="1:5" x14ac:dyDescent="0.2">
      <c r="A276" s="512">
        <v>1</v>
      </c>
      <c r="B276" s="511" t="s">
        <v>622</v>
      </c>
      <c r="C276" s="547">
        <f t="shared" ref="C276:D284" si="31">IF(C14=0,0,+C47/C14)</f>
        <v>0.66522415134221258</v>
      </c>
      <c r="D276" s="547">
        <f t="shared" si="31"/>
        <v>0.68569288249657601</v>
      </c>
      <c r="E276" s="574">
        <f t="shared" ref="E276:E284" si="32">D276-C276</f>
        <v>2.0468731154363429E-2</v>
      </c>
    </row>
    <row r="277" spans="1:5" x14ac:dyDescent="0.2">
      <c r="A277" s="512">
        <v>2</v>
      </c>
      <c r="B277" s="511" t="s">
        <v>601</v>
      </c>
      <c r="C277" s="547">
        <f t="shared" si="31"/>
        <v>0.66797400700513443</v>
      </c>
      <c r="D277" s="547">
        <f t="shared" si="31"/>
        <v>0.67674305692854564</v>
      </c>
      <c r="E277" s="574">
        <f t="shared" si="32"/>
        <v>8.7690499234112096E-3</v>
      </c>
    </row>
    <row r="278" spans="1:5" x14ac:dyDescent="0.2">
      <c r="A278" s="512">
        <v>3</v>
      </c>
      <c r="B278" s="511" t="s">
        <v>747</v>
      </c>
      <c r="C278" s="547">
        <f t="shared" si="31"/>
        <v>0.4213862813988426</v>
      </c>
      <c r="D278" s="547">
        <f t="shared" si="31"/>
        <v>0.46834015852512884</v>
      </c>
      <c r="E278" s="574">
        <f t="shared" si="32"/>
        <v>4.6953877126286236E-2</v>
      </c>
    </row>
    <row r="279" spans="1:5" x14ac:dyDescent="0.2">
      <c r="A279" s="512">
        <v>4</v>
      </c>
      <c r="B279" s="511" t="s">
        <v>114</v>
      </c>
      <c r="C279" s="547">
        <f t="shared" si="31"/>
        <v>0.50248813771213097</v>
      </c>
      <c r="D279" s="547">
        <f t="shared" si="31"/>
        <v>0.47581932298597829</v>
      </c>
      <c r="E279" s="574">
        <f t="shared" si="32"/>
        <v>-2.6668814726152679E-2</v>
      </c>
    </row>
    <row r="280" spans="1:5" x14ac:dyDescent="0.2">
      <c r="A280" s="512">
        <v>5</v>
      </c>
      <c r="B280" s="511" t="s">
        <v>714</v>
      </c>
      <c r="C280" s="547">
        <f t="shared" si="31"/>
        <v>0.27275575918031597</v>
      </c>
      <c r="D280" s="547">
        <f t="shared" si="31"/>
        <v>0.43816999038523846</v>
      </c>
      <c r="E280" s="574">
        <f t="shared" si="32"/>
        <v>0.16541423120492249</v>
      </c>
    </row>
    <row r="281" spans="1:5" x14ac:dyDescent="0.2">
      <c r="A281" s="512">
        <v>6</v>
      </c>
      <c r="B281" s="511" t="s">
        <v>418</v>
      </c>
      <c r="C281" s="547">
        <f t="shared" si="31"/>
        <v>0.46297491764353854</v>
      </c>
      <c r="D281" s="547">
        <f t="shared" si="31"/>
        <v>0.40674263726505844</v>
      </c>
      <c r="E281" s="574">
        <f t="shared" si="32"/>
        <v>-5.6232280378480104E-2</v>
      </c>
    </row>
    <row r="282" spans="1:5" x14ac:dyDescent="0.2">
      <c r="A282" s="512">
        <v>7</v>
      </c>
      <c r="B282" s="511" t="s">
        <v>729</v>
      </c>
      <c r="C282" s="547">
        <f t="shared" si="31"/>
        <v>0.26598251069688028</v>
      </c>
      <c r="D282" s="547">
        <f t="shared" si="31"/>
        <v>0.2530716797239278</v>
      </c>
      <c r="E282" s="574">
        <f t="shared" si="32"/>
        <v>-1.2910830972952481E-2</v>
      </c>
    </row>
    <row r="283" spans="1:5" ht="29.25" customHeight="1" x14ac:dyDescent="0.2">
      <c r="A283" s="512"/>
      <c r="B283" s="516" t="s">
        <v>815</v>
      </c>
      <c r="C283" s="575">
        <f t="shared" si="31"/>
        <v>0.62839342503393036</v>
      </c>
      <c r="D283" s="575">
        <f t="shared" si="31"/>
        <v>0.63443150184731001</v>
      </c>
      <c r="E283" s="576">
        <f t="shared" si="32"/>
        <v>6.0380768133796447E-3</v>
      </c>
    </row>
    <row r="284" spans="1:5" x14ac:dyDescent="0.2">
      <c r="A284" s="512"/>
      <c r="B284" s="516" t="s">
        <v>816</v>
      </c>
      <c r="C284" s="575">
        <f t="shared" si="31"/>
        <v>0.63783476521463833</v>
      </c>
      <c r="D284" s="575">
        <f t="shared" si="31"/>
        <v>0.64716373468516686</v>
      </c>
      <c r="E284" s="576">
        <f t="shared" si="32"/>
        <v>9.3289694705285253E-3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817</v>
      </c>
      <c r="C286" s="520"/>
      <c r="D286" s="520"/>
      <c r="E286" s="520"/>
    </row>
    <row r="287" spans="1:5" x14ac:dyDescent="0.2">
      <c r="A287" s="512">
        <v>1</v>
      </c>
      <c r="B287" s="511" t="s">
        <v>622</v>
      </c>
      <c r="C287" s="547">
        <f t="shared" ref="C287:D295" si="33">IF(C25=0,0,+C58/C25)</f>
        <v>0.4941300285991293</v>
      </c>
      <c r="D287" s="547">
        <f t="shared" si="33"/>
        <v>0.50464407517373955</v>
      </c>
      <c r="E287" s="574">
        <f t="shared" ref="E287:E295" si="34">D287-C287</f>
        <v>1.0514046574610247E-2</v>
      </c>
    </row>
    <row r="288" spans="1:5" x14ac:dyDescent="0.2">
      <c r="A288" s="512">
        <v>2</v>
      </c>
      <c r="B288" s="511" t="s">
        <v>601</v>
      </c>
      <c r="C288" s="547">
        <f t="shared" si="33"/>
        <v>0.41896314345544261</v>
      </c>
      <c r="D288" s="547">
        <f t="shared" si="33"/>
        <v>0.43773515616041786</v>
      </c>
      <c r="E288" s="574">
        <f t="shared" si="34"/>
        <v>1.8772012704975249E-2</v>
      </c>
    </row>
    <row r="289" spans="1:5" x14ac:dyDescent="0.2">
      <c r="A289" s="512">
        <v>3</v>
      </c>
      <c r="B289" s="511" t="s">
        <v>747</v>
      </c>
      <c r="C289" s="547">
        <f t="shared" si="33"/>
        <v>0.31806404595441623</v>
      </c>
      <c r="D289" s="547">
        <f t="shared" si="33"/>
        <v>0.34574304120001237</v>
      </c>
      <c r="E289" s="574">
        <f t="shared" si="34"/>
        <v>2.7678995245596139E-2</v>
      </c>
    </row>
    <row r="290" spans="1:5" x14ac:dyDescent="0.2">
      <c r="A290" s="512">
        <v>4</v>
      </c>
      <c r="B290" s="511" t="s">
        <v>114</v>
      </c>
      <c r="C290" s="547">
        <f t="shared" si="33"/>
        <v>0.34949935742992411</v>
      </c>
      <c r="D290" s="547">
        <f t="shared" si="33"/>
        <v>0.35708716943627633</v>
      </c>
      <c r="E290" s="574">
        <f t="shared" si="34"/>
        <v>7.5878120063522236E-3</v>
      </c>
    </row>
    <row r="291" spans="1:5" x14ac:dyDescent="0.2">
      <c r="A291" s="512">
        <v>5</v>
      </c>
      <c r="B291" s="511" t="s">
        <v>714</v>
      </c>
      <c r="C291" s="547">
        <f t="shared" si="33"/>
        <v>0.22302354937696103</v>
      </c>
      <c r="D291" s="547">
        <f t="shared" si="33"/>
        <v>0.2921056271482334</v>
      </c>
      <c r="E291" s="574">
        <f t="shared" si="34"/>
        <v>6.9082077771272371E-2</v>
      </c>
    </row>
    <row r="292" spans="1:5" x14ac:dyDescent="0.2">
      <c r="A292" s="512">
        <v>6</v>
      </c>
      <c r="B292" s="511" t="s">
        <v>418</v>
      </c>
      <c r="C292" s="547">
        <f t="shared" si="33"/>
        <v>0.45344280098686152</v>
      </c>
      <c r="D292" s="547">
        <f t="shared" si="33"/>
        <v>0.41300784729139328</v>
      </c>
      <c r="E292" s="574">
        <f t="shared" si="34"/>
        <v>-4.0434953695468234E-2</v>
      </c>
    </row>
    <row r="293" spans="1:5" x14ac:dyDescent="0.2">
      <c r="A293" s="512">
        <v>7</v>
      </c>
      <c r="B293" s="511" t="s">
        <v>729</v>
      </c>
      <c r="C293" s="547">
        <f t="shared" si="33"/>
        <v>0.26598224630062545</v>
      </c>
      <c r="D293" s="547">
        <f t="shared" si="33"/>
        <v>0.25307159093124043</v>
      </c>
      <c r="E293" s="574">
        <f t="shared" si="34"/>
        <v>-1.2910655369385016E-2</v>
      </c>
    </row>
    <row r="294" spans="1:5" ht="29.25" customHeight="1" x14ac:dyDescent="0.2">
      <c r="A294" s="512"/>
      <c r="B294" s="516" t="s">
        <v>818</v>
      </c>
      <c r="C294" s="575">
        <f t="shared" si="33"/>
        <v>0.38230011089673249</v>
      </c>
      <c r="D294" s="575">
        <f t="shared" si="33"/>
        <v>0.4018135893918246</v>
      </c>
      <c r="E294" s="576">
        <f t="shared" si="34"/>
        <v>1.9513478495092107E-2</v>
      </c>
    </row>
    <row r="295" spans="1:5" x14ac:dyDescent="0.2">
      <c r="A295" s="512"/>
      <c r="B295" s="516" t="s">
        <v>819</v>
      </c>
      <c r="C295" s="575">
        <f t="shared" si="33"/>
        <v>0.43519505546018605</v>
      </c>
      <c r="D295" s="575">
        <f t="shared" si="33"/>
        <v>0.44871502894398224</v>
      </c>
      <c r="E295" s="576">
        <f t="shared" si="34"/>
        <v>1.3519973483796188E-2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820</v>
      </c>
      <c r="B297" s="501" t="s">
        <v>821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822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620</v>
      </c>
      <c r="C301" s="514">
        <f>+C48+C47+C50+C51+C52+C59+C58+C61+C62+C63</f>
        <v>92789282</v>
      </c>
      <c r="D301" s="514">
        <f>+D48+D47+D50+D51+D52+D59+D58+D61+D62+D63</f>
        <v>100548585</v>
      </c>
      <c r="E301" s="514">
        <f>D301-C301</f>
        <v>7759303</v>
      </c>
    </row>
    <row r="302" spans="1:5" ht="25.5" x14ac:dyDescent="0.2">
      <c r="A302" s="512">
        <v>2</v>
      </c>
      <c r="B302" s="511" t="s">
        <v>823</v>
      </c>
      <c r="C302" s="546">
        <f>C265</f>
        <v>641511</v>
      </c>
      <c r="D302" s="546">
        <f>D265</f>
        <v>616056</v>
      </c>
      <c r="E302" s="514">
        <f>D302-C302</f>
        <v>-25455</v>
      </c>
    </row>
    <row r="303" spans="1:5" x14ac:dyDescent="0.2">
      <c r="A303" s="512"/>
      <c r="B303" s="516" t="s">
        <v>824</v>
      </c>
      <c r="C303" s="517">
        <f>+C301+C302</f>
        <v>93430793</v>
      </c>
      <c r="D303" s="517">
        <f>+D301+D302</f>
        <v>101164641</v>
      </c>
      <c r="E303" s="517">
        <f>D303-C303</f>
        <v>7733848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825</v>
      </c>
      <c r="C305" s="513">
        <v>2247797</v>
      </c>
      <c r="D305" s="578">
        <v>2029009</v>
      </c>
      <c r="E305" s="579">
        <f>D305-C305</f>
        <v>-218788</v>
      </c>
    </row>
    <row r="306" spans="1:5" x14ac:dyDescent="0.2">
      <c r="A306" s="512">
        <v>4</v>
      </c>
      <c r="B306" s="516" t="s">
        <v>826</v>
      </c>
      <c r="C306" s="580">
        <f>+C303+C305</f>
        <v>95678590</v>
      </c>
      <c r="D306" s="580">
        <f>+D303+D305</f>
        <v>103193650</v>
      </c>
      <c r="E306" s="580">
        <f>D306-C306</f>
        <v>7515060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827</v>
      </c>
      <c r="C308" s="513">
        <v>95678590</v>
      </c>
      <c r="D308" s="513">
        <v>103193652</v>
      </c>
      <c r="E308" s="514">
        <f>D308-C308</f>
        <v>7515062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828</v>
      </c>
      <c r="C310" s="581">
        <f>C306-C308</f>
        <v>0</v>
      </c>
      <c r="D310" s="582">
        <f>D306-D308</f>
        <v>-2</v>
      </c>
      <c r="E310" s="580">
        <f>D310-C310</f>
        <v>-2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829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830</v>
      </c>
      <c r="C314" s="514">
        <f>+C14+C15+C16+C19+C25+C26+C27+C30</f>
        <v>176391805</v>
      </c>
      <c r="D314" s="514">
        <f>+D14+D15+D16+D19+D25+D26+D27+D30</f>
        <v>188222806</v>
      </c>
      <c r="E314" s="514">
        <f>D314-C314</f>
        <v>11831001</v>
      </c>
    </row>
    <row r="315" spans="1:5" x14ac:dyDescent="0.2">
      <c r="A315" s="512">
        <v>2</v>
      </c>
      <c r="B315" s="583" t="s">
        <v>831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832</v>
      </c>
      <c r="C316" s="581">
        <f>C314+C315</f>
        <v>176391805</v>
      </c>
      <c r="D316" s="581">
        <f>D314+D315</f>
        <v>188222806</v>
      </c>
      <c r="E316" s="517">
        <f>D316-C316</f>
        <v>11831001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833</v>
      </c>
      <c r="C318" s="513">
        <v>176391807</v>
      </c>
      <c r="D318" s="513">
        <v>188222806</v>
      </c>
      <c r="E318" s="514">
        <f>D318-C318</f>
        <v>11830999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828</v>
      </c>
      <c r="C320" s="581">
        <f>C316-C318</f>
        <v>-2</v>
      </c>
      <c r="D320" s="581">
        <f>D316-D318</f>
        <v>0</v>
      </c>
      <c r="E320" s="517">
        <f>D320-C320</f>
        <v>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834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835</v>
      </c>
      <c r="C324" s="513">
        <f>+C193+C194</f>
        <v>3685246</v>
      </c>
      <c r="D324" s="513">
        <f>+D193+D194</f>
        <v>3835344</v>
      </c>
      <c r="E324" s="514">
        <f>D324-C324</f>
        <v>150098</v>
      </c>
    </row>
    <row r="325" spans="1:5" x14ac:dyDescent="0.2">
      <c r="A325" s="512">
        <v>2</v>
      </c>
      <c r="B325" s="511" t="s">
        <v>836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837</v>
      </c>
      <c r="C326" s="581">
        <f>C324+C325</f>
        <v>3685246</v>
      </c>
      <c r="D326" s="581">
        <f>D324+D325</f>
        <v>3835344</v>
      </c>
      <c r="E326" s="517">
        <f>D326-C326</f>
        <v>150098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838</v>
      </c>
      <c r="C328" s="513">
        <v>3685246</v>
      </c>
      <c r="D328" s="513">
        <v>3835344</v>
      </c>
      <c r="E328" s="514">
        <f>D328-C328</f>
        <v>150098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839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r:id="rId1"/>
  <headerFooter>
    <oddHeader>&amp;LOFFICE OF HEALTH CARE ACCESS&amp;CTWELVE MONTHS ACTUAL FILING&amp;RCHARLOTTE HUNGERFORD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592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840</v>
      </c>
      <c r="B5" s="696"/>
      <c r="C5" s="697"/>
      <c r="D5" s="585"/>
    </row>
    <row r="6" spans="1:58" s="338" customFormat="1" ht="15.75" customHeight="1" x14ac:dyDescent="0.25">
      <c r="A6" s="695" t="s">
        <v>841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842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843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746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622</v>
      </c>
      <c r="C14" s="513">
        <v>20138494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601</v>
      </c>
      <c r="C15" s="515">
        <v>48768258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747</v>
      </c>
      <c r="C16" s="515">
        <v>11497357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9213369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714</v>
      </c>
      <c r="C18" s="515">
        <v>2283988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675700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729</v>
      </c>
      <c r="C20" s="515">
        <v>1088411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748</v>
      </c>
      <c r="C21" s="517">
        <f>SUM(C15+C16+C19)</f>
        <v>60941315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688</v>
      </c>
      <c r="C22" s="517">
        <f>SUM(C14+C21)</f>
        <v>81079809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749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622</v>
      </c>
      <c r="C25" s="513">
        <v>48868395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601</v>
      </c>
      <c r="C26" s="515">
        <v>35241741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747</v>
      </c>
      <c r="C27" s="515">
        <v>22653367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18698664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714</v>
      </c>
      <c r="C29" s="515">
        <v>3954703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379494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729</v>
      </c>
      <c r="C31" s="518">
        <v>3745209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750</v>
      </c>
      <c r="C32" s="517">
        <f>SUM(C26+C27+C30)</f>
        <v>58274602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694</v>
      </c>
      <c r="C33" s="517">
        <f>SUM(C25+C32)</f>
        <v>107142997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619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844</v>
      </c>
      <c r="C36" s="514">
        <f>SUM(C14+C25)</f>
        <v>69006889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845</v>
      </c>
      <c r="C37" s="518">
        <f>SUM(C21+C32)</f>
        <v>119215917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619</v>
      </c>
      <c r="C38" s="517">
        <f>SUM(+C36+C37)</f>
        <v>188222806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759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622</v>
      </c>
      <c r="C41" s="513">
        <v>13808822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601</v>
      </c>
      <c r="C42" s="515">
        <v>33003580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747</v>
      </c>
      <c r="C43" s="515">
        <v>5384674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4383899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714</v>
      </c>
      <c r="C45" s="515">
        <v>1000775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274836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729</v>
      </c>
      <c r="C47" s="515">
        <v>275446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760</v>
      </c>
      <c r="C48" s="517">
        <f>SUM(C42+C43+C46)</f>
        <v>38663090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689</v>
      </c>
      <c r="C49" s="517">
        <f>SUM(C41+C48)</f>
        <v>52471912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761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622</v>
      </c>
      <c r="C52" s="513">
        <v>24661146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601</v>
      </c>
      <c r="C53" s="515">
        <v>15426549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747</v>
      </c>
      <c r="C54" s="515">
        <v>7832244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6677053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714</v>
      </c>
      <c r="C56" s="515">
        <v>1155191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156734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729</v>
      </c>
      <c r="C58" s="515">
        <v>947806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762</v>
      </c>
      <c r="C59" s="517">
        <f>SUM(C53+C54+C57)</f>
        <v>23415527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695</v>
      </c>
      <c r="C60" s="517">
        <f>SUM(C52+C59)</f>
        <v>48076673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620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846</v>
      </c>
      <c r="C63" s="514">
        <f>SUM(C41+C52)</f>
        <v>38469968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847</v>
      </c>
      <c r="C64" s="518">
        <f>SUM(C48+C59)</f>
        <v>62078617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620</v>
      </c>
      <c r="C65" s="517">
        <f>SUM(+C63+C64)</f>
        <v>100548585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848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849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622</v>
      </c>
      <c r="C70" s="530">
        <v>1900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601</v>
      </c>
      <c r="C71" s="530">
        <v>3371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747</v>
      </c>
      <c r="C72" s="530">
        <v>1133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935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714</v>
      </c>
      <c r="C74" s="530">
        <v>198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34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729</v>
      </c>
      <c r="C76" s="545">
        <v>155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777</v>
      </c>
      <c r="C77" s="532">
        <f>SUM(C71+C72+C75)</f>
        <v>4538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691</v>
      </c>
      <c r="C78" s="596">
        <f>SUM(C70+C77)</f>
        <v>6438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782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622</v>
      </c>
      <c r="C81" s="541">
        <v>1.1143000000000001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601</v>
      </c>
      <c r="C82" s="541">
        <v>1.4221999999999999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747</v>
      </c>
      <c r="C83" s="541">
        <f>((C73*C84)+(C74*C85))/(C73+C74)</f>
        <v>0.88289805825242718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0.8599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714</v>
      </c>
      <c r="C85" s="541">
        <v>0.99150000000000005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1.2007000000000001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729</v>
      </c>
      <c r="C87" s="541">
        <v>0.97219999999999995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783</v>
      </c>
      <c r="C88" s="543">
        <f>((C71*C82)+(C73*C84)+(C74*C85)+(C75*C86))/(C71+C73+C74+C75)</f>
        <v>1.2858932349052443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692</v>
      </c>
      <c r="C89" s="543">
        <f>((C70*C81)+(C71*C82)+(C73*C84)+(C74*C85)+(C75*C86))/(C70+C71+C73+C74+C75)</f>
        <v>1.2352521745883813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784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785</v>
      </c>
      <c r="C92" s="513">
        <v>69006889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786</v>
      </c>
      <c r="C93" s="546">
        <v>42222944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634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718</v>
      </c>
      <c r="C95" s="513">
        <f>+C92-C93</f>
        <v>26783945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636</v>
      </c>
      <c r="C96" s="597">
        <f>(+C92-C93)/C92</f>
        <v>0.38813436438208365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733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719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850</v>
      </c>
      <c r="C101" s="513">
        <v>616056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788</v>
      </c>
      <c r="C103" s="513">
        <v>1421695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789</v>
      </c>
      <c r="C104" s="513">
        <v>2413649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790</v>
      </c>
      <c r="C105" s="578">
        <f>+C103+C104</f>
        <v>3835344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791</v>
      </c>
      <c r="C107" s="513">
        <v>5277783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676</v>
      </c>
      <c r="C108" s="513">
        <v>108897163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821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822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620</v>
      </c>
      <c r="C114" s="514">
        <f>+C65</f>
        <v>100548585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823</v>
      </c>
      <c r="C115" s="546">
        <f>+C101</f>
        <v>616056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824</v>
      </c>
      <c r="C116" s="517">
        <f>+C114+C115</f>
        <v>101164641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825</v>
      </c>
      <c r="C118" s="578">
        <v>2029009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826</v>
      </c>
      <c r="C119" s="580">
        <f>+C116+C118</f>
        <v>103193650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827</v>
      </c>
      <c r="C121" s="513">
        <v>103193652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828</v>
      </c>
      <c r="C123" s="582">
        <f>C119-C121</f>
        <v>-2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829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830</v>
      </c>
      <c r="C127" s="514">
        <f>+C38</f>
        <v>188222806</v>
      </c>
      <c r="D127" s="588"/>
      <c r="AR127" s="507"/>
    </row>
    <row r="128" spans="1:58" s="506" customFormat="1" x14ac:dyDescent="0.2">
      <c r="A128" s="512">
        <v>2</v>
      </c>
      <c r="B128" s="583" t="s">
        <v>831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832</v>
      </c>
      <c r="C129" s="581">
        <f>C127+C128</f>
        <v>188222806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833</v>
      </c>
      <c r="C131" s="513">
        <v>188222806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828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834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835</v>
      </c>
      <c r="C137" s="513">
        <f>C105</f>
        <v>3835344</v>
      </c>
      <c r="D137" s="588"/>
      <c r="AR137" s="507"/>
    </row>
    <row r="138" spans="1:44" s="506" customFormat="1" x14ac:dyDescent="0.2">
      <c r="A138" s="512">
        <v>2</v>
      </c>
      <c r="B138" s="511" t="s">
        <v>851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837</v>
      </c>
      <c r="C139" s="581">
        <f>C137+C138</f>
        <v>3835344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852</v>
      </c>
      <c r="C141" s="513">
        <v>3835344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839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FILING&amp;RCHARLOTTE HUNGERFORD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592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593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853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596</v>
      </c>
      <c r="D8" s="35" t="s">
        <v>596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598</v>
      </c>
      <c r="D9" s="607" t="s">
        <v>599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854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855</v>
      </c>
      <c r="C12" s="49">
        <v>1199</v>
      </c>
      <c r="D12" s="49">
        <v>1386</v>
      </c>
      <c r="E12" s="49">
        <f>+D12-C12</f>
        <v>187</v>
      </c>
      <c r="F12" s="70">
        <f>IF(C12=0,0,+E12/C12)</f>
        <v>0.15596330275229359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856</v>
      </c>
      <c r="C13" s="49">
        <v>1188</v>
      </c>
      <c r="D13" s="49">
        <v>1372</v>
      </c>
      <c r="E13" s="49">
        <f>+D13-C13</f>
        <v>184</v>
      </c>
      <c r="F13" s="70">
        <f>IF(C13=0,0,+E13/C13)</f>
        <v>0.15488215488215487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857</v>
      </c>
      <c r="C15" s="51">
        <v>1438204</v>
      </c>
      <c r="D15" s="51">
        <v>1421695</v>
      </c>
      <c r="E15" s="51">
        <f>+D15-C15</f>
        <v>-16509</v>
      </c>
      <c r="F15" s="70">
        <f>IF(C15=0,0,+E15/C15)</f>
        <v>-1.1478900072590536E-2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858</v>
      </c>
      <c r="C16" s="27">
        <f>IF(C13=0,0,+C15/+C13)</f>
        <v>1210.6094276094277</v>
      </c>
      <c r="D16" s="27">
        <f>IF(D13=0,0,+D15/+D13)</f>
        <v>1036.2208454810495</v>
      </c>
      <c r="E16" s="27">
        <f>+D16-C16</f>
        <v>-174.38858212837818</v>
      </c>
      <c r="F16" s="28">
        <f>IF(C16=0,0,+E16/C16)</f>
        <v>-0.14405024291999832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859</v>
      </c>
      <c r="C18" s="210">
        <v>0.57888499999999998</v>
      </c>
      <c r="D18" s="210">
        <v>0.55176599999999998</v>
      </c>
      <c r="E18" s="210">
        <f>+D18-C18</f>
        <v>-2.7119000000000004E-2</v>
      </c>
      <c r="F18" s="70">
        <f>IF(C18=0,0,+E18/C18)</f>
        <v>-4.6846955785691466E-2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860</v>
      </c>
      <c r="C19" s="27">
        <f>+C15*C18</f>
        <v>832554.72253999999</v>
      </c>
      <c r="D19" s="27">
        <f>+D15*D18</f>
        <v>784442.96337000001</v>
      </c>
      <c r="E19" s="27">
        <f>+D19-C19</f>
        <v>-48111.759169999976</v>
      </c>
      <c r="F19" s="28">
        <f>IF(C19=0,0,+E19/C19)</f>
        <v>-5.7788104334112946E-2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861</v>
      </c>
      <c r="C20" s="27">
        <f>IF(C13=0,0,+C19/C13)</f>
        <v>700.80363850168351</v>
      </c>
      <c r="D20" s="27">
        <f>IF(D13=0,0,+D19/D13)</f>
        <v>571.75143102769675</v>
      </c>
      <c r="E20" s="27">
        <f>+D20-C20</f>
        <v>-129.05220747398675</v>
      </c>
      <c r="F20" s="28">
        <f>IF(C20=0,0,+E20/C20)</f>
        <v>-0.18414888334469848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862</v>
      </c>
      <c r="C22" s="51">
        <v>558673</v>
      </c>
      <c r="D22" s="51">
        <v>505854</v>
      </c>
      <c r="E22" s="51">
        <f>+D22-C22</f>
        <v>-52819</v>
      </c>
      <c r="F22" s="70">
        <f>IF(C22=0,0,+E22/C22)</f>
        <v>-9.4543677607473425E-2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863</v>
      </c>
      <c r="C23" s="49">
        <v>627334</v>
      </c>
      <c r="D23" s="49">
        <v>610378</v>
      </c>
      <c r="E23" s="49">
        <f>+D23-C23</f>
        <v>-16956</v>
      </c>
      <c r="F23" s="70">
        <f>IF(C23=0,0,+E23/C23)</f>
        <v>-2.7028664156573692E-2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864</v>
      </c>
      <c r="C24" s="49">
        <v>252197</v>
      </c>
      <c r="D24" s="49">
        <v>305463</v>
      </c>
      <c r="E24" s="49">
        <f>+D24-C24</f>
        <v>53266</v>
      </c>
      <c r="F24" s="70">
        <f>IF(C24=0,0,+E24/C24)</f>
        <v>0.2112079049314623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857</v>
      </c>
      <c r="C25" s="27">
        <f>+C22+C23+C24</f>
        <v>1438204</v>
      </c>
      <c r="D25" s="27">
        <f>+D22+D23+D24</f>
        <v>1421695</v>
      </c>
      <c r="E25" s="27">
        <f>+E22+E23+E24</f>
        <v>-16509</v>
      </c>
      <c r="F25" s="28">
        <f>IF(C25=0,0,+E25/C25)</f>
        <v>-1.1478900072590536E-2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865</v>
      </c>
      <c r="C27" s="49">
        <v>297</v>
      </c>
      <c r="D27" s="49">
        <v>233</v>
      </c>
      <c r="E27" s="49">
        <f>+D27-C27</f>
        <v>-64</v>
      </c>
      <c r="F27" s="70">
        <f>IF(C27=0,0,+E27/C27)</f>
        <v>-0.21548821548821548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866</v>
      </c>
      <c r="C28" s="49">
        <v>60</v>
      </c>
      <c r="D28" s="49">
        <v>40</v>
      </c>
      <c r="E28" s="49">
        <f>+D28-C28</f>
        <v>-20</v>
      </c>
      <c r="F28" s="70">
        <f>IF(C28=0,0,+E28/C28)</f>
        <v>-0.33333333333333331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867</v>
      </c>
      <c r="C29" s="49">
        <v>705</v>
      </c>
      <c r="D29" s="49">
        <v>726</v>
      </c>
      <c r="E29" s="49">
        <f>+D29-C29</f>
        <v>21</v>
      </c>
      <c r="F29" s="70">
        <f>IF(C29=0,0,+E29/C29)</f>
        <v>2.9787234042553193E-2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868</v>
      </c>
      <c r="C30" s="49">
        <v>2301</v>
      </c>
      <c r="D30" s="49">
        <v>2375</v>
      </c>
      <c r="E30" s="49">
        <f>+D30-C30</f>
        <v>74</v>
      </c>
      <c r="F30" s="70">
        <f>IF(C30=0,0,+E30/C30)</f>
        <v>3.215993046501521E-2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869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870</v>
      </c>
      <c r="C33" s="51">
        <v>531574</v>
      </c>
      <c r="D33" s="51">
        <v>545318</v>
      </c>
      <c r="E33" s="51">
        <f>+D33-C33</f>
        <v>13744</v>
      </c>
      <c r="F33" s="70">
        <f>IF(C33=0,0,+E33/C33)</f>
        <v>2.585529013834386E-2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871</v>
      </c>
      <c r="C34" s="49">
        <v>632487</v>
      </c>
      <c r="D34" s="49">
        <v>715603</v>
      </c>
      <c r="E34" s="49">
        <f>+D34-C34</f>
        <v>83116</v>
      </c>
      <c r="F34" s="70">
        <f>IF(C34=0,0,+E34/C34)</f>
        <v>0.13141139659787474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872</v>
      </c>
      <c r="C35" s="49">
        <v>1082981</v>
      </c>
      <c r="D35" s="49">
        <v>1152728</v>
      </c>
      <c r="E35" s="49">
        <f>+D35-C35</f>
        <v>69747</v>
      </c>
      <c r="F35" s="70">
        <f>IF(C35=0,0,+E35/C35)</f>
        <v>6.4402791923404007E-2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873</v>
      </c>
      <c r="C36" s="27">
        <f>+C33+C34+C35</f>
        <v>2247042</v>
      </c>
      <c r="D36" s="27">
        <f>+D33+D34+D35</f>
        <v>2413649</v>
      </c>
      <c r="E36" s="27">
        <f>+E33+E34+E35</f>
        <v>166607</v>
      </c>
      <c r="F36" s="28">
        <f>IF(C36=0,0,+E36/C36)</f>
        <v>7.4145031557042551E-2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874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875</v>
      </c>
      <c r="C39" s="51">
        <f>+C25</f>
        <v>1438204</v>
      </c>
      <c r="D39" s="51">
        <f>+D25</f>
        <v>1421695</v>
      </c>
      <c r="E39" s="51">
        <f>+D39-C39</f>
        <v>-16509</v>
      </c>
      <c r="F39" s="70">
        <f>IF(C39=0,0,+E39/C39)</f>
        <v>-1.1478900072590536E-2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876</v>
      </c>
      <c r="C40" s="49">
        <f>+C36</f>
        <v>2247042</v>
      </c>
      <c r="D40" s="49">
        <f>+D36</f>
        <v>2413649</v>
      </c>
      <c r="E40" s="49">
        <f>+D40-C40</f>
        <v>166607</v>
      </c>
      <c r="F40" s="70">
        <f>IF(C40=0,0,+E40/C40)</f>
        <v>7.4145031557042551E-2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877</v>
      </c>
      <c r="C41" s="27">
        <f>+C39+C40</f>
        <v>3685246</v>
      </c>
      <c r="D41" s="27">
        <f>+D39+D40</f>
        <v>3835344</v>
      </c>
      <c r="E41" s="27">
        <f>+E39+E40</f>
        <v>150098</v>
      </c>
      <c r="F41" s="28">
        <f>IF(C41=0,0,+E41/C41)</f>
        <v>4.0729438414694702E-2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878</v>
      </c>
      <c r="C43" s="51">
        <f t="shared" ref="C43:D45" si="0">+C22+C33</f>
        <v>1090247</v>
      </c>
      <c r="D43" s="51">
        <f t="shared" si="0"/>
        <v>1051172</v>
      </c>
      <c r="E43" s="51">
        <f>+D43-C43</f>
        <v>-39075</v>
      </c>
      <c r="F43" s="70">
        <f>IF(C43=0,0,+E43/C43)</f>
        <v>-3.5840502198125748E-2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879</v>
      </c>
      <c r="C44" s="49">
        <f t="shared" si="0"/>
        <v>1259821</v>
      </c>
      <c r="D44" s="49">
        <f t="shared" si="0"/>
        <v>1325981</v>
      </c>
      <c r="E44" s="49">
        <f>+D44-C44</f>
        <v>66160</v>
      </c>
      <c r="F44" s="70">
        <f>IF(C44=0,0,+E44/C44)</f>
        <v>5.2515397028625496E-2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880</v>
      </c>
      <c r="C45" s="49">
        <f t="shared" si="0"/>
        <v>1335178</v>
      </c>
      <c r="D45" s="49">
        <f t="shared" si="0"/>
        <v>1458191</v>
      </c>
      <c r="E45" s="49">
        <f>+D45-C45</f>
        <v>123013</v>
      </c>
      <c r="F45" s="70">
        <f>IF(C45=0,0,+E45/C45)</f>
        <v>9.2132284983725013E-2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877</v>
      </c>
      <c r="C46" s="27">
        <f>+C43+C44+C45</f>
        <v>3685246</v>
      </c>
      <c r="D46" s="27">
        <f>+D43+D44+D45</f>
        <v>3835344</v>
      </c>
      <c r="E46" s="27">
        <f>+E43+E44+E45</f>
        <v>150098</v>
      </c>
      <c r="F46" s="28">
        <f>IF(C46=0,0,+E46/C46)</f>
        <v>4.0729438414694702E-2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881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FILING&amp;RCHARLOTTE HUNGERFORD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592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593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882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883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598</v>
      </c>
      <c r="D9" s="35" t="s">
        <v>599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884</v>
      </c>
      <c r="D10" s="35" t="s">
        <v>884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885</v>
      </c>
      <c r="D11" s="605" t="s">
        <v>885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886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65804567</v>
      </c>
      <c r="D15" s="51">
        <v>69006889</v>
      </c>
      <c r="E15" s="51">
        <f>+D15-C15</f>
        <v>3202322</v>
      </c>
      <c r="F15" s="70">
        <f>+E15/C15</f>
        <v>4.8664129953168753E-2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887</v>
      </c>
      <c r="C17" s="51">
        <v>25890211</v>
      </c>
      <c r="D17" s="51">
        <v>26783945</v>
      </c>
      <c r="E17" s="51">
        <f>+D17-C17</f>
        <v>893734</v>
      </c>
      <c r="F17" s="70">
        <f>+E17/C17</f>
        <v>3.4520151264893127E-2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888</v>
      </c>
      <c r="C19" s="27">
        <f>+C15-C17</f>
        <v>39914356</v>
      </c>
      <c r="D19" s="27">
        <f>+D15-D17</f>
        <v>42222944</v>
      </c>
      <c r="E19" s="27">
        <f>+D19-C19</f>
        <v>2308588</v>
      </c>
      <c r="F19" s="28">
        <f>+E19/C19</f>
        <v>5.7838538093912879E-2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889</v>
      </c>
      <c r="C21" s="628">
        <f>+C17/C15</f>
        <v>0.39344094460799356</v>
      </c>
      <c r="D21" s="628">
        <f>+D17/D15</f>
        <v>0.38813436438208365</v>
      </c>
      <c r="E21" s="628">
        <f>+D21-C21</f>
        <v>-5.3065802259099071E-3</v>
      </c>
      <c r="F21" s="28">
        <f>+E21/C21</f>
        <v>-1.3487615609496717E-2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890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FILING&amp;R&amp;12CHARLOTTE HUNGERFORD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891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892</v>
      </c>
      <c r="B6" s="632" t="s">
        <v>893</v>
      </c>
      <c r="C6" s="632" t="s">
        <v>894</v>
      </c>
      <c r="D6" s="632" t="s">
        <v>895</v>
      </c>
      <c r="E6" s="632" t="s">
        <v>896</v>
      </c>
    </row>
    <row r="7" spans="1:6" ht="37.5" customHeight="1" x14ac:dyDescent="0.25">
      <c r="A7" s="633" t="s">
        <v>8</v>
      </c>
      <c r="B7" s="634" t="s">
        <v>897</v>
      </c>
      <c r="C7" s="631" t="s">
        <v>898</v>
      </c>
      <c r="D7" s="631" t="s">
        <v>899</v>
      </c>
      <c r="E7" s="631" t="s">
        <v>900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901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902</v>
      </c>
      <c r="C10" s="641">
        <v>68040996</v>
      </c>
      <c r="D10" s="641">
        <v>79078482</v>
      </c>
      <c r="E10" s="641">
        <v>81079809</v>
      </c>
    </row>
    <row r="11" spans="1:6" ht="26.1" customHeight="1" x14ac:dyDescent="0.25">
      <c r="A11" s="639">
        <v>2</v>
      </c>
      <c r="B11" s="640" t="s">
        <v>903</v>
      </c>
      <c r="C11" s="641">
        <v>87681893</v>
      </c>
      <c r="D11" s="641">
        <v>97313323</v>
      </c>
      <c r="E11" s="641">
        <v>107142997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155722889</v>
      </c>
      <c r="D12" s="641">
        <f>+D11+D10</f>
        <v>176391805</v>
      </c>
      <c r="E12" s="641">
        <f>+E11+E10</f>
        <v>188222806</v>
      </c>
    </row>
    <row r="13" spans="1:6" ht="26.1" customHeight="1" x14ac:dyDescent="0.25">
      <c r="A13" s="639">
        <v>4</v>
      </c>
      <c r="B13" s="640" t="s">
        <v>484</v>
      </c>
      <c r="C13" s="641">
        <v>87939108</v>
      </c>
      <c r="D13" s="641">
        <v>95678590</v>
      </c>
      <c r="E13" s="641">
        <v>103111284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904</v>
      </c>
      <c r="C16" s="641">
        <v>93504863</v>
      </c>
      <c r="D16" s="641">
        <v>100402359</v>
      </c>
      <c r="E16" s="641">
        <v>108897163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905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27085</v>
      </c>
      <c r="D19" s="644">
        <v>28581</v>
      </c>
      <c r="E19" s="644">
        <v>27979</v>
      </c>
    </row>
    <row r="20" spans="1:5" ht="26.1" customHeight="1" x14ac:dyDescent="0.25">
      <c r="A20" s="639">
        <v>2</v>
      </c>
      <c r="B20" s="640" t="s">
        <v>373</v>
      </c>
      <c r="C20" s="645">
        <v>6084</v>
      </c>
      <c r="D20" s="645">
        <v>6320</v>
      </c>
      <c r="E20" s="645">
        <v>6438</v>
      </c>
    </row>
    <row r="21" spans="1:5" ht="26.1" customHeight="1" x14ac:dyDescent="0.25">
      <c r="A21" s="639">
        <v>3</v>
      </c>
      <c r="B21" s="640" t="s">
        <v>906</v>
      </c>
      <c r="C21" s="646">
        <f>IF(C20=0,0,+C19/C20)</f>
        <v>4.4518408941485861</v>
      </c>
      <c r="D21" s="646">
        <f>IF(D20=0,0,+D19/D20)</f>
        <v>4.522310126582278</v>
      </c>
      <c r="E21" s="646">
        <f>IF(E20=0,0,+E19/E20)</f>
        <v>4.3459148803976388</v>
      </c>
    </row>
    <row r="22" spans="1:5" ht="26.1" customHeight="1" x14ac:dyDescent="0.25">
      <c r="A22" s="639">
        <v>4</v>
      </c>
      <c r="B22" s="640" t="s">
        <v>907</v>
      </c>
      <c r="C22" s="645">
        <f>IF(C10=0,0,C19*(C12/C10))</f>
        <v>61988.428984270016</v>
      </c>
      <c r="D22" s="645">
        <f>IF(D10=0,0,D19*(D12/D10))</f>
        <v>63752.5411616399</v>
      </c>
      <c r="E22" s="645">
        <f>IF(E10=0,0,E19*(E12/E10))</f>
        <v>64951.878328598425</v>
      </c>
    </row>
    <row r="23" spans="1:5" ht="26.1" customHeight="1" x14ac:dyDescent="0.25">
      <c r="A23" s="639">
        <v>0</v>
      </c>
      <c r="B23" s="640" t="s">
        <v>908</v>
      </c>
      <c r="C23" s="645">
        <f>IF(C10=0,0,C20*(C12/C10))</f>
        <v>13924.223811714926</v>
      </c>
      <c r="D23" s="645">
        <f>IF(D10=0,0,D20*(D12/D10))</f>
        <v>14097.339496223511</v>
      </c>
      <c r="E23" s="645">
        <f>IF(E10=0,0,E20*(E12/E10))</f>
        <v>14945.501721988516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909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1.181497879684418</v>
      </c>
      <c r="D26" s="647">
        <v>1.2196949050632913</v>
      </c>
      <c r="E26" s="647">
        <v>1.2352521745883815</v>
      </c>
    </row>
    <row r="27" spans="1:5" ht="26.1" customHeight="1" x14ac:dyDescent="0.25">
      <c r="A27" s="639">
        <v>2</v>
      </c>
      <c r="B27" s="640" t="s">
        <v>910</v>
      </c>
      <c r="C27" s="645">
        <f>C19*C26</f>
        <v>32000.870071252462</v>
      </c>
      <c r="D27" s="645">
        <f>D19*D26</f>
        <v>34860.100081613928</v>
      </c>
      <c r="E27" s="645">
        <f>E19*E26</f>
        <v>34561.120592808329</v>
      </c>
    </row>
    <row r="28" spans="1:5" ht="26.1" customHeight="1" x14ac:dyDescent="0.25">
      <c r="A28" s="639">
        <v>3</v>
      </c>
      <c r="B28" s="640" t="s">
        <v>911</v>
      </c>
      <c r="C28" s="645">
        <f>C20*C26</f>
        <v>7188.2330999999995</v>
      </c>
      <c r="D28" s="645">
        <f>D20*D26</f>
        <v>7708.4718000000012</v>
      </c>
      <c r="E28" s="645">
        <f>E20*E26</f>
        <v>7952.5535</v>
      </c>
    </row>
    <row r="29" spans="1:5" ht="26.1" customHeight="1" x14ac:dyDescent="0.25">
      <c r="A29" s="639">
        <v>4</v>
      </c>
      <c r="B29" s="640" t="s">
        <v>912</v>
      </c>
      <c r="C29" s="645">
        <f>C22*C26</f>
        <v>73239.197409883142</v>
      </c>
      <c r="D29" s="645">
        <f>D22*D26</f>
        <v>77758.649639689946</v>
      </c>
      <c r="E29" s="645">
        <f>E22*E26</f>
        <v>80231.948949001177</v>
      </c>
    </row>
    <row r="30" spans="1:5" ht="26.1" customHeight="1" x14ac:dyDescent="0.25">
      <c r="A30" s="639">
        <v>5</v>
      </c>
      <c r="B30" s="640" t="s">
        <v>913</v>
      </c>
      <c r="C30" s="645">
        <f>C23*C26</f>
        <v>16451.440909792469</v>
      </c>
      <c r="D30" s="645">
        <f>D23*D26</f>
        <v>17194.45315849132</v>
      </c>
      <c r="E30" s="645">
        <f>E23*E26</f>
        <v>18461.463502400715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914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915</v>
      </c>
      <c r="C33" s="641">
        <f>IF(C19=0,0,C12/C19)</f>
        <v>5749.4143991139008</v>
      </c>
      <c r="D33" s="641">
        <f>IF(D19=0,0,D12/D19)</f>
        <v>6171.6456736993105</v>
      </c>
      <c r="E33" s="641">
        <f>IF(E19=0,0,E12/E19)</f>
        <v>6727.2885378319452</v>
      </c>
    </row>
    <row r="34" spans="1:5" ht="26.1" customHeight="1" x14ac:dyDescent="0.25">
      <c r="A34" s="639">
        <v>2</v>
      </c>
      <c r="B34" s="640" t="s">
        <v>916</v>
      </c>
      <c r="C34" s="641">
        <f>IF(C20=0,0,C12/C20)</f>
        <v>25595.478139381987</v>
      </c>
      <c r="D34" s="641">
        <f>IF(D20=0,0,D12/D20)</f>
        <v>27910.0957278481</v>
      </c>
      <c r="E34" s="641">
        <f>IF(E20=0,0,E12/E20)</f>
        <v>29236.223361292326</v>
      </c>
    </row>
    <row r="35" spans="1:5" ht="26.1" customHeight="1" x14ac:dyDescent="0.25">
      <c r="A35" s="639">
        <v>3</v>
      </c>
      <c r="B35" s="640" t="s">
        <v>917</v>
      </c>
      <c r="C35" s="641">
        <f>IF(C22=0,0,C12/C22)</f>
        <v>2512.1283367177402</v>
      </c>
      <c r="D35" s="641">
        <f>IF(D22=0,0,D12/D22)</f>
        <v>2766.8199853049227</v>
      </c>
      <c r="E35" s="641">
        <f>IF(E22=0,0,E12/E22)</f>
        <v>2897.8808749419209</v>
      </c>
    </row>
    <row r="36" spans="1:5" ht="26.1" customHeight="1" x14ac:dyDescent="0.25">
      <c r="A36" s="639">
        <v>4</v>
      </c>
      <c r="B36" s="640" t="s">
        <v>918</v>
      </c>
      <c r="C36" s="641">
        <f>IF(C23=0,0,C12/C23)</f>
        <v>11183.595660749506</v>
      </c>
      <c r="D36" s="641">
        <f>IF(D23=0,0,D12/D23)</f>
        <v>12512.418037974685</v>
      </c>
      <c r="E36" s="641">
        <f>IF(E23=0,0,E12/E23)</f>
        <v>12593.943616029823</v>
      </c>
    </row>
    <row r="37" spans="1:5" ht="26.1" customHeight="1" x14ac:dyDescent="0.25">
      <c r="A37" s="639">
        <v>5</v>
      </c>
      <c r="B37" s="640" t="s">
        <v>919</v>
      </c>
      <c r="C37" s="641">
        <f>IF(C29=0,0,C12/C29)</f>
        <v>2126.2233135693295</v>
      </c>
      <c r="D37" s="641">
        <f>IF(D29=0,0,D12/D29)</f>
        <v>2268.4525235114838</v>
      </c>
      <c r="E37" s="641">
        <f>IF(E29=0,0,E12/E29)</f>
        <v>2345.9832207197455</v>
      </c>
    </row>
    <row r="38" spans="1:5" ht="26.1" customHeight="1" x14ac:dyDescent="0.25">
      <c r="A38" s="639">
        <v>6</v>
      </c>
      <c r="B38" s="640" t="s">
        <v>920</v>
      </c>
      <c r="C38" s="641">
        <f>IF(C30=0,0,C12/C30)</f>
        <v>9465.6078974400552</v>
      </c>
      <c r="D38" s="641">
        <f>IF(D30=0,0,D12/D30)</f>
        <v>10258.645818747109</v>
      </c>
      <c r="E38" s="641">
        <f>IF(E30=0,0,E12/E30)</f>
        <v>10195.443388089121</v>
      </c>
    </row>
    <row r="39" spans="1:5" ht="26.1" customHeight="1" x14ac:dyDescent="0.25">
      <c r="A39" s="639">
        <v>7</v>
      </c>
      <c r="B39" s="640" t="s">
        <v>921</v>
      </c>
      <c r="C39" s="641">
        <f>IF(C22=0,0,C10/C22)</f>
        <v>1097.6402711748972</v>
      </c>
      <c r="D39" s="641">
        <f>IF(D22=0,0,D10/D22)</f>
        <v>1240.397332547142</v>
      </c>
      <c r="E39" s="641">
        <f>IF(E22=0,0,E10/E22)</f>
        <v>1248.3058394371394</v>
      </c>
    </row>
    <row r="40" spans="1:5" ht="26.1" customHeight="1" x14ac:dyDescent="0.25">
      <c r="A40" s="639">
        <v>8</v>
      </c>
      <c r="B40" s="640" t="s">
        <v>922</v>
      </c>
      <c r="C40" s="641">
        <f>IF(C23=0,0,C10/C23)</f>
        <v>4886.5198462807512</v>
      </c>
      <c r="D40" s="641">
        <f>IF(D23=0,0,D10/D23)</f>
        <v>5609.4614179635864</v>
      </c>
      <c r="E40" s="641">
        <f>IF(E23=0,0,E10/E23)</f>
        <v>5425.03092289713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923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924</v>
      </c>
      <c r="C43" s="641">
        <f>IF(C19=0,0,C13/C19)</f>
        <v>3246.7826472217093</v>
      </c>
      <c r="D43" s="641">
        <f>IF(D19=0,0,D13/D19)</f>
        <v>3347.6291942199364</v>
      </c>
      <c r="E43" s="641">
        <f>IF(E19=0,0,E13/E19)</f>
        <v>3685.3098395224988</v>
      </c>
    </row>
    <row r="44" spans="1:5" ht="26.1" customHeight="1" x14ac:dyDescent="0.25">
      <c r="A44" s="639">
        <v>2</v>
      </c>
      <c r="B44" s="640" t="s">
        <v>925</v>
      </c>
      <c r="C44" s="641">
        <f>IF(C20=0,0,C13/C20)</f>
        <v>14454.15976331361</v>
      </c>
      <c r="D44" s="641">
        <f>IF(D20=0,0,D13/D20)</f>
        <v>15139.01740506329</v>
      </c>
      <c r="E44" s="641">
        <f>IF(E20=0,0,E13/E20)</f>
        <v>16016.042870456664</v>
      </c>
    </row>
    <row r="45" spans="1:5" ht="26.1" customHeight="1" x14ac:dyDescent="0.25">
      <c r="A45" s="639">
        <v>3</v>
      </c>
      <c r="B45" s="640" t="s">
        <v>926</v>
      </c>
      <c r="C45" s="641">
        <f>IF(C22=0,0,C13/C22)</f>
        <v>1418.6374689753009</v>
      </c>
      <c r="D45" s="641">
        <f>IF(D22=0,0,D13/D22)</f>
        <v>1500.7808042884744</v>
      </c>
      <c r="E45" s="641">
        <f>IF(E22=0,0,E13/E22)</f>
        <v>1587.5027274553802</v>
      </c>
    </row>
    <row r="46" spans="1:5" ht="26.1" customHeight="1" x14ac:dyDescent="0.25">
      <c r="A46" s="639">
        <v>4</v>
      </c>
      <c r="B46" s="640" t="s">
        <v>927</v>
      </c>
      <c r="C46" s="641">
        <f>IF(C23=0,0,C13/C23)</f>
        <v>6315.5482983556913</v>
      </c>
      <c r="D46" s="641">
        <f>IF(D23=0,0,D13/D23)</f>
        <v>6786.9962290140647</v>
      </c>
      <c r="E46" s="641">
        <f>IF(E23=0,0,E13/E23)</f>
        <v>6899.1517259201737</v>
      </c>
    </row>
    <row r="47" spans="1:5" ht="26.1" customHeight="1" x14ac:dyDescent="0.25">
      <c r="A47" s="639">
        <v>5</v>
      </c>
      <c r="B47" s="640" t="s">
        <v>928</v>
      </c>
      <c r="C47" s="641">
        <f>IF(C29=0,0,C13/C29)</f>
        <v>1200.7109732217409</v>
      </c>
      <c r="D47" s="641">
        <f>IF(D29=0,0,D13/D29)</f>
        <v>1230.4559099643016</v>
      </c>
      <c r="E47" s="641">
        <f>IF(E29=0,0,E13/E29)</f>
        <v>1285.1648919253089</v>
      </c>
    </row>
    <row r="48" spans="1:5" ht="26.1" customHeight="1" x14ac:dyDescent="0.25">
      <c r="A48" s="639">
        <v>6</v>
      </c>
      <c r="B48" s="640" t="s">
        <v>929</v>
      </c>
      <c r="C48" s="641">
        <f>IF(C30=0,0,C13/C30)</f>
        <v>5345.3742126414954</v>
      </c>
      <c r="D48" s="641">
        <f>IF(D30=0,0,D13/D30)</f>
        <v>5564.5032219445739</v>
      </c>
      <c r="E48" s="641">
        <f>IF(E30=0,0,E13/E30)</f>
        <v>5585.2172275828234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930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931</v>
      </c>
      <c r="C51" s="641">
        <f>IF(C19=0,0,C16/C19)</f>
        <v>3452.2748015506736</v>
      </c>
      <c r="D51" s="641">
        <f>IF(D19=0,0,D16/D19)</f>
        <v>3512.9057415765719</v>
      </c>
      <c r="E51" s="641">
        <f>IF(E19=0,0,E16/E19)</f>
        <v>3892.1034704599879</v>
      </c>
    </row>
    <row r="52" spans="1:6" ht="26.1" customHeight="1" x14ac:dyDescent="0.25">
      <c r="A52" s="639">
        <v>2</v>
      </c>
      <c r="B52" s="640" t="s">
        <v>932</v>
      </c>
      <c r="C52" s="641">
        <f>IF(C20=0,0,C16/C20)</f>
        <v>15368.978139381985</v>
      </c>
      <c r="D52" s="641">
        <f>IF(D20=0,0,D16/D20)</f>
        <v>15886.44920886076</v>
      </c>
      <c r="E52" s="641">
        <f>IF(E20=0,0,E16/E20)</f>
        <v>16914.750388319353</v>
      </c>
    </row>
    <row r="53" spans="1:6" ht="26.1" customHeight="1" x14ac:dyDescent="0.25">
      <c r="A53" s="639">
        <v>3</v>
      </c>
      <c r="B53" s="640" t="s">
        <v>933</v>
      </c>
      <c r="C53" s="641">
        <f>IF(C22=0,0,C16/C22)</f>
        <v>1508.4244677942636</v>
      </c>
      <c r="D53" s="641">
        <f>IF(D22=0,0,D16/D22)</f>
        <v>1574.8761880006819</v>
      </c>
      <c r="E53" s="641">
        <f>IF(E22=0,0,E16/E22)</f>
        <v>1676.5821990409227</v>
      </c>
    </row>
    <row r="54" spans="1:6" ht="26.1" customHeight="1" x14ac:dyDescent="0.25">
      <c r="A54" s="639">
        <v>4</v>
      </c>
      <c r="B54" s="640" t="s">
        <v>934</v>
      </c>
      <c r="C54" s="641">
        <f>IF(C23=0,0,C16/C23)</f>
        <v>6715.2657314608196</v>
      </c>
      <c r="D54" s="641">
        <f>IF(D23=0,0,D16/D23)</f>
        <v>7122.0785331087791</v>
      </c>
      <c r="E54" s="641">
        <f>IF(E23=0,0,E16/E23)</f>
        <v>7286.283527021742</v>
      </c>
    </row>
    <row r="55" spans="1:6" ht="26.1" customHeight="1" x14ac:dyDescent="0.25">
      <c r="A55" s="639">
        <v>5</v>
      </c>
      <c r="B55" s="640" t="s">
        <v>935</v>
      </c>
      <c r="C55" s="641">
        <f>IF(C29=0,0,C16/C29)</f>
        <v>1276.7051839290382</v>
      </c>
      <c r="D55" s="641">
        <f>IF(D29=0,0,D16/D29)</f>
        <v>1291.2050230454638</v>
      </c>
      <c r="E55" s="641">
        <f>IF(E29=0,0,E16/E29)</f>
        <v>1357.2792936791259</v>
      </c>
    </row>
    <row r="56" spans="1:6" ht="26.1" customHeight="1" x14ac:dyDescent="0.25">
      <c r="A56" s="639">
        <v>6</v>
      </c>
      <c r="B56" s="640" t="s">
        <v>936</v>
      </c>
      <c r="C56" s="641">
        <f>IF(C30=0,0,C16/C30)</f>
        <v>5683.6883475867853</v>
      </c>
      <c r="D56" s="641">
        <f>IF(D30=0,0,D16/D30)</f>
        <v>5839.2295512124056</v>
      </c>
      <c r="E56" s="641">
        <f>IF(E30=0,0,E16/E30)</f>
        <v>5898.6202792557096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937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938</v>
      </c>
      <c r="C59" s="649">
        <v>17457513</v>
      </c>
      <c r="D59" s="649">
        <v>18901408</v>
      </c>
      <c r="E59" s="649">
        <v>18853887</v>
      </c>
    </row>
    <row r="60" spans="1:6" ht="26.1" customHeight="1" x14ac:dyDescent="0.25">
      <c r="A60" s="639">
        <v>2</v>
      </c>
      <c r="B60" s="640" t="s">
        <v>939</v>
      </c>
      <c r="C60" s="649">
        <v>4471462</v>
      </c>
      <c r="D60" s="649">
        <v>5169877</v>
      </c>
      <c r="E60" s="649">
        <v>6041586</v>
      </c>
    </row>
    <row r="61" spans="1:6" ht="26.1" customHeight="1" x14ac:dyDescent="0.25">
      <c r="A61" s="650">
        <v>3</v>
      </c>
      <c r="B61" s="651" t="s">
        <v>940</v>
      </c>
      <c r="C61" s="652">
        <f>C59+C60</f>
        <v>21928975</v>
      </c>
      <c r="D61" s="652">
        <f>D59+D60</f>
        <v>24071285</v>
      </c>
      <c r="E61" s="652">
        <f>E59+E60</f>
        <v>24895473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941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942</v>
      </c>
      <c r="C64" s="641">
        <v>2698480</v>
      </c>
      <c r="D64" s="641">
        <v>3537716</v>
      </c>
      <c r="E64" s="649">
        <v>5186232</v>
      </c>
      <c r="F64" s="653"/>
    </row>
    <row r="65" spans="1:6" ht="26.1" customHeight="1" x14ac:dyDescent="0.25">
      <c r="A65" s="639">
        <v>2</v>
      </c>
      <c r="B65" s="640" t="s">
        <v>943</v>
      </c>
      <c r="C65" s="649">
        <v>691172</v>
      </c>
      <c r="D65" s="649">
        <v>967629</v>
      </c>
      <c r="E65" s="649">
        <v>1661889</v>
      </c>
      <c r="F65" s="653"/>
    </row>
    <row r="66" spans="1:6" ht="26.1" customHeight="1" x14ac:dyDescent="0.25">
      <c r="A66" s="650">
        <v>3</v>
      </c>
      <c r="B66" s="651" t="s">
        <v>944</v>
      </c>
      <c r="C66" s="654">
        <f>C64+C65</f>
        <v>3389652</v>
      </c>
      <c r="D66" s="654">
        <f>D64+D65</f>
        <v>4505345</v>
      </c>
      <c r="E66" s="654">
        <f>E64+E65</f>
        <v>6848121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945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946</v>
      </c>
      <c r="C69" s="649">
        <v>22688049</v>
      </c>
      <c r="D69" s="649">
        <v>23798919</v>
      </c>
      <c r="E69" s="649">
        <v>24620510</v>
      </c>
    </row>
    <row r="70" spans="1:6" ht="26.1" customHeight="1" x14ac:dyDescent="0.25">
      <c r="A70" s="639">
        <v>2</v>
      </c>
      <c r="B70" s="640" t="s">
        <v>947</v>
      </c>
      <c r="C70" s="649">
        <v>5811181</v>
      </c>
      <c r="D70" s="649">
        <v>6509436</v>
      </c>
      <c r="E70" s="649">
        <v>7889458</v>
      </c>
    </row>
    <row r="71" spans="1:6" ht="26.1" customHeight="1" x14ac:dyDescent="0.25">
      <c r="A71" s="650">
        <v>3</v>
      </c>
      <c r="B71" s="651" t="s">
        <v>948</v>
      </c>
      <c r="C71" s="652">
        <f>C69+C70</f>
        <v>28499230</v>
      </c>
      <c r="D71" s="652">
        <f>D69+D70</f>
        <v>30308355</v>
      </c>
      <c r="E71" s="652">
        <f>E69+E70</f>
        <v>32509968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949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950</v>
      </c>
      <c r="C75" s="641">
        <f t="shared" ref="C75:E76" si="0">+C59+C64+C69</f>
        <v>42844042</v>
      </c>
      <c r="D75" s="641">
        <f t="shared" si="0"/>
        <v>46238043</v>
      </c>
      <c r="E75" s="641">
        <f t="shared" si="0"/>
        <v>48660629</v>
      </c>
    </row>
    <row r="76" spans="1:6" ht="26.1" customHeight="1" x14ac:dyDescent="0.25">
      <c r="A76" s="639">
        <v>2</v>
      </c>
      <c r="B76" s="640" t="s">
        <v>951</v>
      </c>
      <c r="C76" s="641">
        <f t="shared" si="0"/>
        <v>10973815</v>
      </c>
      <c r="D76" s="641">
        <f t="shared" si="0"/>
        <v>12646942</v>
      </c>
      <c r="E76" s="641">
        <f t="shared" si="0"/>
        <v>15592933</v>
      </c>
    </row>
    <row r="77" spans="1:6" ht="26.1" customHeight="1" x14ac:dyDescent="0.25">
      <c r="A77" s="650">
        <v>3</v>
      </c>
      <c r="B77" s="651" t="s">
        <v>949</v>
      </c>
      <c r="C77" s="654">
        <f>C75+C76</f>
        <v>53817857</v>
      </c>
      <c r="D77" s="654">
        <f>D75+D76</f>
        <v>58884985</v>
      </c>
      <c r="E77" s="654">
        <f>E75+E76</f>
        <v>64253562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952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270.10000000000002</v>
      </c>
      <c r="D80" s="646">
        <v>276.8</v>
      </c>
      <c r="E80" s="646">
        <v>286.89999999999998</v>
      </c>
    </row>
    <row r="81" spans="1:5" ht="26.1" customHeight="1" x14ac:dyDescent="0.25">
      <c r="A81" s="639">
        <v>2</v>
      </c>
      <c r="B81" s="640" t="s">
        <v>579</v>
      </c>
      <c r="C81" s="646">
        <v>13.5</v>
      </c>
      <c r="D81" s="646">
        <v>18</v>
      </c>
      <c r="E81" s="646">
        <v>24.1</v>
      </c>
    </row>
    <row r="82" spans="1:5" ht="26.1" customHeight="1" x14ac:dyDescent="0.25">
      <c r="A82" s="639">
        <v>3</v>
      </c>
      <c r="B82" s="640" t="s">
        <v>953</v>
      </c>
      <c r="C82" s="646">
        <v>389.3</v>
      </c>
      <c r="D82" s="646">
        <v>390</v>
      </c>
      <c r="E82" s="646">
        <v>402.2</v>
      </c>
    </row>
    <row r="83" spans="1:5" ht="26.1" customHeight="1" x14ac:dyDescent="0.25">
      <c r="A83" s="650">
        <v>4</v>
      </c>
      <c r="B83" s="651" t="s">
        <v>952</v>
      </c>
      <c r="C83" s="656">
        <f>C80+C81+C82</f>
        <v>672.90000000000009</v>
      </c>
      <c r="D83" s="656">
        <f>D80+D81+D82</f>
        <v>684.8</v>
      </c>
      <c r="E83" s="656">
        <f>E80+E81+E82</f>
        <v>713.2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954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955</v>
      </c>
      <c r="C86" s="649">
        <f>IF(C80=0,0,C59/C80)</f>
        <v>64633.517215845975</v>
      </c>
      <c r="D86" s="649">
        <f>IF(D80=0,0,D59/D80)</f>
        <v>68285.433526011562</v>
      </c>
      <c r="E86" s="649">
        <f>IF(E80=0,0,E59/E80)</f>
        <v>65715.883583130009</v>
      </c>
    </row>
    <row r="87" spans="1:5" ht="26.1" customHeight="1" x14ac:dyDescent="0.25">
      <c r="A87" s="639">
        <v>2</v>
      </c>
      <c r="B87" s="640" t="s">
        <v>956</v>
      </c>
      <c r="C87" s="649">
        <f>IF(C80=0,0,C60/C80)</f>
        <v>16554.838948537577</v>
      </c>
      <c r="D87" s="649">
        <f>IF(D80=0,0,D60/D80)</f>
        <v>18677.301300578034</v>
      </c>
      <c r="E87" s="649">
        <f>IF(E80=0,0,E60/E80)</f>
        <v>21058.159637504359</v>
      </c>
    </row>
    <row r="88" spans="1:5" ht="26.1" customHeight="1" x14ac:dyDescent="0.25">
      <c r="A88" s="650">
        <v>3</v>
      </c>
      <c r="B88" s="651" t="s">
        <v>957</v>
      </c>
      <c r="C88" s="652">
        <f>+C86+C87</f>
        <v>81188.356164383556</v>
      </c>
      <c r="D88" s="652">
        <f>+D86+D87</f>
        <v>86962.7348265896</v>
      </c>
      <c r="E88" s="652">
        <f>+E86+E87</f>
        <v>86774.043220634368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958</v>
      </c>
    </row>
    <row r="91" spans="1:5" ht="26.1" customHeight="1" x14ac:dyDescent="0.25">
      <c r="A91" s="639">
        <v>1</v>
      </c>
      <c r="B91" s="640" t="s">
        <v>959</v>
      </c>
      <c r="C91" s="641">
        <f>IF(C81=0,0,C64/C81)</f>
        <v>199887.40740740742</v>
      </c>
      <c r="D91" s="641">
        <f>IF(D81=0,0,D64/D81)</f>
        <v>196539.77777777778</v>
      </c>
      <c r="E91" s="641">
        <f>IF(E81=0,0,E64/E81)</f>
        <v>215196.34854771782</v>
      </c>
    </row>
    <row r="92" spans="1:5" ht="26.1" customHeight="1" x14ac:dyDescent="0.25">
      <c r="A92" s="639">
        <v>2</v>
      </c>
      <c r="B92" s="640" t="s">
        <v>960</v>
      </c>
      <c r="C92" s="641">
        <f>IF(C81=0,0,C65/C81)</f>
        <v>51197.925925925927</v>
      </c>
      <c r="D92" s="641">
        <f>IF(D81=0,0,D65/D81)</f>
        <v>53757.166666666664</v>
      </c>
      <c r="E92" s="641">
        <f>IF(E81=0,0,E65/E81)</f>
        <v>68958.049792531121</v>
      </c>
    </row>
    <row r="93" spans="1:5" ht="26.1" customHeight="1" x14ac:dyDescent="0.25">
      <c r="A93" s="650">
        <v>3</v>
      </c>
      <c r="B93" s="651" t="s">
        <v>961</v>
      </c>
      <c r="C93" s="654">
        <f>+C91+C92</f>
        <v>251085.33333333334</v>
      </c>
      <c r="D93" s="654">
        <f>+D91+D92</f>
        <v>250296.94444444444</v>
      </c>
      <c r="E93" s="654">
        <f>+E91+E92</f>
        <v>284154.39834024897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962</v>
      </c>
      <c r="B95" s="642" t="s">
        <v>963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964</v>
      </c>
      <c r="C96" s="649">
        <f>IF(C82=0,0,C69/C82)</f>
        <v>58279.088106858464</v>
      </c>
      <c r="D96" s="649">
        <f>IF(D82=0,0,D69/D82)</f>
        <v>61022.869230769233</v>
      </c>
      <c r="E96" s="649">
        <f>IF(E82=0,0,E69/E82)</f>
        <v>61214.594728990553</v>
      </c>
    </row>
    <row r="97" spans="1:5" ht="26.1" customHeight="1" x14ac:dyDescent="0.25">
      <c r="A97" s="639">
        <v>2</v>
      </c>
      <c r="B97" s="640" t="s">
        <v>965</v>
      </c>
      <c r="C97" s="649">
        <f>IF(C82=0,0,C70/C82)</f>
        <v>14927.256614436166</v>
      </c>
      <c r="D97" s="649">
        <f>IF(D82=0,0,D70/D82)</f>
        <v>16690.861538461537</v>
      </c>
      <c r="E97" s="649">
        <f>IF(E82=0,0,E70/E82)</f>
        <v>19615.758329189459</v>
      </c>
    </row>
    <row r="98" spans="1:5" ht="26.1" customHeight="1" x14ac:dyDescent="0.25">
      <c r="A98" s="650">
        <v>3</v>
      </c>
      <c r="B98" s="651" t="s">
        <v>966</v>
      </c>
      <c r="C98" s="654">
        <f>+C96+C97</f>
        <v>73206.344721294634</v>
      </c>
      <c r="D98" s="654">
        <f>+D96+D97</f>
        <v>77713.730769230766</v>
      </c>
      <c r="E98" s="654">
        <f>+E96+E97</f>
        <v>80830.353058180015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967</v>
      </c>
      <c r="B100" s="642" t="s">
        <v>968</v>
      </c>
    </row>
    <row r="101" spans="1:5" ht="26.1" customHeight="1" x14ac:dyDescent="0.25">
      <c r="A101" s="639">
        <v>1</v>
      </c>
      <c r="B101" s="640" t="s">
        <v>969</v>
      </c>
      <c r="C101" s="641">
        <f>IF(C83=0,0,C75/C83)</f>
        <v>63670.741566354576</v>
      </c>
      <c r="D101" s="641">
        <f>IF(D83=0,0,D75/D83)</f>
        <v>67520.506717289725</v>
      </c>
      <c r="E101" s="641">
        <f>IF(E83=0,0,E75/E83)</f>
        <v>68228.588053841842</v>
      </c>
    </row>
    <row r="102" spans="1:5" ht="26.1" customHeight="1" x14ac:dyDescent="0.25">
      <c r="A102" s="639">
        <v>2</v>
      </c>
      <c r="B102" s="640" t="s">
        <v>970</v>
      </c>
      <c r="C102" s="658">
        <f>IF(C83=0,0,C76/C83)</f>
        <v>16308.240451775893</v>
      </c>
      <c r="D102" s="658">
        <f>IF(D83=0,0,D76/D83)</f>
        <v>18468.081191588786</v>
      </c>
      <c r="E102" s="658">
        <f>IF(E83=0,0,E76/E83)</f>
        <v>21863.33847448121</v>
      </c>
    </row>
    <row r="103" spans="1:5" ht="26.1" customHeight="1" x14ac:dyDescent="0.25">
      <c r="A103" s="650">
        <v>3</v>
      </c>
      <c r="B103" s="651" t="s">
        <v>968</v>
      </c>
      <c r="C103" s="654">
        <f>+C101+C102</f>
        <v>79978.982018130468</v>
      </c>
      <c r="D103" s="654">
        <f>+D101+D102</f>
        <v>85988.587908878515</v>
      </c>
      <c r="E103" s="654">
        <f>+E101+E102</f>
        <v>90091.926528323049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971</v>
      </c>
      <c r="B107" s="634" t="s">
        <v>972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973</v>
      </c>
      <c r="C108" s="641">
        <f>IF(C19=0,0,C77/C19)</f>
        <v>1986.9985970094149</v>
      </c>
      <c r="D108" s="641">
        <f>IF(D19=0,0,D77/D19)</f>
        <v>2060.2842797662784</v>
      </c>
      <c r="E108" s="641">
        <f>IF(E19=0,0,E77/E19)</f>
        <v>2296.4924407591407</v>
      </c>
    </row>
    <row r="109" spans="1:5" ht="26.1" customHeight="1" x14ac:dyDescent="0.25">
      <c r="A109" s="639">
        <v>2</v>
      </c>
      <c r="B109" s="640" t="s">
        <v>974</v>
      </c>
      <c r="C109" s="641">
        <f>IF(C20=0,0,C77/C20)</f>
        <v>8845.8016107823805</v>
      </c>
      <c r="D109" s="641">
        <f>IF(D20=0,0,D77/D20)</f>
        <v>9317.2444620253173</v>
      </c>
      <c r="E109" s="641">
        <f>IF(E20=0,0,E77/E20)</f>
        <v>9980.3606710158438</v>
      </c>
    </row>
    <row r="110" spans="1:5" ht="26.1" customHeight="1" x14ac:dyDescent="0.25">
      <c r="A110" s="639">
        <v>3</v>
      </c>
      <c r="B110" s="640" t="s">
        <v>975</v>
      </c>
      <c r="C110" s="641">
        <f>IF(C22=0,0,C77/C22)</f>
        <v>868.19198166252363</v>
      </c>
      <c r="D110" s="641">
        <f>IF(D22=0,0,D77/D22)</f>
        <v>923.64922130243303</v>
      </c>
      <c r="E110" s="641">
        <f>IF(E22=0,0,E77/E22)</f>
        <v>989.24871233029523</v>
      </c>
    </row>
    <row r="111" spans="1:5" ht="26.1" customHeight="1" x14ac:dyDescent="0.25">
      <c r="A111" s="639">
        <v>4</v>
      </c>
      <c r="B111" s="640" t="s">
        <v>976</v>
      </c>
      <c r="C111" s="641">
        <f>IF(C23=0,0,C77/C23)</f>
        <v>3865.0525679371221</v>
      </c>
      <c r="D111" s="641">
        <f>IF(D23=0,0,D77/D23)</f>
        <v>4177.0282269058289</v>
      </c>
      <c r="E111" s="641">
        <f>IF(E23=0,0,E77/E23)</f>
        <v>4299.1906993304328</v>
      </c>
    </row>
    <row r="112" spans="1:5" ht="26.1" customHeight="1" x14ac:dyDescent="0.25">
      <c r="A112" s="639">
        <v>5</v>
      </c>
      <c r="B112" s="640" t="s">
        <v>977</v>
      </c>
      <c r="C112" s="641">
        <f>IF(C29=0,0,C77/C29)</f>
        <v>734.82313983874485</v>
      </c>
      <c r="D112" s="641">
        <f>IF(D29=0,0,D77/D29)</f>
        <v>757.27890431296328</v>
      </c>
      <c r="E112" s="641">
        <f>IF(E29=0,0,E77/E29)</f>
        <v>800.84757807444373</v>
      </c>
    </row>
    <row r="113" spans="1:7" ht="25.5" customHeight="1" x14ac:dyDescent="0.25">
      <c r="A113" s="639">
        <v>6</v>
      </c>
      <c r="B113" s="640" t="s">
        <v>978</v>
      </c>
      <c r="C113" s="641">
        <f>IF(C30=0,0,C77/C30)</f>
        <v>3271.3157039007897</v>
      </c>
      <c r="D113" s="641">
        <f>IF(D30=0,0,D77/D30)</f>
        <v>3424.6500576216463</v>
      </c>
      <c r="E113" s="641">
        <f>IF(E30=0,0,E77/E30)</f>
        <v>3480.4154064841346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FILING&amp;R&amp;12CHARLOTTE HUNGERFORD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176391807</v>
      </c>
      <c r="D12" s="51">
        <v>188222806</v>
      </c>
      <c r="E12" s="51">
        <f t="shared" ref="E12:E19" si="0">D12-C12</f>
        <v>11830999</v>
      </c>
      <c r="F12" s="70">
        <f t="shared" ref="F12:F19" si="1">IF(C12=0,0,E12/C12)</f>
        <v>6.7072270539186671E-2</v>
      </c>
    </row>
    <row r="13" spans="1:8" ht="23.1" customHeight="1" x14ac:dyDescent="0.2">
      <c r="A13" s="25">
        <v>2</v>
      </c>
      <c r="B13" s="48" t="s">
        <v>72</v>
      </c>
      <c r="C13" s="51">
        <v>79275013</v>
      </c>
      <c r="D13" s="51">
        <v>83689827</v>
      </c>
      <c r="E13" s="51">
        <f t="shared" si="0"/>
        <v>4414814</v>
      </c>
      <c r="F13" s="70">
        <f t="shared" si="1"/>
        <v>5.5689855263726037E-2</v>
      </c>
    </row>
    <row r="14" spans="1:8" ht="23.1" customHeight="1" x14ac:dyDescent="0.2">
      <c r="A14" s="25">
        <v>3</v>
      </c>
      <c r="B14" s="48" t="s">
        <v>73</v>
      </c>
      <c r="C14" s="51">
        <v>1438204</v>
      </c>
      <c r="D14" s="51">
        <v>1421695</v>
      </c>
      <c r="E14" s="51">
        <f t="shared" si="0"/>
        <v>-16509</v>
      </c>
      <c r="F14" s="70">
        <f t="shared" si="1"/>
        <v>-1.1478900072590536E-2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95678590</v>
      </c>
      <c r="D16" s="27">
        <f>D12-D13-D14-D15</f>
        <v>103111284</v>
      </c>
      <c r="E16" s="27">
        <f t="shared" si="0"/>
        <v>7432694</v>
      </c>
      <c r="F16" s="28">
        <f t="shared" si="1"/>
        <v>7.7683983428267489E-2</v>
      </c>
    </row>
    <row r="17" spans="1:7" ht="23.1" customHeight="1" x14ac:dyDescent="0.2">
      <c r="A17" s="25">
        <v>5</v>
      </c>
      <c r="B17" s="48" t="s">
        <v>76</v>
      </c>
      <c r="C17" s="51">
        <v>5573529</v>
      </c>
      <c r="D17" s="51">
        <v>5277783</v>
      </c>
      <c r="E17" s="51">
        <f t="shared" si="0"/>
        <v>-295746</v>
      </c>
      <c r="F17" s="70">
        <f t="shared" si="1"/>
        <v>-5.306261078035119E-2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82368</v>
      </c>
      <c r="E18" s="51">
        <f t="shared" si="0"/>
        <v>82368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101252119</v>
      </c>
      <c r="D19" s="27">
        <f>SUM(D16:D18)</f>
        <v>108471435</v>
      </c>
      <c r="E19" s="27">
        <f t="shared" si="0"/>
        <v>7219316</v>
      </c>
      <c r="F19" s="28">
        <f t="shared" si="1"/>
        <v>7.1300394216934862E-2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46238043</v>
      </c>
      <c r="D22" s="51">
        <v>48660629</v>
      </c>
      <c r="E22" s="51">
        <f t="shared" ref="E22:E31" si="2">D22-C22</f>
        <v>2422586</v>
      </c>
      <c r="F22" s="70">
        <f t="shared" ref="F22:F31" si="3">IF(C22=0,0,E22/C22)</f>
        <v>5.2393783188445064E-2</v>
      </c>
    </row>
    <row r="23" spans="1:7" ht="23.1" customHeight="1" x14ac:dyDescent="0.2">
      <c r="A23" s="25">
        <v>2</v>
      </c>
      <c r="B23" s="48" t="s">
        <v>81</v>
      </c>
      <c r="C23" s="51">
        <v>12646942</v>
      </c>
      <c r="D23" s="51">
        <v>15592933</v>
      </c>
      <c r="E23" s="51">
        <f t="shared" si="2"/>
        <v>2945991</v>
      </c>
      <c r="F23" s="70">
        <f t="shared" si="3"/>
        <v>0.23294097498035493</v>
      </c>
    </row>
    <row r="24" spans="1:7" ht="23.1" customHeight="1" x14ac:dyDescent="0.2">
      <c r="A24" s="25">
        <v>3</v>
      </c>
      <c r="B24" s="48" t="s">
        <v>82</v>
      </c>
      <c r="C24" s="51">
        <v>908307</v>
      </c>
      <c r="D24" s="51">
        <v>1174714</v>
      </c>
      <c r="E24" s="51">
        <f t="shared" si="2"/>
        <v>266407</v>
      </c>
      <c r="F24" s="70">
        <f t="shared" si="3"/>
        <v>0.29330061311869227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11753018</v>
      </c>
      <c r="D25" s="51">
        <v>12683628</v>
      </c>
      <c r="E25" s="51">
        <f t="shared" si="2"/>
        <v>930610</v>
      </c>
      <c r="F25" s="70">
        <f t="shared" si="3"/>
        <v>7.9180513464711791E-2</v>
      </c>
    </row>
    <row r="26" spans="1:7" ht="23.1" customHeight="1" x14ac:dyDescent="0.2">
      <c r="A26" s="25">
        <v>5</v>
      </c>
      <c r="B26" s="48" t="s">
        <v>84</v>
      </c>
      <c r="C26" s="51">
        <v>6176454</v>
      </c>
      <c r="D26" s="51">
        <v>6171088</v>
      </c>
      <c r="E26" s="51">
        <f t="shared" si="2"/>
        <v>-5366</v>
      </c>
      <c r="F26" s="70">
        <f t="shared" si="3"/>
        <v>-8.6878328568463397E-4</v>
      </c>
    </row>
    <row r="27" spans="1:7" ht="23.1" customHeight="1" x14ac:dyDescent="0.2">
      <c r="A27" s="25">
        <v>6</v>
      </c>
      <c r="B27" s="48" t="s">
        <v>85</v>
      </c>
      <c r="C27" s="51">
        <v>2247042</v>
      </c>
      <c r="D27" s="51">
        <v>2413649</v>
      </c>
      <c r="E27" s="51">
        <f t="shared" si="2"/>
        <v>166607</v>
      </c>
      <c r="F27" s="70">
        <f t="shared" si="3"/>
        <v>7.4145031557042551E-2</v>
      </c>
    </row>
    <row r="28" spans="1:7" ht="23.1" customHeight="1" x14ac:dyDescent="0.2">
      <c r="A28" s="25">
        <v>7</v>
      </c>
      <c r="B28" s="48" t="s">
        <v>86</v>
      </c>
      <c r="C28" s="51">
        <v>417080</v>
      </c>
      <c r="D28" s="51">
        <v>333980</v>
      </c>
      <c r="E28" s="51">
        <f t="shared" si="2"/>
        <v>-83100</v>
      </c>
      <c r="F28" s="70">
        <f t="shared" si="3"/>
        <v>-0.19924235158722547</v>
      </c>
    </row>
    <row r="29" spans="1:7" ht="23.1" customHeight="1" x14ac:dyDescent="0.2">
      <c r="A29" s="25">
        <v>8</v>
      </c>
      <c r="B29" s="48" t="s">
        <v>87</v>
      </c>
      <c r="C29" s="51">
        <v>1082238</v>
      </c>
      <c r="D29" s="51">
        <v>1520168</v>
      </c>
      <c r="E29" s="51">
        <f t="shared" si="2"/>
        <v>437930</v>
      </c>
      <c r="F29" s="70">
        <f t="shared" si="3"/>
        <v>0.40465221143593183</v>
      </c>
    </row>
    <row r="30" spans="1:7" ht="23.1" customHeight="1" x14ac:dyDescent="0.2">
      <c r="A30" s="25">
        <v>9</v>
      </c>
      <c r="B30" s="48" t="s">
        <v>88</v>
      </c>
      <c r="C30" s="51">
        <v>18933235</v>
      </c>
      <c r="D30" s="51">
        <v>20346374</v>
      </c>
      <c r="E30" s="51">
        <f t="shared" si="2"/>
        <v>1413139</v>
      </c>
      <c r="F30" s="70">
        <f t="shared" si="3"/>
        <v>7.4638010884035405E-2</v>
      </c>
    </row>
    <row r="31" spans="1:7" ht="23.1" customHeight="1" x14ac:dyDescent="0.25">
      <c r="A31" s="29"/>
      <c r="B31" s="71" t="s">
        <v>89</v>
      </c>
      <c r="C31" s="27">
        <f>SUM(C22:C30)</f>
        <v>100402359</v>
      </c>
      <c r="D31" s="27">
        <f>SUM(D22:D30)</f>
        <v>108897163</v>
      </c>
      <c r="E31" s="27">
        <f t="shared" si="2"/>
        <v>8494804</v>
      </c>
      <c r="F31" s="28">
        <f t="shared" si="3"/>
        <v>8.4607613651786803E-2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849760</v>
      </c>
      <c r="D33" s="27">
        <f>+D19-D31</f>
        <v>-425728</v>
      </c>
      <c r="E33" s="27">
        <f>D33-C33</f>
        <v>-1275488</v>
      </c>
      <c r="F33" s="28">
        <f>IF(C33=0,0,E33/C33)</f>
        <v>-1.5009979288269628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1996464</v>
      </c>
      <c r="E36" s="51">
        <f>D36-C36</f>
        <v>1996464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188183</v>
      </c>
      <c r="D37" s="51">
        <v>127644</v>
      </c>
      <c r="E37" s="51">
        <f>D37-C37</f>
        <v>-60539</v>
      </c>
      <c r="F37" s="70">
        <f>IF(C37=0,0,E37/C37)</f>
        <v>-0.32170281056205929</v>
      </c>
    </row>
    <row r="38" spans="1:6" ht="23.1" customHeight="1" x14ac:dyDescent="0.2">
      <c r="A38" s="44">
        <v>3</v>
      </c>
      <c r="B38" s="48" t="s">
        <v>94</v>
      </c>
      <c r="C38" s="51">
        <v>-858082</v>
      </c>
      <c r="D38" s="51">
        <v>-145288</v>
      </c>
      <c r="E38" s="51">
        <f>D38-C38</f>
        <v>712794</v>
      </c>
      <c r="F38" s="70">
        <f>IF(C38=0,0,E38/C38)</f>
        <v>-0.8306828484923352</v>
      </c>
    </row>
    <row r="39" spans="1:6" ht="23.1" customHeight="1" x14ac:dyDescent="0.25">
      <c r="A39" s="20"/>
      <c r="B39" s="71" t="s">
        <v>95</v>
      </c>
      <c r="C39" s="27">
        <f>SUM(C36:C38)</f>
        <v>-669899</v>
      </c>
      <c r="D39" s="27">
        <f>SUM(D36:D38)</f>
        <v>1978820</v>
      </c>
      <c r="E39" s="27">
        <f>D39-C39</f>
        <v>2648719</v>
      </c>
      <c r="F39" s="28">
        <f>IF(C39=0,0,E39/C39)</f>
        <v>-3.9539079771726784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179861</v>
      </c>
      <c r="D41" s="27">
        <f>D33+D39</f>
        <v>1553092</v>
      </c>
      <c r="E41" s="27">
        <f>D41-C41</f>
        <v>1373231</v>
      </c>
      <c r="F41" s="28">
        <f>IF(C41=0,0,E41/C41)</f>
        <v>7.6349569945680278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179861</v>
      </c>
      <c r="D48" s="27">
        <f>D41+D46</f>
        <v>1553092</v>
      </c>
      <c r="E48" s="27">
        <f>D48-C48</f>
        <v>1373231</v>
      </c>
      <c r="F48" s="28">
        <f>IF(C48=0,0,E48/C48)</f>
        <v>7.6349569945680278</v>
      </c>
    </row>
    <row r="49" spans="1:6" ht="23.1" customHeight="1" x14ac:dyDescent="0.2">
      <c r="A49" s="44"/>
      <c r="B49" s="48" t="s">
        <v>102</v>
      </c>
      <c r="C49" s="51">
        <v>1485596</v>
      </c>
      <c r="D49" s="51">
        <v>1654302</v>
      </c>
      <c r="E49" s="51">
        <f>D49-C49</f>
        <v>168706</v>
      </c>
      <c r="F49" s="70">
        <f>IF(C49=0,0,E49/C49)</f>
        <v>0.11356115659977545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FILING&amp;RCHARLOTTE HUNGERFORD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6.8554687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46591298</v>
      </c>
      <c r="D14" s="97">
        <v>45419844</v>
      </c>
      <c r="E14" s="97">
        <f t="shared" ref="E14:E25" si="0">D14-C14</f>
        <v>-1171454</v>
      </c>
      <c r="F14" s="98">
        <f t="shared" ref="F14:F25" si="1">IF(C14=0,0,E14/C14)</f>
        <v>-2.5143193048624661E-2</v>
      </c>
    </row>
    <row r="15" spans="1:6" ht="18" customHeight="1" x14ac:dyDescent="0.25">
      <c r="A15" s="99">
        <v>2</v>
      </c>
      <c r="B15" s="100" t="s">
        <v>113</v>
      </c>
      <c r="C15" s="97">
        <v>2715679</v>
      </c>
      <c r="D15" s="97">
        <v>3348414</v>
      </c>
      <c r="E15" s="97">
        <f t="shared" si="0"/>
        <v>632735</v>
      </c>
      <c r="F15" s="98">
        <f t="shared" si="1"/>
        <v>0.23299329559936943</v>
      </c>
    </row>
    <row r="16" spans="1:6" ht="18" customHeight="1" x14ac:dyDescent="0.25">
      <c r="A16" s="99">
        <v>3</v>
      </c>
      <c r="B16" s="100" t="s">
        <v>114</v>
      </c>
      <c r="C16" s="97">
        <v>3158962</v>
      </c>
      <c r="D16" s="97">
        <v>5911817</v>
      </c>
      <c r="E16" s="97">
        <f t="shared" si="0"/>
        <v>2752855</v>
      </c>
      <c r="F16" s="98">
        <f t="shared" si="1"/>
        <v>0.87144289801523411</v>
      </c>
    </row>
    <row r="17" spans="1:6" ht="18" customHeight="1" x14ac:dyDescent="0.25">
      <c r="A17" s="99">
        <v>4</v>
      </c>
      <c r="B17" s="100" t="s">
        <v>115</v>
      </c>
      <c r="C17" s="97">
        <v>2753894</v>
      </c>
      <c r="D17" s="97">
        <v>3301552</v>
      </c>
      <c r="E17" s="97">
        <f t="shared" si="0"/>
        <v>547658</v>
      </c>
      <c r="F17" s="98">
        <f t="shared" si="1"/>
        <v>0.1988667682924615</v>
      </c>
    </row>
    <row r="18" spans="1:6" ht="18" customHeight="1" x14ac:dyDescent="0.25">
      <c r="A18" s="99">
        <v>5</v>
      </c>
      <c r="B18" s="100" t="s">
        <v>116</v>
      </c>
      <c r="C18" s="97">
        <v>360931</v>
      </c>
      <c r="D18" s="97">
        <v>675700</v>
      </c>
      <c r="E18" s="97">
        <f t="shared" si="0"/>
        <v>314769</v>
      </c>
      <c r="F18" s="98">
        <f t="shared" si="1"/>
        <v>0.87210297813155424</v>
      </c>
    </row>
    <row r="19" spans="1:6" ht="18" customHeight="1" x14ac:dyDescent="0.25">
      <c r="A19" s="99">
        <v>6</v>
      </c>
      <c r="B19" s="100" t="s">
        <v>117</v>
      </c>
      <c r="C19" s="97">
        <v>3723126</v>
      </c>
      <c r="D19" s="97">
        <v>3717046</v>
      </c>
      <c r="E19" s="97">
        <f t="shared" si="0"/>
        <v>-6080</v>
      </c>
      <c r="F19" s="98">
        <f t="shared" si="1"/>
        <v>-1.633036324851751E-3</v>
      </c>
    </row>
    <row r="20" spans="1:6" ht="18" customHeight="1" x14ac:dyDescent="0.25">
      <c r="A20" s="99">
        <v>7</v>
      </c>
      <c r="B20" s="100" t="s">
        <v>118</v>
      </c>
      <c r="C20" s="97">
        <v>14714258</v>
      </c>
      <c r="D20" s="97">
        <v>14595779</v>
      </c>
      <c r="E20" s="97">
        <f t="shared" si="0"/>
        <v>-118479</v>
      </c>
      <c r="F20" s="98">
        <f t="shared" si="1"/>
        <v>-8.0519860396630269E-3</v>
      </c>
    </row>
    <row r="21" spans="1:6" ht="18" customHeight="1" x14ac:dyDescent="0.25">
      <c r="A21" s="99">
        <v>8</v>
      </c>
      <c r="B21" s="100" t="s">
        <v>119</v>
      </c>
      <c r="C21" s="97">
        <v>663719</v>
      </c>
      <c r="D21" s="97">
        <v>737258</v>
      </c>
      <c r="E21" s="97">
        <f t="shared" si="0"/>
        <v>73539</v>
      </c>
      <c r="F21" s="98">
        <f t="shared" si="1"/>
        <v>0.11079839510395212</v>
      </c>
    </row>
    <row r="22" spans="1:6" ht="18" customHeight="1" x14ac:dyDescent="0.25">
      <c r="A22" s="99">
        <v>9</v>
      </c>
      <c r="B22" s="100" t="s">
        <v>120</v>
      </c>
      <c r="C22" s="97">
        <v>1170201</v>
      </c>
      <c r="D22" s="97">
        <v>1088411</v>
      </c>
      <c r="E22" s="97">
        <f t="shared" si="0"/>
        <v>-81790</v>
      </c>
      <c r="F22" s="98">
        <f t="shared" si="1"/>
        <v>-6.989397547942619E-2</v>
      </c>
    </row>
    <row r="23" spans="1:6" ht="18" customHeight="1" x14ac:dyDescent="0.25">
      <c r="A23" s="99">
        <v>10</v>
      </c>
      <c r="B23" s="100" t="s">
        <v>121</v>
      </c>
      <c r="C23" s="97">
        <v>3127920</v>
      </c>
      <c r="D23" s="97">
        <v>2225993</v>
      </c>
      <c r="E23" s="97">
        <f t="shared" si="0"/>
        <v>-901927</v>
      </c>
      <c r="F23" s="98">
        <f t="shared" si="1"/>
        <v>-0.28834720836850047</v>
      </c>
    </row>
    <row r="24" spans="1:6" ht="18" customHeight="1" x14ac:dyDescent="0.25">
      <c r="A24" s="99">
        <v>11</v>
      </c>
      <c r="B24" s="100" t="s">
        <v>122</v>
      </c>
      <c r="C24" s="97">
        <v>98494</v>
      </c>
      <c r="D24" s="97">
        <v>57995</v>
      </c>
      <c r="E24" s="97">
        <f t="shared" si="0"/>
        <v>-40499</v>
      </c>
      <c r="F24" s="98">
        <f t="shared" si="1"/>
        <v>-0.41118240705017567</v>
      </c>
    </row>
    <row r="25" spans="1:6" ht="18" customHeight="1" x14ac:dyDescent="0.25">
      <c r="A25" s="101"/>
      <c r="B25" s="102" t="s">
        <v>123</v>
      </c>
      <c r="C25" s="103">
        <f>SUM(C14:C24)</f>
        <v>79078482</v>
      </c>
      <c r="D25" s="103">
        <f>SUM(D14:D24)</f>
        <v>81079809</v>
      </c>
      <c r="E25" s="103">
        <f t="shared" si="0"/>
        <v>2001327</v>
      </c>
      <c r="F25" s="104">
        <f t="shared" si="1"/>
        <v>2.5308110997881827E-2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30009731</v>
      </c>
      <c r="D27" s="97">
        <v>31881562</v>
      </c>
      <c r="E27" s="97">
        <f t="shared" ref="E27:E38" si="2">D27-C27</f>
        <v>1871831</v>
      </c>
      <c r="F27" s="98">
        <f t="shared" ref="F27:F38" si="3">IF(C27=0,0,E27/C27)</f>
        <v>6.2374134576547856E-2</v>
      </c>
    </row>
    <row r="28" spans="1:6" ht="18" customHeight="1" x14ac:dyDescent="0.25">
      <c r="A28" s="99">
        <v>2</v>
      </c>
      <c r="B28" s="100" t="s">
        <v>113</v>
      </c>
      <c r="C28" s="97">
        <v>2185311</v>
      </c>
      <c r="D28" s="97">
        <v>3360179</v>
      </c>
      <c r="E28" s="97">
        <f t="shared" si="2"/>
        <v>1174868</v>
      </c>
      <c r="F28" s="98">
        <f t="shared" si="3"/>
        <v>0.53762050344321699</v>
      </c>
    </row>
    <row r="29" spans="1:6" ht="18" customHeight="1" x14ac:dyDescent="0.25">
      <c r="A29" s="99">
        <v>3</v>
      </c>
      <c r="B29" s="100" t="s">
        <v>114</v>
      </c>
      <c r="C29" s="97">
        <v>4187736</v>
      </c>
      <c r="D29" s="97">
        <v>6626422</v>
      </c>
      <c r="E29" s="97">
        <f t="shared" si="2"/>
        <v>2438686</v>
      </c>
      <c r="F29" s="98">
        <f t="shared" si="3"/>
        <v>0.58233995648245263</v>
      </c>
    </row>
    <row r="30" spans="1:6" ht="18" customHeight="1" x14ac:dyDescent="0.25">
      <c r="A30" s="99">
        <v>4</v>
      </c>
      <c r="B30" s="100" t="s">
        <v>115</v>
      </c>
      <c r="C30" s="97">
        <v>9902556</v>
      </c>
      <c r="D30" s="97">
        <v>12072242</v>
      </c>
      <c r="E30" s="97">
        <f t="shared" si="2"/>
        <v>2169686</v>
      </c>
      <c r="F30" s="98">
        <f t="shared" si="3"/>
        <v>0.21910363344574876</v>
      </c>
    </row>
    <row r="31" spans="1:6" ht="18" customHeight="1" x14ac:dyDescent="0.25">
      <c r="A31" s="99">
        <v>5</v>
      </c>
      <c r="B31" s="100" t="s">
        <v>116</v>
      </c>
      <c r="C31" s="97">
        <v>338852</v>
      </c>
      <c r="D31" s="97">
        <v>379494</v>
      </c>
      <c r="E31" s="97">
        <f t="shared" si="2"/>
        <v>40642</v>
      </c>
      <c r="F31" s="98">
        <f t="shared" si="3"/>
        <v>0.11994026890795982</v>
      </c>
    </row>
    <row r="32" spans="1:6" ht="18" customHeight="1" x14ac:dyDescent="0.25">
      <c r="A32" s="99">
        <v>6</v>
      </c>
      <c r="B32" s="100" t="s">
        <v>117</v>
      </c>
      <c r="C32" s="97">
        <v>7307455</v>
      </c>
      <c r="D32" s="97">
        <v>7681535</v>
      </c>
      <c r="E32" s="97">
        <f t="shared" si="2"/>
        <v>374080</v>
      </c>
      <c r="F32" s="98">
        <f t="shared" si="3"/>
        <v>5.1191557115302114E-2</v>
      </c>
    </row>
    <row r="33" spans="1:6" ht="18" customHeight="1" x14ac:dyDescent="0.25">
      <c r="A33" s="99">
        <v>7</v>
      </c>
      <c r="B33" s="100" t="s">
        <v>118</v>
      </c>
      <c r="C33" s="97">
        <v>34315697</v>
      </c>
      <c r="D33" s="97">
        <v>36529549</v>
      </c>
      <c r="E33" s="97">
        <f t="shared" si="2"/>
        <v>2213852</v>
      </c>
      <c r="F33" s="98">
        <f t="shared" si="3"/>
        <v>6.4514265876633656E-2</v>
      </c>
    </row>
    <row r="34" spans="1:6" ht="18" customHeight="1" x14ac:dyDescent="0.25">
      <c r="A34" s="99">
        <v>8</v>
      </c>
      <c r="B34" s="100" t="s">
        <v>119</v>
      </c>
      <c r="C34" s="97">
        <v>767407</v>
      </c>
      <c r="D34" s="97">
        <v>912102</v>
      </c>
      <c r="E34" s="97">
        <f t="shared" si="2"/>
        <v>144695</v>
      </c>
      <c r="F34" s="98">
        <f t="shared" si="3"/>
        <v>0.18855053446215633</v>
      </c>
    </row>
    <row r="35" spans="1:6" ht="18" customHeight="1" x14ac:dyDescent="0.25">
      <c r="A35" s="99">
        <v>9</v>
      </c>
      <c r="B35" s="100" t="s">
        <v>120</v>
      </c>
      <c r="C35" s="97">
        <v>3638115</v>
      </c>
      <c r="D35" s="97">
        <v>3745209</v>
      </c>
      <c r="E35" s="97">
        <f t="shared" si="2"/>
        <v>107094</v>
      </c>
      <c r="F35" s="98">
        <f t="shared" si="3"/>
        <v>2.9436672562577048E-2</v>
      </c>
    </row>
    <row r="36" spans="1:6" ht="18" customHeight="1" x14ac:dyDescent="0.25">
      <c r="A36" s="99">
        <v>10</v>
      </c>
      <c r="B36" s="100" t="s">
        <v>121</v>
      </c>
      <c r="C36" s="97">
        <v>4573431</v>
      </c>
      <c r="D36" s="97">
        <v>3849852</v>
      </c>
      <c r="E36" s="97">
        <f t="shared" si="2"/>
        <v>-723579</v>
      </c>
      <c r="F36" s="98">
        <f t="shared" si="3"/>
        <v>-0.15821360374738352</v>
      </c>
    </row>
    <row r="37" spans="1:6" ht="18" customHeight="1" x14ac:dyDescent="0.25">
      <c r="A37" s="99">
        <v>11</v>
      </c>
      <c r="B37" s="100" t="s">
        <v>122</v>
      </c>
      <c r="C37" s="97">
        <v>87032</v>
      </c>
      <c r="D37" s="97">
        <v>104851</v>
      </c>
      <c r="E37" s="97">
        <f t="shared" si="2"/>
        <v>17819</v>
      </c>
      <c r="F37" s="98">
        <f t="shared" si="3"/>
        <v>0.20474078499862119</v>
      </c>
    </row>
    <row r="38" spans="1:6" ht="18" customHeight="1" x14ac:dyDescent="0.25">
      <c r="A38" s="101"/>
      <c r="B38" s="102" t="s">
        <v>126</v>
      </c>
      <c r="C38" s="103">
        <f>SUM(C27:C37)</f>
        <v>97313323</v>
      </c>
      <c r="D38" s="103">
        <f>SUM(D27:D37)</f>
        <v>107142997</v>
      </c>
      <c r="E38" s="103">
        <f t="shared" si="2"/>
        <v>9829674</v>
      </c>
      <c r="F38" s="104">
        <f t="shared" si="3"/>
        <v>0.10101056768968829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76601029</v>
      </c>
      <c r="D41" s="103">
        <f t="shared" si="4"/>
        <v>77301406</v>
      </c>
      <c r="E41" s="107">
        <f t="shared" ref="E41:E52" si="5">D41-C41</f>
        <v>700377</v>
      </c>
      <c r="F41" s="108">
        <f t="shared" ref="F41:F52" si="6">IF(C41=0,0,E41/C41)</f>
        <v>9.1431800478816022E-3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4900990</v>
      </c>
      <c r="D42" s="103">
        <f t="shared" si="4"/>
        <v>6708593</v>
      </c>
      <c r="E42" s="107">
        <f t="shared" si="5"/>
        <v>1807603</v>
      </c>
      <c r="F42" s="108">
        <f t="shared" si="6"/>
        <v>0.36882405391563744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7346698</v>
      </c>
      <c r="D43" s="103">
        <f t="shared" si="4"/>
        <v>12538239</v>
      </c>
      <c r="E43" s="107">
        <f t="shared" si="5"/>
        <v>5191541</v>
      </c>
      <c r="F43" s="108">
        <f t="shared" si="6"/>
        <v>0.70664957236570769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12656450</v>
      </c>
      <c r="D44" s="103">
        <f t="shared" si="4"/>
        <v>15373794</v>
      </c>
      <c r="E44" s="107">
        <f t="shared" si="5"/>
        <v>2717344</v>
      </c>
      <c r="F44" s="108">
        <f t="shared" si="6"/>
        <v>0.2147003306614414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699783</v>
      </c>
      <c r="D45" s="103">
        <f t="shared" si="4"/>
        <v>1055194</v>
      </c>
      <c r="E45" s="107">
        <f t="shared" si="5"/>
        <v>355411</v>
      </c>
      <c r="F45" s="108">
        <f t="shared" si="6"/>
        <v>0.50788744510798345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11030581</v>
      </c>
      <c r="D46" s="103">
        <f t="shared" si="4"/>
        <v>11398581</v>
      </c>
      <c r="E46" s="107">
        <f t="shared" si="5"/>
        <v>368000</v>
      </c>
      <c r="F46" s="108">
        <f t="shared" si="6"/>
        <v>3.3361796627031703E-2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49029955</v>
      </c>
      <c r="D47" s="103">
        <f t="shared" si="4"/>
        <v>51125328</v>
      </c>
      <c r="E47" s="107">
        <f t="shared" si="5"/>
        <v>2095373</v>
      </c>
      <c r="F47" s="108">
        <f t="shared" si="6"/>
        <v>4.2736588275473636E-2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1431126</v>
      </c>
      <c r="D48" s="103">
        <f t="shared" si="4"/>
        <v>1649360</v>
      </c>
      <c r="E48" s="107">
        <f t="shared" si="5"/>
        <v>218234</v>
      </c>
      <c r="F48" s="108">
        <f t="shared" si="6"/>
        <v>0.15249111538746413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4808316</v>
      </c>
      <c r="D49" s="103">
        <f t="shared" si="4"/>
        <v>4833620</v>
      </c>
      <c r="E49" s="107">
        <f t="shared" si="5"/>
        <v>25304</v>
      </c>
      <c r="F49" s="108">
        <f t="shared" si="6"/>
        <v>5.2625493000044094E-3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7701351</v>
      </c>
      <c r="D50" s="103">
        <f t="shared" si="4"/>
        <v>6075845</v>
      </c>
      <c r="E50" s="107">
        <f t="shared" si="5"/>
        <v>-1625506</v>
      </c>
      <c r="F50" s="108">
        <f t="shared" si="6"/>
        <v>-0.21106764254739202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185526</v>
      </c>
      <c r="D51" s="103">
        <f t="shared" si="4"/>
        <v>162846</v>
      </c>
      <c r="E51" s="107">
        <f t="shared" si="5"/>
        <v>-22680</v>
      </c>
      <c r="F51" s="108">
        <f t="shared" si="6"/>
        <v>-0.12224701659066654</v>
      </c>
    </row>
    <row r="52" spans="1:6" ht="18.75" customHeight="1" thickBot="1" x14ac:dyDescent="0.3">
      <c r="A52" s="109"/>
      <c r="B52" s="110" t="s">
        <v>128</v>
      </c>
      <c r="C52" s="111">
        <f>SUM(C41:C51)</f>
        <v>176391805</v>
      </c>
      <c r="D52" s="112">
        <f>SUM(D41:D51)</f>
        <v>188222806</v>
      </c>
      <c r="E52" s="111">
        <f t="shared" si="5"/>
        <v>11831001</v>
      </c>
      <c r="F52" s="113">
        <f t="shared" si="6"/>
        <v>6.7072282638073799E-2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31396741</v>
      </c>
      <c r="D57" s="97">
        <v>30668996</v>
      </c>
      <c r="E57" s="97">
        <f t="shared" ref="E57:E68" si="7">D57-C57</f>
        <v>-727745</v>
      </c>
      <c r="F57" s="98">
        <f t="shared" ref="F57:F68" si="8">IF(C57=0,0,E57/C57)</f>
        <v>-2.3178998100471637E-2</v>
      </c>
    </row>
    <row r="58" spans="1:6" ht="18" customHeight="1" x14ac:dyDescent="0.25">
      <c r="A58" s="99">
        <v>2</v>
      </c>
      <c r="B58" s="100" t="s">
        <v>113</v>
      </c>
      <c r="C58" s="97">
        <v>1539038</v>
      </c>
      <c r="D58" s="97">
        <v>2334584</v>
      </c>
      <c r="E58" s="97">
        <f t="shared" si="7"/>
        <v>795546</v>
      </c>
      <c r="F58" s="98">
        <f t="shared" si="8"/>
        <v>0.51691121336835089</v>
      </c>
    </row>
    <row r="59" spans="1:6" ht="18" customHeight="1" x14ac:dyDescent="0.25">
      <c r="A59" s="99">
        <v>3</v>
      </c>
      <c r="B59" s="100" t="s">
        <v>114</v>
      </c>
      <c r="C59" s="97">
        <v>1555834</v>
      </c>
      <c r="D59" s="97">
        <v>2742534</v>
      </c>
      <c r="E59" s="97">
        <f t="shared" si="7"/>
        <v>1186700</v>
      </c>
      <c r="F59" s="98">
        <f t="shared" si="8"/>
        <v>0.76274204060330342</v>
      </c>
    </row>
    <row r="60" spans="1:6" ht="18" customHeight="1" x14ac:dyDescent="0.25">
      <c r="A60" s="99">
        <v>4</v>
      </c>
      <c r="B60" s="100" t="s">
        <v>115</v>
      </c>
      <c r="C60" s="97">
        <v>1415306</v>
      </c>
      <c r="D60" s="97">
        <v>1641365</v>
      </c>
      <c r="E60" s="97">
        <f t="shared" si="7"/>
        <v>226059</v>
      </c>
      <c r="F60" s="98">
        <f t="shared" si="8"/>
        <v>0.15972446947868518</v>
      </c>
    </row>
    <row r="61" spans="1:6" ht="18" customHeight="1" x14ac:dyDescent="0.25">
      <c r="A61" s="99">
        <v>5</v>
      </c>
      <c r="B61" s="100" t="s">
        <v>116</v>
      </c>
      <c r="C61" s="97">
        <v>167102</v>
      </c>
      <c r="D61" s="97">
        <v>274836</v>
      </c>
      <c r="E61" s="97">
        <f t="shared" si="7"/>
        <v>107734</v>
      </c>
      <c r="F61" s="98">
        <f t="shared" si="8"/>
        <v>0.64471999138250891</v>
      </c>
    </row>
    <row r="62" spans="1:6" ht="18" customHeight="1" x14ac:dyDescent="0.25">
      <c r="A62" s="99">
        <v>6</v>
      </c>
      <c r="B62" s="100" t="s">
        <v>117</v>
      </c>
      <c r="C62" s="97">
        <v>2567108</v>
      </c>
      <c r="D62" s="97">
        <v>2675291</v>
      </c>
      <c r="E62" s="97">
        <f t="shared" si="7"/>
        <v>108183</v>
      </c>
      <c r="F62" s="98">
        <f t="shared" si="8"/>
        <v>4.2141974548791872E-2</v>
      </c>
    </row>
    <row r="63" spans="1:6" ht="18" customHeight="1" x14ac:dyDescent="0.25">
      <c r="A63" s="99">
        <v>7</v>
      </c>
      <c r="B63" s="100" t="s">
        <v>118</v>
      </c>
      <c r="C63" s="97">
        <v>10134901</v>
      </c>
      <c r="D63" s="97">
        <v>10338860</v>
      </c>
      <c r="E63" s="97">
        <f t="shared" si="7"/>
        <v>203959</v>
      </c>
      <c r="F63" s="98">
        <f t="shared" si="8"/>
        <v>2.0124419567591239E-2</v>
      </c>
    </row>
    <row r="64" spans="1:6" ht="18" customHeight="1" x14ac:dyDescent="0.25">
      <c r="A64" s="99">
        <v>8</v>
      </c>
      <c r="B64" s="100" t="s">
        <v>119</v>
      </c>
      <c r="C64" s="97">
        <v>471699</v>
      </c>
      <c r="D64" s="97">
        <v>519225</v>
      </c>
      <c r="E64" s="97">
        <f t="shared" si="7"/>
        <v>47526</v>
      </c>
      <c r="F64" s="98">
        <f t="shared" si="8"/>
        <v>0.10075493058073051</v>
      </c>
    </row>
    <row r="65" spans="1:6" ht="18" customHeight="1" x14ac:dyDescent="0.25">
      <c r="A65" s="99">
        <v>9</v>
      </c>
      <c r="B65" s="100" t="s">
        <v>120</v>
      </c>
      <c r="C65" s="97">
        <v>311253</v>
      </c>
      <c r="D65" s="97">
        <v>275446</v>
      </c>
      <c r="E65" s="97">
        <f t="shared" si="7"/>
        <v>-35807</v>
      </c>
      <c r="F65" s="98">
        <f t="shared" si="8"/>
        <v>-0.11504146144776115</v>
      </c>
    </row>
    <row r="66" spans="1:6" ht="18" customHeight="1" x14ac:dyDescent="0.25">
      <c r="A66" s="99">
        <v>10</v>
      </c>
      <c r="B66" s="100" t="s">
        <v>121</v>
      </c>
      <c r="C66" s="97">
        <v>864115</v>
      </c>
      <c r="D66" s="97">
        <v>964399</v>
      </c>
      <c r="E66" s="97">
        <f t="shared" si="7"/>
        <v>100284</v>
      </c>
      <c r="F66" s="98">
        <f t="shared" si="8"/>
        <v>0.11605399744247004</v>
      </c>
    </row>
    <row r="67" spans="1:6" ht="18" customHeight="1" x14ac:dyDescent="0.25">
      <c r="A67" s="99">
        <v>11</v>
      </c>
      <c r="B67" s="100" t="s">
        <v>122</v>
      </c>
      <c r="C67" s="97">
        <v>15908</v>
      </c>
      <c r="D67" s="97">
        <v>36376</v>
      </c>
      <c r="E67" s="97">
        <f t="shared" si="7"/>
        <v>20468</v>
      </c>
      <c r="F67" s="98">
        <f t="shared" si="8"/>
        <v>1.2866482273070154</v>
      </c>
    </row>
    <row r="68" spans="1:6" ht="18" customHeight="1" x14ac:dyDescent="0.25">
      <c r="A68" s="101"/>
      <c r="B68" s="102" t="s">
        <v>131</v>
      </c>
      <c r="C68" s="103">
        <f>SUM(C57:C67)</f>
        <v>50439005</v>
      </c>
      <c r="D68" s="103">
        <f>SUM(D57:D67)</f>
        <v>52471912</v>
      </c>
      <c r="E68" s="103">
        <f t="shared" si="7"/>
        <v>2032907</v>
      </c>
      <c r="F68" s="104">
        <f t="shared" si="8"/>
        <v>4.0304264527026255E-2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12634110</v>
      </c>
      <c r="D70" s="97">
        <v>13963141</v>
      </c>
      <c r="E70" s="97">
        <f t="shared" ref="E70:E81" si="9">D70-C70</f>
        <v>1329031</v>
      </c>
      <c r="F70" s="98">
        <f t="shared" ref="F70:F81" si="10">IF(C70=0,0,E70/C70)</f>
        <v>0.10519387594377444</v>
      </c>
    </row>
    <row r="71" spans="1:6" ht="18" customHeight="1" x14ac:dyDescent="0.25">
      <c r="A71" s="99">
        <v>2</v>
      </c>
      <c r="B71" s="100" t="s">
        <v>113</v>
      </c>
      <c r="C71" s="97">
        <v>854426</v>
      </c>
      <c r="D71" s="97">
        <v>1463408</v>
      </c>
      <c r="E71" s="97">
        <f t="shared" si="9"/>
        <v>608982</v>
      </c>
      <c r="F71" s="98">
        <f t="shared" si="10"/>
        <v>0.7127381423318111</v>
      </c>
    </row>
    <row r="72" spans="1:6" ht="18" customHeight="1" x14ac:dyDescent="0.25">
      <c r="A72" s="99">
        <v>3</v>
      </c>
      <c r="B72" s="100" t="s">
        <v>114</v>
      </c>
      <c r="C72" s="97">
        <v>1193536</v>
      </c>
      <c r="D72" s="97">
        <v>1737966</v>
      </c>
      <c r="E72" s="97">
        <f t="shared" si="9"/>
        <v>544430</v>
      </c>
      <c r="F72" s="98">
        <f t="shared" si="10"/>
        <v>0.45614878813877419</v>
      </c>
    </row>
    <row r="73" spans="1:6" ht="18" customHeight="1" x14ac:dyDescent="0.25">
      <c r="A73" s="99">
        <v>4</v>
      </c>
      <c r="B73" s="100" t="s">
        <v>115</v>
      </c>
      <c r="C73" s="97">
        <v>3731012</v>
      </c>
      <c r="D73" s="97">
        <v>4939087</v>
      </c>
      <c r="E73" s="97">
        <f t="shared" si="9"/>
        <v>1208075</v>
      </c>
      <c r="F73" s="98">
        <f t="shared" si="10"/>
        <v>0.32379284762418348</v>
      </c>
    </row>
    <row r="74" spans="1:6" ht="18" customHeight="1" x14ac:dyDescent="0.25">
      <c r="A74" s="99">
        <v>5</v>
      </c>
      <c r="B74" s="100" t="s">
        <v>116</v>
      </c>
      <c r="C74" s="97">
        <v>153650</v>
      </c>
      <c r="D74" s="97">
        <v>156734</v>
      </c>
      <c r="E74" s="97">
        <f t="shared" si="9"/>
        <v>3084</v>
      </c>
      <c r="F74" s="98">
        <f t="shared" si="10"/>
        <v>2.0071591278880571E-2</v>
      </c>
    </row>
    <row r="75" spans="1:6" ht="18" customHeight="1" x14ac:dyDescent="0.25">
      <c r="A75" s="99">
        <v>6</v>
      </c>
      <c r="B75" s="100" t="s">
        <v>117</v>
      </c>
      <c r="C75" s="97">
        <v>4473741</v>
      </c>
      <c r="D75" s="97">
        <v>4479400</v>
      </c>
      <c r="E75" s="97">
        <f t="shared" si="9"/>
        <v>5659</v>
      </c>
      <c r="F75" s="98">
        <f t="shared" si="10"/>
        <v>1.2649368839188499E-3</v>
      </c>
    </row>
    <row r="76" spans="1:6" ht="18" customHeight="1" x14ac:dyDescent="0.25">
      <c r="A76" s="99">
        <v>7</v>
      </c>
      <c r="B76" s="100" t="s">
        <v>118</v>
      </c>
      <c r="C76" s="97">
        <v>16680240</v>
      </c>
      <c r="D76" s="97">
        <v>18554226</v>
      </c>
      <c r="E76" s="97">
        <f t="shared" si="9"/>
        <v>1873986</v>
      </c>
      <c r="F76" s="98">
        <f t="shared" si="10"/>
        <v>0.11234766406238759</v>
      </c>
    </row>
    <row r="77" spans="1:6" ht="18" customHeight="1" x14ac:dyDescent="0.25">
      <c r="A77" s="99">
        <v>8</v>
      </c>
      <c r="B77" s="100" t="s">
        <v>119</v>
      </c>
      <c r="C77" s="97">
        <v>622495</v>
      </c>
      <c r="D77" s="97">
        <v>679714</v>
      </c>
      <c r="E77" s="97">
        <f t="shared" si="9"/>
        <v>57219</v>
      </c>
      <c r="F77" s="98">
        <f t="shared" si="10"/>
        <v>9.1918810592856171E-2</v>
      </c>
    </row>
    <row r="78" spans="1:6" ht="18" customHeight="1" x14ac:dyDescent="0.25">
      <c r="A78" s="99">
        <v>9</v>
      </c>
      <c r="B78" s="100" t="s">
        <v>120</v>
      </c>
      <c r="C78" s="97">
        <v>967674</v>
      </c>
      <c r="D78" s="97">
        <v>947806</v>
      </c>
      <c r="E78" s="97">
        <f t="shared" si="9"/>
        <v>-19868</v>
      </c>
      <c r="F78" s="98">
        <f t="shared" si="10"/>
        <v>-2.0531707992567746E-2</v>
      </c>
    </row>
    <row r="79" spans="1:6" ht="18" customHeight="1" x14ac:dyDescent="0.25">
      <c r="A79" s="99">
        <v>10</v>
      </c>
      <c r="B79" s="100" t="s">
        <v>121</v>
      </c>
      <c r="C79" s="97">
        <v>1014164</v>
      </c>
      <c r="D79" s="97">
        <v>1122908</v>
      </c>
      <c r="E79" s="97">
        <f t="shared" si="9"/>
        <v>108744</v>
      </c>
      <c r="F79" s="98">
        <f t="shared" si="10"/>
        <v>0.10722526139756489</v>
      </c>
    </row>
    <row r="80" spans="1:6" ht="18" customHeight="1" x14ac:dyDescent="0.25">
      <c r="A80" s="99">
        <v>11</v>
      </c>
      <c r="B80" s="100" t="s">
        <v>122</v>
      </c>
      <c r="C80" s="97">
        <v>25229</v>
      </c>
      <c r="D80" s="97">
        <v>32283</v>
      </c>
      <c r="E80" s="97">
        <f t="shared" si="9"/>
        <v>7054</v>
      </c>
      <c r="F80" s="98">
        <f t="shared" si="10"/>
        <v>0.27959887431130842</v>
      </c>
    </row>
    <row r="81" spans="1:6" ht="18" customHeight="1" x14ac:dyDescent="0.25">
      <c r="A81" s="101"/>
      <c r="B81" s="102" t="s">
        <v>133</v>
      </c>
      <c r="C81" s="103">
        <f>SUM(C70:C80)</f>
        <v>42350277</v>
      </c>
      <c r="D81" s="103">
        <f>SUM(D70:D80)</f>
        <v>48076673</v>
      </c>
      <c r="E81" s="103">
        <f t="shared" si="9"/>
        <v>5726396</v>
      </c>
      <c r="F81" s="104">
        <f t="shared" si="10"/>
        <v>0.13521507781401287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44030851</v>
      </c>
      <c r="D84" s="103">
        <f t="shared" si="11"/>
        <v>44632137</v>
      </c>
      <c r="E84" s="103">
        <f t="shared" ref="E84:E95" si="12">D84-C84</f>
        <v>601286</v>
      </c>
      <c r="F84" s="104">
        <f t="shared" ref="F84:F95" si="13">IF(C84=0,0,E84/C84)</f>
        <v>1.3656015869418468E-2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2393464</v>
      </c>
      <c r="D85" s="103">
        <f t="shared" si="11"/>
        <v>3797992</v>
      </c>
      <c r="E85" s="103">
        <f t="shared" si="12"/>
        <v>1404528</v>
      </c>
      <c r="F85" s="104">
        <f t="shared" si="13"/>
        <v>0.58681810129586243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2749370</v>
      </c>
      <c r="D86" s="103">
        <f t="shared" si="11"/>
        <v>4480500</v>
      </c>
      <c r="E86" s="103">
        <f t="shared" si="12"/>
        <v>1731130</v>
      </c>
      <c r="F86" s="104">
        <f t="shared" si="13"/>
        <v>0.62964606437111048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5146318</v>
      </c>
      <c r="D87" s="103">
        <f t="shared" si="11"/>
        <v>6580452</v>
      </c>
      <c r="E87" s="103">
        <f t="shared" si="12"/>
        <v>1434134</v>
      </c>
      <c r="F87" s="104">
        <f t="shared" si="13"/>
        <v>0.27867185821008339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320752</v>
      </c>
      <c r="D88" s="103">
        <f t="shared" si="11"/>
        <v>431570</v>
      </c>
      <c r="E88" s="103">
        <f t="shared" si="12"/>
        <v>110818</v>
      </c>
      <c r="F88" s="104">
        <f t="shared" si="13"/>
        <v>0.34549433830498327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7040849</v>
      </c>
      <c r="D89" s="103">
        <f t="shared" si="11"/>
        <v>7154691</v>
      </c>
      <c r="E89" s="103">
        <f t="shared" si="12"/>
        <v>113842</v>
      </c>
      <c r="F89" s="104">
        <f t="shared" si="13"/>
        <v>1.6168788735562999E-2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26815141</v>
      </c>
      <c r="D90" s="103">
        <f t="shared" si="11"/>
        <v>28893086</v>
      </c>
      <c r="E90" s="103">
        <f t="shared" si="12"/>
        <v>2077945</v>
      </c>
      <c r="F90" s="104">
        <f t="shared" si="13"/>
        <v>7.7491481398512876E-2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1094194</v>
      </c>
      <c r="D91" s="103">
        <f t="shared" si="11"/>
        <v>1198939</v>
      </c>
      <c r="E91" s="103">
        <f t="shared" si="12"/>
        <v>104745</v>
      </c>
      <c r="F91" s="104">
        <f t="shared" si="13"/>
        <v>9.5727997046227628E-2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1278927</v>
      </c>
      <c r="D92" s="103">
        <f t="shared" si="11"/>
        <v>1223252</v>
      </c>
      <c r="E92" s="103">
        <f t="shared" si="12"/>
        <v>-55675</v>
      </c>
      <c r="F92" s="104">
        <f t="shared" si="13"/>
        <v>-4.3532586300860016E-2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1878279</v>
      </c>
      <c r="D93" s="103">
        <f t="shared" si="11"/>
        <v>2087307</v>
      </c>
      <c r="E93" s="103">
        <f t="shared" si="12"/>
        <v>209028</v>
      </c>
      <c r="F93" s="104">
        <f t="shared" si="13"/>
        <v>0.11128698132705525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41137</v>
      </c>
      <c r="D94" s="103">
        <f t="shared" si="11"/>
        <v>68659</v>
      </c>
      <c r="E94" s="103">
        <f t="shared" si="12"/>
        <v>27522</v>
      </c>
      <c r="F94" s="104">
        <f t="shared" si="13"/>
        <v>0.66903274424484038</v>
      </c>
    </row>
    <row r="95" spans="1:6" ht="18.75" customHeight="1" thickBot="1" x14ac:dyDescent="0.3">
      <c r="A95" s="115"/>
      <c r="B95" s="116" t="s">
        <v>134</v>
      </c>
      <c r="C95" s="112">
        <f>SUM(C84:C94)</f>
        <v>92789282</v>
      </c>
      <c r="D95" s="112">
        <f>SUM(D84:D94)</f>
        <v>100548585</v>
      </c>
      <c r="E95" s="112">
        <f t="shared" si="12"/>
        <v>7759303</v>
      </c>
      <c r="F95" s="113">
        <f t="shared" si="13"/>
        <v>8.3622836956535565E-2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3214</v>
      </c>
      <c r="D100" s="117">
        <v>3140</v>
      </c>
      <c r="E100" s="117">
        <f t="shared" ref="E100:E111" si="14">D100-C100</f>
        <v>-74</v>
      </c>
      <c r="F100" s="98">
        <f t="shared" ref="F100:F111" si="15">IF(C100=0,0,E100/C100)</f>
        <v>-2.3024268823895456E-2</v>
      </c>
    </row>
    <row r="101" spans="1:6" ht="18" customHeight="1" x14ac:dyDescent="0.25">
      <c r="A101" s="99">
        <v>2</v>
      </c>
      <c r="B101" s="100" t="s">
        <v>113</v>
      </c>
      <c r="C101" s="117">
        <v>191</v>
      </c>
      <c r="D101" s="117">
        <v>231</v>
      </c>
      <c r="E101" s="117">
        <f t="shared" si="14"/>
        <v>40</v>
      </c>
      <c r="F101" s="98">
        <f t="shared" si="15"/>
        <v>0.20942408376963351</v>
      </c>
    </row>
    <row r="102" spans="1:6" ht="18" customHeight="1" x14ac:dyDescent="0.25">
      <c r="A102" s="99">
        <v>3</v>
      </c>
      <c r="B102" s="100" t="s">
        <v>114</v>
      </c>
      <c r="C102" s="117">
        <v>264</v>
      </c>
      <c r="D102" s="117">
        <v>371</v>
      </c>
      <c r="E102" s="117">
        <f t="shared" si="14"/>
        <v>107</v>
      </c>
      <c r="F102" s="98">
        <f t="shared" si="15"/>
        <v>0.40530303030303028</v>
      </c>
    </row>
    <row r="103" spans="1:6" ht="18" customHeight="1" x14ac:dyDescent="0.25">
      <c r="A103" s="99">
        <v>4</v>
      </c>
      <c r="B103" s="100" t="s">
        <v>115</v>
      </c>
      <c r="C103" s="117">
        <v>471</v>
      </c>
      <c r="D103" s="117">
        <v>564</v>
      </c>
      <c r="E103" s="117">
        <f t="shared" si="14"/>
        <v>93</v>
      </c>
      <c r="F103" s="98">
        <f t="shared" si="15"/>
        <v>0.19745222929936307</v>
      </c>
    </row>
    <row r="104" spans="1:6" ht="18" customHeight="1" x14ac:dyDescent="0.25">
      <c r="A104" s="99">
        <v>5</v>
      </c>
      <c r="B104" s="100" t="s">
        <v>116</v>
      </c>
      <c r="C104" s="117">
        <v>25</v>
      </c>
      <c r="D104" s="117">
        <v>34</v>
      </c>
      <c r="E104" s="117">
        <f t="shared" si="14"/>
        <v>9</v>
      </c>
      <c r="F104" s="98">
        <f t="shared" si="15"/>
        <v>0.36</v>
      </c>
    </row>
    <row r="105" spans="1:6" ht="18" customHeight="1" x14ac:dyDescent="0.25">
      <c r="A105" s="99">
        <v>6</v>
      </c>
      <c r="B105" s="100" t="s">
        <v>117</v>
      </c>
      <c r="C105" s="117">
        <v>369</v>
      </c>
      <c r="D105" s="117">
        <v>345</v>
      </c>
      <c r="E105" s="117">
        <f t="shared" si="14"/>
        <v>-24</v>
      </c>
      <c r="F105" s="98">
        <f t="shared" si="15"/>
        <v>-6.5040650406504072E-2</v>
      </c>
    </row>
    <row r="106" spans="1:6" ht="18" customHeight="1" x14ac:dyDescent="0.25">
      <c r="A106" s="99">
        <v>7</v>
      </c>
      <c r="B106" s="100" t="s">
        <v>118</v>
      </c>
      <c r="C106" s="117">
        <v>1381</v>
      </c>
      <c r="D106" s="117">
        <v>1376</v>
      </c>
      <c r="E106" s="117">
        <f t="shared" si="14"/>
        <v>-5</v>
      </c>
      <c r="F106" s="98">
        <f t="shared" si="15"/>
        <v>-3.6205648081100651E-3</v>
      </c>
    </row>
    <row r="107" spans="1:6" ht="18" customHeight="1" x14ac:dyDescent="0.25">
      <c r="A107" s="99">
        <v>8</v>
      </c>
      <c r="B107" s="100" t="s">
        <v>119</v>
      </c>
      <c r="C107" s="117">
        <v>23</v>
      </c>
      <c r="D107" s="117">
        <v>24</v>
      </c>
      <c r="E107" s="117">
        <f t="shared" si="14"/>
        <v>1</v>
      </c>
      <c r="F107" s="98">
        <f t="shared" si="15"/>
        <v>4.3478260869565216E-2</v>
      </c>
    </row>
    <row r="108" spans="1:6" ht="18" customHeight="1" x14ac:dyDescent="0.25">
      <c r="A108" s="99">
        <v>9</v>
      </c>
      <c r="B108" s="100" t="s">
        <v>120</v>
      </c>
      <c r="C108" s="117">
        <v>123</v>
      </c>
      <c r="D108" s="117">
        <v>155</v>
      </c>
      <c r="E108" s="117">
        <f t="shared" si="14"/>
        <v>32</v>
      </c>
      <c r="F108" s="98">
        <f t="shared" si="15"/>
        <v>0.26016260162601629</v>
      </c>
    </row>
    <row r="109" spans="1:6" ht="18" customHeight="1" x14ac:dyDescent="0.25">
      <c r="A109" s="99">
        <v>10</v>
      </c>
      <c r="B109" s="100" t="s">
        <v>121</v>
      </c>
      <c r="C109" s="117">
        <v>254</v>
      </c>
      <c r="D109" s="117">
        <v>196</v>
      </c>
      <c r="E109" s="117">
        <f t="shared" si="14"/>
        <v>-58</v>
      </c>
      <c r="F109" s="98">
        <f t="shared" si="15"/>
        <v>-0.2283464566929134</v>
      </c>
    </row>
    <row r="110" spans="1:6" ht="18" customHeight="1" x14ac:dyDescent="0.25">
      <c r="A110" s="99">
        <v>11</v>
      </c>
      <c r="B110" s="100" t="s">
        <v>122</v>
      </c>
      <c r="C110" s="117">
        <v>5</v>
      </c>
      <c r="D110" s="117">
        <v>2</v>
      </c>
      <c r="E110" s="117">
        <f t="shared" si="14"/>
        <v>-3</v>
      </c>
      <c r="F110" s="98">
        <f t="shared" si="15"/>
        <v>-0.6</v>
      </c>
    </row>
    <row r="111" spans="1:6" ht="18" customHeight="1" x14ac:dyDescent="0.25">
      <c r="A111" s="101"/>
      <c r="B111" s="102" t="s">
        <v>138</v>
      </c>
      <c r="C111" s="118">
        <f>SUM(C100:C110)</f>
        <v>6320</v>
      </c>
      <c r="D111" s="118">
        <f>SUM(D100:D110)</f>
        <v>6438</v>
      </c>
      <c r="E111" s="118">
        <f t="shared" si="14"/>
        <v>118</v>
      </c>
      <c r="F111" s="104">
        <f t="shared" si="15"/>
        <v>1.8670886075949366E-2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16484</v>
      </c>
      <c r="D113" s="117">
        <v>15245</v>
      </c>
      <c r="E113" s="117">
        <f t="shared" ref="E113:E124" si="16">D113-C113</f>
        <v>-1239</v>
      </c>
      <c r="F113" s="98">
        <f t="shared" ref="F113:F124" si="17">IF(C113=0,0,E113/C113)</f>
        <v>-7.5163795195340943E-2</v>
      </c>
    </row>
    <row r="114" spans="1:6" ht="18" customHeight="1" x14ac:dyDescent="0.25">
      <c r="A114" s="99">
        <v>2</v>
      </c>
      <c r="B114" s="100" t="s">
        <v>113</v>
      </c>
      <c r="C114" s="117">
        <v>843</v>
      </c>
      <c r="D114" s="117">
        <v>1005</v>
      </c>
      <c r="E114" s="117">
        <f t="shared" si="16"/>
        <v>162</v>
      </c>
      <c r="F114" s="98">
        <f t="shared" si="17"/>
        <v>0.19217081850533807</v>
      </c>
    </row>
    <row r="115" spans="1:6" ht="18" customHeight="1" x14ac:dyDescent="0.25">
      <c r="A115" s="99">
        <v>3</v>
      </c>
      <c r="B115" s="100" t="s">
        <v>114</v>
      </c>
      <c r="C115" s="117">
        <v>1469</v>
      </c>
      <c r="D115" s="117">
        <v>2377</v>
      </c>
      <c r="E115" s="117">
        <f t="shared" si="16"/>
        <v>908</v>
      </c>
      <c r="F115" s="98">
        <f t="shared" si="17"/>
        <v>0.61810755616065349</v>
      </c>
    </row>
    <row r="116" spans="1:6" ht="18" customHeight="1" x14ac:dyDescent="0.25">
      <c r="A116" s="99">
        <v>4</v>
      </c>
      <c r="B116" s="100" t="s">
        <v>115</v>
      </c>
      <c r="C116" s="117">
        <v>1331</v>
      </c>
      <c r="D116" s="117">
        <v>1619</v>
      </c>
      <c r="E116" s="117">
        <f t="shared" si="16"/>
        <v>288</v>
      </c>
      <c r="F116" s="98">
        <f t="shared" si="17"/>
        <v>0.21637866265965439</v>
      </c>
    </row>
    <row r="117" spans="1:6" ht="18" customHeight="1" x14ac:dyDescent="0.25">
      <c r="A117" s="99">
        <v>5</v>
      </c>
      <c r="B117" s="100" t="s">
        <v>116</v>
      </c>
      <c r="C117" s="117">
        <v>133</v>
      </c>
      <c r="D117" s="117">
        <v>213</v>
      </c>
      <c r="E117" s="117">
        <f t="shared" si="16"/>
        <v>80</v>
      </c>
      <c r="F117" s="98">
        <f t="shared" si="17"/>
        <v>0.60150375939849621</v>
      </c>
    </row>
    <row r="118" spans="1:6" ht="18" customHeight="1" x14ac:dyDescent="0.25">
      <c r="A118" s="99">
        <v>6</v>
      </c>
      <c r="B118" s="100" t="s">
        <v>117</v>
      </c>
      <c r="C118" s="117">
        <v>1351</v>
      </c>
      <c r="D118" s="117">
        <v>1284</v>
      </c>
      <c r="E118" s="117">
        <f t="shared" si="16"/>
        <v>-67</v>
      </c>
      <c r="F118" s="98">
        <f t="shared" si="17"/>
        <v>-4.9592894152479645E-2</v>
      </c>
    </row>
    <row r="119" spans="1:6" ht="18" customHeight="1" x14ac:dyDescent="0.25">
      <c r="A119" s="99">
        <v>7</v>
      </c>
      <c r="B119" s="100" t="s">
        <v>118</v>
      </c>
      <c r="C119" s="117">
        <v>4816</v>
      </c>
      <c r="D119" s="117">
        <v>4400</v>
      </c>
      <c r="E119" s="117">
        <f t="shared" si="16"/>
        <v>-416</v>
      </c>
      <c r="F119" s="98">
        <f t="shared" si="17"/>
        <v>-8.6378737541528236E-2</v>
      </c>
    </row>
    <row r="120" spans="1:6" ht="18" customHeight="1" x14ac:dyDescent="0.25">
      <c r="A120" s="99">
        <v>8</v>
      </c>
      <c r="B120" s="100" t="s">
        <v>119</v>
      </c>
      <c r="C120" s="117">
        <v>44</v>
      </c>
      <c r="D120" s="117">
        <v>46</v>
      </c>
      <c r="E120" s="117">
        <f t="shared" si="16"/>
        <v>2</v>
      </c>
      <c r="F120" s="98">
        <f t="shared" si="17"/>
        <v>4.5454545454545456E-2</v>
      </c>
    </row>
    <row r="121" spans="1:6" ht="18" customHeight="1" x14ac:dyDescent="0.25">
      <c r="A121" s="99">
        <v>9</v>
      </c>
      <c r="B121" s="100" t="s">
        <v>120</v>
      </c>
      <c r="C121" s="117">
        <v>576</v>
      </c>
      <c r="D121" s="117">
        <v>729</v>
      </c>
      <c r="E121" s="117">
        <f t="shared" si="16"/>
        <v>153</v>
      </c>
      <c r="F121" s="98">
        <f t="shared" si="17"/>
        <v>0.265625</v>
      </c>
    </row>
    <row r="122" spans="1:6" ht="18" customHeight="1" x14ac:dyDescent="0.25">
      <c r="A122" s="99">
        <v>10</v>
      </c>
      <c r="B122" s="100" t="s">
        <v>121</v>
      </c>
      <c r="C122" s="117">
        <v>1486</v>
      </c>
      <c r="D122" s="117">
        <v>1040</v>
      </c>
      <c r="E122" s="117">
        <f t="shared" si="16"/>
        <v>-446</v>
      </c>
      <c r="F122" s="98">
        <f t="shared" si="17"/>
        <v>-0.30013458950201882</v>
      </c>
    </row>
    <row r="123" spans="1:6" ht="18" customHeight="1" x14ac:dyDescent="0.25">
      <c r="A123" s="99">
        <v>11</v>
      </c>
      <c r="B123" s="100" t="s">
        <v>122</v>
      </c>
      <c r="C123" s="117">
        <v>48</v>
      </c>
      <c r="D123" s="117">
        <v>21</v>
      </c>
      <c r="E123" s="117">
        <f t="shared" si="16"/>
        <v>-27</v>
      </c>
      <c r="F123" s="98">
        <f t="shared" si="17"/>
        <v>-0.5625</v>
      </c>
    </row>
    <row r="124" spans="1:6" ht="18" customHeight="1" x14ac:dyDescent="0.25">
      <c r="A124" s="101"/>
      <c r="B124" s="102" t="s">
        <v>140</v>
      </c>
      <c r="C124" s="118">
        <f>SUM(C113:C123)</f>
        <v>28581</v>
      </c>
      <c r="D124" s="118">
        <f>SUM(D113:D123)</f>
        <v>27979</v>
      </c>
      <c r="E124" s="118">
        <f t="shared" si="16"/>
        <v>-602</v>
      </c>
      <c r="F124" s="104">
        <f t="shared" si="17"/>
        <v>-2.1062943913788882E-2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64541</v>
      </c>
      <c r="D126" s="117">
        <v>63300</v>
      </c>
      <c r="E126" s="117">
        <f t="shared" ref="E126:E137" si="18">D126-C126</f>
        <v>-1241</v>
      </c>
      <c r="F126" s="98">
        <f t="shared" ref="F126:F137" si="19">IF(C126=0,0,E126/C126)</f>
        <v>-1.9228087572240902E-2</v>
      </c>
    </row>
    <row r="127" spans="1:6" ht="18" customHeight="1" x14ac:dyDescent="0.25">
      <c r="A127" s="99">
        <v>2</v>
      </c>
      <c r="B127" s="100" t="s">
        <v>113</v>
      </c>
      <c r="C127" s="117">
        <v>4242</v>
      </c>
      <c r="D127" s="117">
        <v>6300</v>
      </c>
      <c r="E127" s="117">
        <f t="shared" si="18"/>
        <v>2058</v>
      </c>
      <c r="F127" s="98">
        <f t="shared" si="19"/>
        <v>0.48514851485148514</v>
      </c>
    </row>
    <row r="128" spans="1:6" ht="18" customHeight="1" x14ac:dyDescent="0.25">
      <c r="A128" s="99">
        <v>3</v>
      </c>
      <c r="B128" s="100" t="s">
        <v>114</v>
      </c>
      <c r="C128" s="117">
        <v>6591</v>
      </c>
      <c r="D128" s="117">
        <v>9274</v>
      </c>
      <c r="E128" s="117">
        <f t="shared" si="18"/>
        <v>2683</v>
      </c>
      <c r="F128" s="98">
        <f t="shared" si="19"/>
        <v>0.4070702473069337</v>
      </c>
    </row>
    <row r="129" spans="1:6" ht="18" customHeight="1" x14ac:dyDescent="0.25">
      <c r="A129" s="99">
        <v>4</v>
      </c>
      <c r="B129" s="100" t="s">
        <v>115</v>
      </c>
      <c r="C129" s="117">
        <v>20615</v>
      </c>
      <c r="D129" s="117">
        <v>22758</v>
      </c>
      <c r="E129" s="117">
        <f t="shared" si="18"/>
        <v>2143</v>
      </c>
      <c r="F129" s="98">
        <f t="shared" si="19"/>
        <v>0.10395343196701431</v>
      </c>
    </row>
    <row r="130" spans="1:6" ht="18" customHeight="1" x14ac:dyDescent="0.25">
      <c r="A130" s="99">
        <v>5</v>
      </c>
      <c r="B130" s="100" t="s">
        <v>116</v>
      </c>
      <c r="C130" s="117">
        <v>585</v>
      </c>
      <c r="D130" s="117">
        <v>630</v>
      </c>
      <c r="E130" s="117">
        <f t="shared" si="18"/>
        <v>45</v>
      </c>
      <c r="F130" s="98">
        <f t="shared" si="19"/>
        <v>7.6923076923076927E-2</v>
      </c>
    </row>
    <row r="131" spans="1:6" ht="18" customHeight="1" x14ac:dyDescent="0.25">
      <c r="A131" s="99">
        <v>6</v>
      </c>
      <c r="B131" s="100" t="s">
        <v>117</v>
      </c>
      <c r="C131" s="117">
        <v>16904</v>
      </c>
      <c r="D131" s="117">
        <v>15356</v>
      </c>
      <c r="E131" s="117">
        <f t="shared" si="18"/>
        <v>-1548</v>
      </c>
      <c r="F131" s="98">
        <f t="shared" si="19"/>
        <v>-9.1575958353052531E-2</v>
      </c>
    </row>
    <row r="132" spans="1:6" ht="18" customHeight="1" x14ac:dyDescent="0.25">
      <c r="A132" s="99">
        <v>7</v>
      </c>
      <c r="B132" s="100" t="s">
        <v>118</v>
      </c>
      <c r="C132" s="117">
        <v>72644</v>
      </c>
      <c r="D132" s="117">
        <v>72081</v>
      </c>
      <c r="E132" s="117">
        <f t="shared" si="18"/>
        <v>-563</v>
      </c>
      <c r="F132" s="98">
        <f t="shared" si="19"/>
        <v>-7.7501238918561751E-3</v>
      </c>
    </row>
    <row r="133" spans="1:6" ht="18" customHeight="1" x14ac:dyDescent="0.25">
      <c r="A133" s="99">
        <v>8</v>
      </c>
      <c r="B133" s="100" t="s">
        <v>119</v>
      </c>
      <c r="C133" s="117">
        <v>1444</v>
      </c>
      <c r="D133" s="117">
        <v>1544</v>
      </c>
      <c r="E133" s="117">
        <f t="shared" si="18"/>
        <v>100</v>
      </c>
      <c r="F133" s="98">
        <f t="shared" si="19"/>
        <v>6.9252077562326875E-2</v>
      </c>
    </row>
    <row r="134" spans="1:6" ht="18" customHeight="1" x14ac:dyDescent="0.25">
      <c r="A134" s="99">
        <v>9</v>
      </c>
      <c r="B134" s="100" t="s">
        <v>120</v>
      </c>
      <c r="C134" s="117">
        <v>10976</v>
      </c>
      <c r="D134" s="117">
        <v>10333</v>
      </c>
      <c r="E134" s="117">
        <f t="shared" si="18"/>
        <v>-643</v>
      </c>
      <c r="F134" s="98">
        <f t="shared" si="19"/>
        <v>-5.8582361516034985E-2</v>
      </c>
    </row>
    <row r="135" spans="1:6" ht="18" customHeight="1" x14ac:dyDescent="0.25">
      <c r="A135" s="99">
        <v>10</v>
      </c>
      <c r="B135" s="100" t="s">
        <v>121</v>
      </c>
      <c r="C135" s="117">
        <v>6751</v>
      </c>
      <c r="D135" s="117">
        <v>5673</v>
      </c>
      <c r="E135" s="117">
        <f t="shared" si="18"/>
        <v>-1078</v>
      </c>
      <c r="F135" s="98">
        <f t="shared" si="19"/>
        <v>-0.15968004740038513</v>
      </c>
    </row>
    <row r="136" spans="1:6" ht="18" customHeight="1" x14ac:dyDescent="0.25">
      <c r="A136" s="99">
        <v>11</v>
      </c>
      <c r="B136" s="100" t="s">
        <v>122</v>
      </c>
      <c r="C136" s="117">
        <v>136</v>
      </c>
      <c r="D136" s="117">
        <v>150</v>
      </c>
      <c r="E136" s="117">
        <f t="shared" si="18"/>
        <v>14</v>
      </c>
      <c r="F136" s="98">
        <f t="shared" si="19"/>
        <v>0.10294117647058823</v>
      </c>
    </row>
    <row r="137" spans="1:6" ht="18" customHeight="1" x14ac:dyDescent="0.25">
      <c r="A137" s="101"/>
      <c r="B137" s="102" t="s">
        <v>143</v>
      </c>
      <c r="C137" s="118">
        <f>SUM(C126:C136)</f>
        <v>205429</v>
      </c>
      <c r="D137" s="118">
        <f>SUM(D126:D136)</f>
        <v>207399</v>
      </c>
      <c r="E137" s="118">
        <f t="shared" si="18"/>
        <v>1970</v>
      </c>
      <c r="F137" s="104">
        <f t="shared" si="19"/>
        <v>9.5896879213742941E-3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6547080</v>
      </c>
      <c r="D142" s="97">
        <v>7445341</v>
      </c>
      <c r="E142" s="97">
        <f t="shared" ref="E142:E153" si="20">D142-C142</f>
        <v>898261</v>
      </c>
      <c r="F142" s="98">
        <f t="shared" ref="F142:F153" si="21">IF(C142=0,0,E142/C142)</f>
        <v>0.13720024804951214</v>
      </c>
    </row>
    <row r="143" spans="1:6" ht="18" customHeight="1" x14ac:dyDescent="0.25">
      <c r="A143" s="99">
        <v>2</v>
      </c>
      <c r="B143" s="100" t="s">
        <v>113</v>
      </c>
      <c r="C143" s="97">
        <v>430793</v>
      </c>
      <c r="D143" s="97">
        <v>645895</v>
      </c>
      <c r="E143" s="97">
        <f t="shared" si="20"/>
        <v>215102</v>
      </c>
      <c r="F143" s="98">
        <f t="shared" si="21"/>
        <v>0.49931637700705445</v>
      </c>
    </row>
    <row r="144" spans="1:6" ht="18" customHeight="1" x14ac:dyDescent="0.25">
      <c r="A144" s="99">
        <v>3</v>
      </c>
      <c r="B144" s="100" t="s">
        <v>114</v>
      </c>
      <c r="C144" s="97">
        <v>1648159</v>
      </c>
      <c r="D144" s="97">
        <v>2628345</v>
      </c>
      <c r="E144" s="97">
        <f t="shared" si="20"/>
        <v>980186</v>
      </c>
      <c r="F144" s="98">
        <f t="shared" si="21"/>
        <v>0.59471567973720985</v>
      </c>
    </row>
    <row r="145" spans="1:6" ht="18" customHeight="1" x14ac:dyDescent="0.25">
      <c r="A145" s="99">
        <v>4</v>
      </c>
      <c r="B145" s="100" t="s">
        <v>115</v>
      </c>
      <c r="C145" s="97">
        <v>3473961</v>
      </c>
      <c r="D145" s="97">
        <v>4288391</v>
      </c>
      <c r="E145" s="97">
        <f t="shared" si="20"/>
        <v>814430</v>
      </c>
      <c r="F145" s="98">
        <f t="shared" si="21"/>
        <v>0.23443844073091205</v>
      </c>
    </row>
    <row r="146" spans="1:6" ht="18" customHeight="1" x14ac:dyDescent="0.25">
      <c r="A146" s="99">
        <v>5</v>
      </c>
      <c r="B146" s="100" t="s">
        <v>116</v>
      </c>
      <c r="C146" s="97">
        <v>147121</v>
      </c>
      <c r="D146" s="97">
        <v>186107</v>
      </c>
      <c r="E146" s="97">
        <f t="shared" si="20"/>
        <v>38986</v>
      </c>
      <c r="F146" s="98">
        <f t="shared" si="21"/>
        <v>0.26499276106062358</v>
      </c>
    </row>
    <row r="147" spans="1:6" ht="18" customHeight="1" x14ac:dyDescent="0.25">
      <c r="A147" s="99">
        <v>6</v>
      </c>
      <c r="B147" s="100" t="s">
        <v>117</v>
      </c>
      <c r="C147" s="97">
        <v>1806850</v>
      </c>
      <c r="D147" s="97">
        <v>1859744</v>
      </c>
      <c r="E147" s="97">
        <f t="shared" si="20"/>
        <v>52894</v>
      </c>
      <c r="F147" s="98">
        <f t="shared" si="21"/>
        <v>2.9274151147023825E-2</v>
      </c>
    </row>
    <row r="148" spans="1:6" ht="18" customHeight="1" x14ac:dyDescent="0.25">
      <c r="A148" s="99">
        <v>7</v>
      </c>
      <c r="B148" s="100" t="s">
        <v>118</v>
      </c>
      <c r="C148" s="97">
        <v>7798978</v>
      </c>
      <c r="D148" s="97">
        <v>8061121</v>
      </c>
      <c r="E148" s="97">
        <f t="shared" si="20"/>
        <v>262143</v>
      </c>
      <c r="F148" s="98">
        <f t="shared" si="21"/>
        <v>3.3612481019949021E-2</v>
      </c>
    </row>
    <row r="149" spans="1:6" ht="18" customHeight="1" x14ac:dyDescent="0.25">
      <c r="A149" s="99">
        <v>8</v>
      </c>
      <c r="B149" s="100" t="s">
        <v>119</v>
      </c>
      <c r="C149" s="97">
        <v>438745</v>
      </c>
      <c r="D149" s="97">
        <v>462077</v>
      </c>
      <c r="E149" s="97">
        <f t="shared" si="20"/>
        <v>23332</v>
      </c>
      <c r="F149" s="98">
        <f t="shared" si="21"/>
        <v>5.3178953606308907E-2</v>
      </c>
    </row>
    <row r="150" spans="1:6" ht="18" customHeight="1" x14ac:dyDescent="0.25">
      <c r="A150" s="99">
        <v>9</v>
      </c>
      <c r="B150" s="100" t="s">
        <v>120</v>
      </c>
      <c r="C150" s="97">
        <v>1773878</v>
      </c>
      <c r="D150" s="97">
        <v>1869747</v>
      </c>
      <c r="E150" s="97">
        <f t="shared" si="20"/>
        <v>95869</v>
      </c>
      <c r="F150" s="98">
        <f t="shared" si="21"/>
        <v>5.4044866670650407E-2</v>
      </c>
    </row>
    <row r="151" spans="1:6" ht="18" customHeight="1" x14ac:dyDescent="0.25">
      <c r="A151" s="99">
        <v>10</v>
      </c>
      <c r="B151" s="100" t="s">
        <v>121</v>
      </c>
      <c r="C151" s="97">
        <v>2281134</v>
      </c>
      <c r="D151" s="97">
        <v>1755391</v>
      </c>
      <c r="E151" s="97">
        <f t="shared" si="20"/>
        <v>-525743</v>
      </c>
      <c r="F151" s="98">
        <f t="shared" si="21"/>
        <v>-0.23047440439711125</v>
      </c>
    </row>
    <row r="152" spans="1:6" ht="18" customHeight="1" x14ac:dyDescent="0.25">
      <c r="A152" s="99">
        <v>11</v>
      </c>
      <c r="B152" s="100" t="s">
        <v>122</v>
      </c>
      <c r="C152" s="97">
        <v>81691</v>
      </c>
      <c r="D152" s="97">
        <v>91679</v>
      </c>
      <c r="E152" s="97">
        <f t="shared" si="20"/>
        <v>9988</v>
      </c>
      <c r="F152" s="98">
        <f t="shared" si="21"/>
        <v>0.12226561065478449</v>
      </c>
    </row>
    <row r="153" spans="1:6" ht="33.75" customHeight="1" x14ac:dyDescent="0.25">
      <c r="A153" s="101"/>
      <c r="B153" s="102" t="s">
        <v>147</v>
      </c>
      <c r="C153" s="103">
        <f>SUM(C142:C152)</f>
        <v>26428390</v>
      </c>
      <c r="D153" s="103">
        <f>SUM(D142:D152)</f>
        <v>29293838</v>
      </c>
      <c r="E153" s="103">
        <f t="shared" si="20"/>
        <v>2865448</v>
      </c>
      <c r="F153" s="104">
        <f t="shared" si="21"/>
        <v>0.10842310106669381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2583620</v>
      </c>
      <c r="D155" s="97">
        <v>2668086</v>
      </c>
      <c r="E155" s="97">
        <f t="shared" ref="E155:E166" si="22">D155-C155</f>
        <v>84466</v>
      </c>
      <c r="F155" s="98">
        <f t="shared" ref="F155:F166" si="23">IF(C155=0,0,E155/C155)</f>
        <v>3.2692888273043251E-2</v>
      </c>
    </row>
    <row r="156" spans="1:6" ht="18" customHeight="1" x14ac:dyDescent="0.25">
      <c r="A156" s="99">
        <v>2</v>
      </c>
      <c r="B156" s="100" t="s">
        <v>113</v>
      </c>
      <c r="C156" s="97">
        <v>167233</v>
      </c>
      <c r="D156" s="97">
        <v>244990</v>
      </c>
      <c r="E156" s="97">
        <f t="shared" si="22"/>
        <v>77757</v>
      </c>
      <c r="F156" s="98">
        <f t="shared" si="23"/>
        <v>0.46496205892377701</v>
      </c>
    </row>
    <row r="157" spans="1:6" ht="18" customHeight="1" x14ac:dyDescent="0.25">
      <c r="A157" s="99">
        <v>3</v>
      </c>
      <c r="B157" s="100" t="s">
        <v>114</v>
      </c>
      <c r="C157" s="97">
        <v>586581</v>
      </c>
      <c r="D157" s="97">
        <v>844321</v>
      </c>
      <c r="E157" s="97">
        <f t="shared" si="22"/>
        <v>257740</v>
      </c>
      <c r="F157" s="98">
        <f t="shared" si="23"/>
        <v>0.43939370692197666</v>
      </c>
    </row>
    <row r="158" spans="1:6" ht="18" customHeight="1" x14ac:dyDescent="0.25">
      <c r="A158" s="99">
        <v>4</v>
      </c>
      <c r="B158" s="100" t="s">
        <v>115</v>
      </c>
      <c r="C158" s="97">
        <v>1223854</v>
      </c>
      <c r="D158" s="97">
        <v>1597804</v>
      </c>
      <c r="E158" s="97">
        <f t="shared" si="22"/>
        <v>373950</v>
      </c>
      <c r="F158" s="98">
        <f t="shared" si="23"/>
        <v>0.30555115234333508</v>
      </c>
    </row>
    <row r="159" spans="1:6" ht="18" customHeight="1" x14ac:dyDescent="0.25">
      <c r="A159" s="99">
        <v>5</v>
      </c>
      <c r="B159" s="100" t="s">
        <v>116</v>
      </c>
      <c r="C159" s="97">
        <v>77700</v>
      </c>
      <c r="D159" s="97">
        <v>79891</v>
      </c>
      <c r="E159" s="97">
        <f t="shared" si="22"/>
        <v>2191</v>
      </c>
      <c r="F159" s="98">
        <f t="shared" si="23"/>
        <v>2.8198198198198198E-2</v>
      </c>
    </row>
    <row r="160" spans="1:6" ht="18" customHeight="1" x14ac:dyDescent="0.25">
      <c r="A160" s="99">
        <v>6</v>
      </c>
      <c r="B160" s="100" t="s">
        <v>117</v>
      </c>
      <c r="C160" s="97">
        <v>1123499</v>
      </c>
      <c r="D160" s="97">
        <v>1149302</v>
      </c>
      <c r="E160" s="97">
        <f t="shared" si="22"/>
        <v>25803</v>
      </c>
      <c r="F160" s="98">
        <f t="shared" si="23"/>
        <v>2.2966642604933338E-2</v>
      </c>
    </row>
    <row r="161" spans="1:6" ht="18" customHeight="1" x14ac:dyDescent="0.25">
      <c r="A161" s="99">
        <v>7</v>
      </c>
      <c r="B161" s="100" t="s">
        <v>118</v>
      </c>
      <c r="C161" s="97">
        <v>4155651</v>
      </c>
      <c r="D161" s="97">
        <v>4057977</v>
      </c>
      <c r="E161" s="97">
        <f t="shared" si="22"/>
        <v>-97674</v>
      </c>
      <c r="F161" s="98">
        <f t="shared" si="23"/>
        <v>-2.3503898667140238E-2</v>
      </c>
    </row>
    <row r="162" spans="1:6" ht="18" customHeight="1" x14ac:dyDescent="0.25">
      <c r="A162" s="99">
        <v>8</v>
      </c>
      <c r="B162" s="100" t="s">
        <v>119</v>
      </c>
      <c r="C162" s="97">
        <v>347699</v>
      </c>
      <c r="D162" s="97">
        <v>374476</v>
      </c>
      <c r="E162" s="97">
        <f t="shared" si="22"/>
        <v>26777</v>
      </c>
      <c r="F162" s="98">
        <f t="shared" si="23"/>
        <v>7.7012013264346466E-2</v>
      </c>
    </row>
    <row r="163" spans="1:6" ht="18" customHeight="1" x14ac:dyDescent="0.25">
      <c r="A163" s="99">
        <v>9</v>
      </c>
      <c r="B163" s="100" t="s">
        <v>120</v>
      </c>
      <c r="C163" s="97">
        <v>231447</v>
      </c>
      <c r="D163" s="97">
        <v>236681</v>
      </c>
      <c r="E163" s="97">
        <f t="shared" si="22"/>
        <v>5234</v>
      </c>
      <c r="F163" s="98">
        <f t="shared" si="23"/>
        <v>2.2614248618474209E-2</v>
      </c>
    </row>
    <row r="164" spans="1:6" ht="18" customHeight="1" x14ac:dyDescent="0.25">
      <c r="A164" s="99">
        <v>10</v>
      </c>
      <c r="B164" s="100" t="s">
        <v>121</v>
      </c>
      <c r="C164" s="97">
        <v>417533</v>
      </c>
      <c r="D164" s="97">
        <v>421450</v>
      </c>
      <c r="E164" s="97">
        <f t="shared" si="22"/>
        <v>3917</v>
      </c>
      <c r="F164" s="98">
        <f t="shared" si="23"/>
        <v>9.3812944126572036E-3</v>
      </c>
    </row>
    <row r="165" spans="1:6" ht="18" customHeight="1" x14ac:dyDescent="0.25">
      <c r="A165" s="99">
        <v>11</v>
      </c>
      <c r="B165" s="100" t="s">
        <v>122</v>
      </c>
      <c r="C165" s="97">
        <v>23916</v>
      </c>
      <c r="D165" s="97">
        <v>29911</v>
      </c>
      <c r="E165" s="97">
        <f t="shared" si="22"/>
        <v>5995</v>
      </c>
      <c r="F165" s="98">
        <f t="shared" si="23"/>
        <v>0.25066900819535037</v>
      </c>
    </row>
    <row r="166" spans="1:6" ht="33.75" customHeight="1" x14ac:dyDescent="0.25">
      <c r="A166" s="101"/>
      <c r="B166" s="102" t="s">
        <v>149</v>
      </c>
      <c r="C166" s="103">
        <f>SUM(C155:C165)</f>
        <v>10938733</v>
      </c>
      <c r="D166" s="103">
        <f>SUM(D155:D165)</f>
        <v>11704889</v>
      </c>
      <c r="E166" s="103">
        <f t="shared" si="22"/>
        <v>766156</v>
      </c>
      <c r="F166" s="104">
        <f t="shared" si="23"/>
        <v>7.0040652788581639E-2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7147</v>
      </c>
      <c r="D168" s="117">
        <v>7110</v>
      </c>
      <c r="E168" s="117">
        <f t="shared" ref="E168:E179" si="24">D168-C168</f>
        <v>-37</v>
      </c>
      <c r="F168" s="98">
        <f t="shared" ref="F168:F179" si="25">IF(C168=0,0,E168/C168)</f>
        <v>-5.1769973415419059E-3</v>
      </c>
    </row>
    <row r="169" spans="1:6" ht="18" customHeight="1" x14ac:dyDescent="0.25">
      <c r="A169" s="99">
        <v>2</v>
      </c>
      <c r="B169" s="100" t="s">
        <v>113</v>
      </c>
      <c r="C169" s="117">
        <v>438</v>
      </c>
      <c r="D169" s="117">
        <v>609</v>
      </c>
      <c r="E169" s="117">
        <f t="shared" si="24"/>
        <v>171</v>
      </c>
      <c r="F169" s="98">
        <f t="shared" si="25"/>
        <v>0.3904109589041096</v>
      </c>
    </row>
    <row r="170" spans="1:6" ht="18" customHeight="1" x14ac:dyDescent="0.25">
      <c r="A170" s="99">
        <v>3</v>
      </c>
      <c r="B170" s="100" t="s">
        <v>114</v>
      </c>
      <c r="C170" s="117">
        <v>1756</v>
      </c>
      <c r="D170" s="117">
        <v>2481</v>
      </c>
      <c r="E170" s="117">
        <f t="shared" si="24"/>
        <v>725</v>
      </c>
      <c r="F170" s="98">
        <f t="shared" si="25"/>
        <v>0.41287015945330297</v>
      </c>
    </row>
    <row r="171" spans="1:6" ht="18" customHeight="1" x14ac:dyDescent="0.25">
      <c r="A171" s="99">
        <v>4</v>
      </c>
      <c r="B171" s="100" t="s">
        <v>115</v>
      </c>
      <c r="C171" s="117">
        <v>6101</v>
      </c>
      <c r="D171" s="117">
        <v>6778</v>
      </c>
      <c r="E171" s="117">
        <f t="shared" si="24"/>
        <v>677</v>
      </c>
      <c r="F171" s="98">
        <f t="shared" si="25"/>
        <v>0.11096541550565481</v>
      </c>
    </row>
    <row r="172" spans="1:6" ht="18" customHeight="1" x14ac:dyDescent="0.25">
      <c r="A172" s="99">
        <v>5</v>
      </c>
      <c r="B172" s="100" t="s">
        <v>116</v>
      </c>
      <c r="C172" s="117">
        <v>214</v>
      </c>
      <c r="D172" s="117">
        <v>204</v>
      </c>
      <c r="E172" s="117">
        <f t="shared" si="24"/>
        <v>-10</v>
      </c>
      <c r="F172" s="98">
        <f t="shared" si="25"/>
        <v>-4.6728971962616821E-2</v>
      </c>
    </row>
    <row r="173" spans="1:6" ht="18" customHeight="1" x14ac:dyDescent="0.25">
      <c r="A173" s="99">
        <v>6</v>
      </c>
      <c r="B173" s="100" t="s">
        <v>117</v>
      </c>
      <c r="C173" s="117">
        <v>2328</v>
      </c>
      <c r="D173" s="117">
        <v>2181</v>
      </c>
      <c r="E173" s="117">
        <f t="shared" si="24"/>
        <v>-147</v>
      </c>
      <c r="F173" s="98">
        <f t="shared" si="25"/>
        <v>-6.3144329896907214E-2</v>
      </c>
    </row>
    <row r="174" spans="1:6" ht="18" customHeight="1" x14ac:dyDescent="0.25">
      <c r="A174" s="99">
        <v>7</v>
      </c>
      <c r="B174" s="100" t="s">
        <v>118</v>
      </c>
      <c r="C174" s="117">
        <v>10382</v>
      </c>
      <c r="D174" s="117">
        <v>9526</v>
      </c>
      <c r="E174" s="117">
        <f t="shared" si="24"/>
        <v>-856</v>
      </c>
      <c r="F174" s="98">
        <f t="shared" si="25"/>
        <v>-8.2450394914274708E-2</v>
      </c>
    </row>
    <row r="175" spans="1:6" ht="18" customHeight="1" x14ac:dyDescent="0.25">
      <c r="A175" s="99">
        <v>8</v>
      </c>
      <c r="B175" s="100" t="s">
        <v>119</v>
      </c>
      <c r="C175" s="117">
        <v>799</v>
      </c>
      <c r="D175" s="117">
        <v>741</v>
      </c>
      <c r="E175" s="117">
        <f t="shared" si="24"/>
        <v>-58</v>
      </c>
      <c r="F175" s="98">
        <f t="shared" si="25"/>
        <v>-7.2590738423028781E-2</v>
      </c>
    </row>
    <row r="176" spans="1:6" ht="18" customHeight="1" x14ac:dyDescent="0.25">
      <c r="A176" s="99">
        <v>9</v>
      </c>
      <c r="B176" s="100" t="s">
        <v>120</v>
      </c>
      <c r="C176" s="117">
        <v>2599</v>
      </c>
      <c r="D176" s="117">
        <v>2465</v>
      </c>
      <c r="E176" s="117">
        <f t="shared" si="24"/>
        <v>-134</v>
      </c>
      <c r="F176" s="98">
        <f t="shared" si="25"/>
        <v>-5.1558291650634858E-2</v>
      </c>
    </row>
    <row r="177" spans="1:6" ht="18" customHeight="1" x14ac:dyDescent="0.25">
      <c r="A177" s="99">
        <v>10</v>
      </c>
      <c r="B177" s="100" t="s">
        <v>121</v>
      </c>
      <c r="C177" s="117">
        <v>2601</v>
      </c>
      <c r="D177" s="117">
        <v>1797</v>
      </c>
      <c r="E177" s="117">
        <f t="shared" si="24"/>
        <v>-804</v>
      </c>
      <c r="F177" s="98">
        <f t="shared" si="25"/>
        <v>-0.3091118800461361</v>
      </c>
    </row>
    <row r="178" spans="1:6" ht="18" customHeight="1" x14ac:dyDescent="0.25">
      <c r="A178" s="99">
        <v>11</v>
      </c>
      <c r="B178" s="100" t="s">
        <v>122</v>
      </c>
      <c r="C178" s="117">
        <v>99</v>
      </c>
      <c r="D178" s="117">
        <v>112</v>
      </c>
      <c r="E178" s="117">
        <f t="shared" si="24"/>
        <v>13</v>
      </c>
      <c r="F178" s="98">
        <f t="shared" si="25"/>
        <v>0.13131313131313133</v>
      </c>
    </row>
    <row r="179" spans="1:6" ht="33.75" customHeight="1" x14ac:dyDescent="0.25">
      <c r="A179" s="101"/>
      <c r="B179" s="102" t="s">
        <v>151</v>
      </c>
      <c r="C179" s="118">
        <f>SUM(C168:C178)</f>
        <v>34464</v>
      </c>
      <c r="D179" s="118">
        <f>SUM(D168:D178)</f>
        <v>34004</v>
      </c>
      <c r="E179" s="118">
        <f t="shared" si="24"/>
        <v>-460</v>
      </c>
      <c r="F179" s="104">
        <f t="shared" si="25"/>
        <v>-1.3347260909935005E-2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r:id="rId1"/>
  <headerFooter>
    <oddHeader>&amp;LOFFICE OF HEALTH CARE ACCESS&amp;CTWELVE MONTHS ACTUAL FILING&amp;RCHARLOTTE HUNGERFORD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18901408</v>
      </c>
      <c r="D15" s="146">
        <v>18853887</v>
      </c>
      <c r="E15" s="146">
        <f>+D15-C15</f>
        <v>-47521</v>
      </c>
      <c r="F15" s="150">
        <f>IF(C15=0,0,E15/C15)</f>
        <v>-2.5141513267159781E-3</v>
      </c>
    </row>
    <row r="16" spans="1:7" ht="15" customHeight="1" x14ac:dyDescent="0.2">
      <c r="A16" s="141">
        <v>2</v>
      </c>
      <c r="B16" s="149" t="s">
        <v>158</v>
      </c>
      <c r="C16" s="146">
        <v>3537716</v>
      </c>
      <c r="D16" s="146">
        <v>5186232</v>
      </c>
      <c r="E16" s="146">
        <f>+D16-C16</f>
        <v>1648516</v>
      </c>
      <c r="F16" s="150">
        <f>IF(C16=0,0,E16/C16)</f>
        <v>0.46598313714272144</v>
      </c>
    </row>
    <row r="17" spans="1:7" ht="15" customHeight="1" x14ac:dyDescent="0.2">
      <c r="A17" s="141">
        <v>3</v>
      </c>
      <c r="B17" s="149" t="s">
        <v>159</v>
      </c>
      <c r="C17" s="146">
        <v>23798919</v>
      </c>
      <c r="D17" s="146">
        <v>24620510</v>
      </c>
      <c r="E17" s="146">
        <f>+D17-C17</f>
        <v>821591</v>
      </c>
      <c r="F17" s="150">
        <f>IF(C17=0,0,E17/C17)</f>
        <v>3.4522198256147683E-2</v>
      </c>
    </row>
    <row r="18" spans="1:7" ht="15.75" customHeight="1" x14ac:dyDescent="0.25">
      <c r="A18" s="141"/>
      <c r="B18" s="151" t="s">
        <v>160</v>
      </c>
      <c r="C18" s="147">
        <f>SUM(C15:C17)</f>
        <v>46238043</v>
      </c>
      <c r="D18" s="147">
        <f>SUM(D15:D17)</f>
        <v>48660629</v>
      </c>
      <c r="E18" s="147">
        <f>+D18-C18</f>
        <v>2422586</v>
      </c>
      <c r="F18" s="148">
        <f>IF(C18=0,0,E18/C18)</f>
        <v>5.2393783188445064E-2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5169877</v>
      </c>
      <c r="D21" s="146">
        <v>6041586</v>
      </c>
      <c r="E21" s="146">
        <f>+D21-C21</f>
        <v>871709</v>
      </c>
      <c r="F21" s="150">
        <f>IF(C21=0,0,E21/C21)</f>
        <v>0.16861310240069541</v>
      </c>
    </row>
    <row r="22" spans="1:7" ht="15" customHeight="1" x14ac:dyDescent="0.2">
      <c r="A22" s="141">
        <v>2</v>
      </c>
      <c r="B22" s="149" t="s">
        <v>163</v>
      </c>
      <c r="C22" s="146">
        <v>967629</v>
      </c>
      <c r="D22" s="146">
        <v>1661889</v>
      </c>
      <c r="E22" s="146">
        <f>+D22-C22</f>
        <v>694260</v>
      </c>
      <c r="F22" s="150">
        <f>IF(C22=0,0,E22/C22)</f>
        <v>0.71748573058475928</v>
      </c>
    </row>
    <row r="23" spans="1:7" ht="15" customHeight="1" x14ac:dyDescent="0.2">
      <c r="A23" s="141">
        <v>3</v>
      </c>
      <c r="B23" s="149" t="s">
        <v>164</v>
      </c>
      <c r="C23" s="146">
        <v>6509436</v>
      </c>
      <c r="D23" s="146">
        <v>7889458</v>
      </c>
      <c r="E23" s="146">
        <f>+D23-C23</f>
        <v>1380022</v>
      </c>
      <c r="F23" s="150">
        <f>IF(C23=0,0,E23/C23)</f>
        <v>0.2120033133438903</v>
      </c>
    </row>
    <row r="24" spans="1:7" ht="15.75" customHeight="1" x14ac:dyDescent="0.25">
      <c r="A24" s="141"/>
      <c r="B24" s="151" t="s">
        <v>165</v>
      </c>
      <c r="C24" s="147">
        <f>SUM(C21:C23)</f>
        <v>12646942</v>
      </c>
      <c r="D24" s="147">
        <f>SUM(D21:D23)</f>
        <v>15592933</v>
      </c>
      <c r="E24" s="147">
        <f>+D24-C24</f>
        <v>2945991</v>
      </c>
      <c r="F24" s="148">
        <f>IF(C24=0,0,E24/C24)</f>
        <v>0.23294097498035493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729577</v>
      </c>
      <c r="D27" s="146">
        <v>570053</v>
      </c>
      <c r="E27" s="146">
        <f>+D27-C27</f>
        <v>-159524</v>
      </c>
      <c r="F27" s="150">
        <f>IF(C27=0,0,E27/C27)</f>
        <v>-0.21865272616872516</v>
      </c>
    </row>
    <row r="28" spans="1:7" ht="15" customHeight="1" x14ac:dyDescent="0.2">
      <c r="A28" s="141">
        <v>2</v>
      </c>
      <c r="B28" s="149" t="s">
        <v>168</v>
      </c>
      <c r="C28" s="146">
        <v>908307</v>
      </c>
      <c r="D28" s="146">
        <v>1174714</v>
      </c>
      <c r="E28" s="146">
        <f>+D28-C28</f>
        <v>266407</v>
      </c>
      <c r="F28" s="150">
        <f>IF(C28=0,0,E28/C28)</f>
        <v>0.29330061311869227</v>
      </c>
    </row>
    <row r="29" spans="1:7" ht="15" customHeight="1" x14ac:dyDescent="0.2">
      <c r="A29" s="141">
        <v>3</v>
      </c>
      <c r="B29" s="149" t="s">
        <v>169</v>
      </c>
      <c r="C29" s="146">
        <v>320716</v>
      </c>
      <c r="D29" s="146">
        <v>480882</v>
      </c>
      <c r="E29" s="146">
        <f>+D29-C29</f>
        <v>160166</v>
      </c>
      <c r="F29" s="150">
        <f>IF(C29=0,0,E29/C29)</f>
        <v>0.49940133950286236</v>
      </c>
    </row>
    <row r="30" spans="1:7" ht="15.75" customHeight="1" x14ac:dyDescent="0.25">
      <c r="A30" s="141"/>
      <c r="B30" s="151" t="s">
        <v>170</v>
      </c>
      <c r="C30" s="147">
        <f>SUM(C27:C29)</f>
        <v>1958600</v>
      </c>
      <c r="D30" s="147">
        <f>SUM(D27:D29)</f>
        <v>2225649</v>
      </c>
      <c r="E30" s="147">
        <f>+D30-C30</f>
        <v>267049</v>
      </c>
      <c r="F30" s="148">
        <f>IF(C30=0,0,E30/C30)</f>
        <v>0.13634688042479323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8763429</v>
      </c>
      <c r="D33" s="146">
        <v>9414716</v>
      </c>
      <c r="E33" s="146">
        <f>+D33-C33</f>
        <v>651287</v>
      </c>
      <c r="F33" s="150">
        <f>IF(C33=0,0,E33/C33)</f>
        <v>7.4318739844871223E-2</v>
      </c>
    </row>
    <row r="34" spans="1:7" ht="15" customHeight="1" x14ac:dyDescent="0.2">
      <c r="A34" s="141">
        <v>2</v>
      </c>
      <c r="B34" s="149" t="s">
        <v>174</v>
      </c>
      <c r="C34" s="146">
        <v>2989589</v>
      </c>
      <c r="D34" s="146">
        <v>3268912</v>
      </c>
      <c r="E34" s="146">
        <f>+D34-C34</f>
        <v>279323</v>
      </c>
      <c r="F34" s="150">
        <f>IF(C34=0,0,E34/C34)</f>
        <v>9.3431906526281708E-2</v>
      </c>
    </row>
    <row r="35" spans="1:7" ht="15.75" customHeight="1" x14ac:dyDescent="0.25">
      <c r="A35" s="141"/>
      <c r="B35" s="151" t="s">
        <v>175</v>
      </c>
      <c r="C35" s="147">
        <f>SUM(C33:C34)</f>
        <v>11753018</v>
      </c>
      <c r="D35" s="147">
        <f>SUM(D33:D34)</f>
        <v>12683628</v>
      </c>
      <c r="E35" s="147">
        <f>+D35-C35</f>
        <v>930610</v>
      </c>
      <c r="F35" s="148">
        <f>IF(C35=0,0,E35/C35)</f>
        <v>7.9180513464711791E-2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3202183</v>
      </c>
      <c r="D38" s="146">
        <v>2995640</v>
      </c>
      <c r="E38" s="146">
        <f>+D38-C38</f>
        <v>-206543</v>
      </c>
      <c r="F38" s="150">
        <f>IF(C38=0,0,E38/C38)</f>
        <v>-6.4500685938311458E-2</v>
      </c>
    </row>
    <row r="39" spans="1:7" ht="15" customHeight="1" x14ac:dyDescent="0.2">
      <c r="A39" s="141">
        <v>2</v>
      </c>
      <c r="B39" s="149" t="s">
        <v>179</v>
      </c>
      <c r="C39" s="146">
        <v>2919569</v>
      </c>
      <c r="D39" s="146">
        <v>3120746</v>
      </c>
      <c r="E39" s="146">
        <f>+D39-C39</f>
        <v>201177</v>
      </c>
      <c r="F39" s="150">
        <f>IF(C39=0,0,E39/C39)</f>
        <v>6.8906403650675838E-2</v>
      </c>
    </row>
    <row r="40" spans="1:7" ht="15" customHeight="1" x14ac:dyDescent="0.2">
      <c r="A40" s="141">
        <v>3</v>
      </c>
      <c r="B40" s="149" t="s">
        <v>180</v>
      </c>
      <c r="C40" s="146">
        <v>54702</v>
      </c>
      <c r="D40" s="146">
        <v>54702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6176454</v>
      </c>
      <c r="D41" s="147">
        <f>SUM(D38:D40)</f>
        <v>6171088</v>
      </c>
      <c r="E41" s="147">
        <f>+D41-C41</f>
        <v>-5366</v>
      </c>
      <c r="F41" s="148">
        <f>IF(C41=0,0,E41/C41)</f>
        <v>-8.6878328568463397E-4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2247042</v>
      </c>
      <c r="D44" s="146">
        <v>2413649</v>
      </c>
      <c r="E44" s="146">
        <f>+D44-C44</f>
        <v>166607</v>
      </c>
      <c r="F44" s="150">
        <f>IF(C44=0,0,E44/C44)</f>
        <v>7.4145031557042551E-2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417080</v>
      </c>
      <c r="D47" s="146">
        <v>333980</v>
      </c>
      <c r="E47" s="146">
        <f>+D47-C47</f>
        <v>-83100</v>
      </c>
      <c r="F47" s="150">
        <f>IF(C47=0,0,E47/C47)</f>
        <v>-0.19924235158722547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1082238</v>
      </c>
      <c r="D50" s="146">
        <v>1520168</v>
      </c>
      <c r="E50" s="146">
        <f>+D50-C50</f>
        <v>437930</v>
      </c>
      <c r="F50" s="150">
        <f>IF(C50=0,0,E50/C50)</f>
        <v>0.40465221143593183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44117</v>
      </c>
      <c r="D53" s="146">
        <v>48216</v>
      </c>
      <c r="E53" s="146">
        <f t="shared" ref="E53:E59" si="0">+D53-C53</f>
        <v>4099</v>
      </c>
      <c r="F53" s="150">
        <f t="shared" ref="F53:F59" si="1">IF(C53=0,0,E53/C53)</f>
        <v>9.2912029376430852E-2</v>
      </c>
    </row>
    <row r="54" spans="1:7" ht="15" customHeight="1" x14ac:dyDescent="0.2">
      <c r="A54" s="141">
        <v>2</v>
      </c>
      <c r="B54" s="149" t="s">
        <v>193</v>
      </c>
      <c r="C54" s="146">
        <v>611968</v>
      </c>
      <c r="D54" s="146">
        <v>528084</v>
      </c>
      <c r="E54" s="146">
        <f t="shared" si="0"/>
        <v>-83884</v>
      </c>
      <c r="F54" s="150">
        <f t="shared" si="1"/>
        <v>-0.13707252666806108</v>
      </c>
    </row>
    <row r="55" spans="1:7" ht="15" customHeight="1" x14ac:dyDescent="0.2">
      <c r="A55" s="141">
        <v>3</v>
      </c>
      <c r="B55" s="149" t="s">
        <v>194</v>
      </c>
      <c r="C55" s="146">
        <v>13608</v>
      </c>
      <c r="D55" s="146">
        <v>14761</v>
      </c>
      <c r="E55" s="146">
        <f t="shared" si="0"/>
        <v>1153</v>
      </c>
      <c r="F55" s="150">
        <f t="shared" si="1"/>
        <v>8.4729570840681959E-2</v>
      </c>
    </row>
    <row r="56" spans="1:7" ht="15" customHeight="1" x14ac:dyDescent="0.2">
      <c r="A56" s="141">
        <v>4</v>
      </c>
      <c r="B56" s="149" t="s">
        <v>195</v>
      </c>
      <c r="C56" s="146">
        <v>1287646</v>
      </c>
      <c r="D56" s="146">
        <v>1417417</v>
      </c>
      <c r="E56" s="146">
        <f t="shared" si="0"/>
        <v>129771</v>
      </c>
      <c r="F56" s="150">
        <f t="shared" si="1"/>
        <v>0.10078158127311389</v>
      </c>
    </row>
    <row r="57" spans="1:7" ht="15" customHeight="1" x14ac:dyDescent="0.2">
      <c r="A57" s="141">
        <v>5</v>
      </c>
      <c r="B57" s="149" t="s">
        <v>196</v>
      </c>
      <c r="C57" s="146">
        <v>162362</v>
      </c>
      <c r="D57" s="146">
        <v>167774</v>
      </c>
      <c r="E57" s="146">
        <f t="shared" si="0"/>
        <v>5412</v>
      </c>
      <c r="F57" s="150">
        <f t="shared" si="1"/>
        <v>3.3332922728224586E-2</v>
      </c>
    </row>
    <row r="58" spans="1:7" ht="15" customHeight="1" x14ac:dyDescent="0.2">
      <c r="A58" s="141">
        <v>6</v>
      </c>
      <c r="B58" s="149" t="s">
        <v>197</v>
      </c>
      <c r="C58" s="146">
        <v>47651</v>
      </c>
      <c r="D58" s="146">
        <v>45077</v>
      </c>
      <c r="E58" s="146">
        <f t="shared" si="0"/>
        <v>-2574</v>
      </c>
      <c r="F58" s="150">
        <f t="shared" si="1"/>
        <v>-5.4017754087007618E-2</v>
      </c>
    </row>
    <row r="59" spans="1:7" ht="15.75" customHeight="1" x14ac:dyDescent="0.25">
      <c r="A59" s="141"/>
      <c r="B59" s="151" t="s">
        <v>198</v>
      </c>
      <c r="C59" s="147">
        <f>SUM(C53:C58)</f>
        <v>2167352</v>
      </c>
      <c r="D59" s="147">
        <f>SUM(D53:D58)</f>
        <v>2221329</v>
      </c>
      <c r="E59" s="147">
        <f t="shared" si="0"/>
        <v>53977</v>
      </c>
      <c r="F59" s="148">
        <f t="shared" si="1"/>
        <v>2.4904584026960087E-2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109696</v>
      </c>
      <c r="D62" s="146">
        <v>119165</v>
      </c>
      <c r="E62" s="146">
        <f t="shared" ref="E62:E78" si="2">+D62-C62</f>
        <v>9469</v>
      </c>
      <c r="F62" s="150">
        <f t="shared" ref="F62:F78" si="3">IF(C62=0,0,E62/C62)</f>
        <v>8.6320376312718786E-2</v>
      </c>
    </row>
    <row r="63" spans="1:7" ht="15" customHeight="1" x14ac:dyDescent="0.2">
      <c r="A63" s="141">
        <v>2</v>
      </c>
      <c r="B63" s="149" t="s">
        <v>202</v>
      </c>
      <c r="C63" s="146">
        <v>190419</v>
      </c>
      <c r="D63" s="146">
        <v>276581</v>
      </c>
      <c r="E63" s="146">
        <f t="shared" si="2"/>
        <v>86162</v>
      </c>
      <c r="F63" s="150">
        <f t="shared" si="3"/>
        <v>0.45248635902929857</v>
      </c>
    </row>
    <row r="64" spans="1:7" ht="15" customHeight="1" x14ac:dyDescent="0.2">
      <c r="A64" s="141">
        <v>3</v>
      </c>
      <c r="B64" s="149" t="s">
        <v>203</v>
      </c>
      <c r="C64" s="146">
        <v>847286</v>
      </c>
      <c r="D64" s="146">
        <v>672687</v>
      </c>
      <c r="E64" s="146">
        <f t="shared" si="2"/>
        <v>-174599</v>
      </c>
      <c r="F64" s="150">
        <f t="shared" si="3"/>
        <v>-0.20606855300335425</v>
      </c>
    </row>
    <row r="65" spans="1:7" ht="15" customHeight="1" x14ac:dyDescent="0.2">
      <c r="A65" s="141">
        <v>4</v>
      </c>
      <c r="B65" s="149" t="s">
        <v>204</v>
      </c>
      <c r="C65" s="146">
        <v>0</v>
      </c>
      <c r="D65" s="146">
        <v>0</v>
      </c>
      <c r="E65" s="146">
        <f t="shared" si="2"/>
        <v>0</v>
      </c>
      <c r="F65" s="150">
        <f t="shared" si="3"/>
        <v>0</v>
      </c>
    </row>
    <row r="66" spans="1:7" ht="15" customHeight="1" x14ac:dyDescent="0.2">
      <c r="A66" s="141">
        <v>5</v>
      </c>
      <c r="B66" s="149" t="s">
        <v>205</v>
      </c>
      <c r="C66" s="146">
        <v>952987</v>
      </c>
      <c r="D66" s="146">
        <v>968013</v>
      </c>
      <c r="E66" s="146">
        <f t="shared" si="2"/>
        <v>15026</v>
      </c>
      <c r="F66" s="150">
        <f t="shared" si="3"/>
        <v>1.576726649996275E-2</v>
      </c>
    </row>
    <row r="67" spans="1:7" ht="15" customHeight="1" x14ac:dyDescent="0.2">
      <c r="A67" s="141">
        <v>6</v>
      </c>
      <c r="B67" s="149" t="s">
        <v>206</v>
      </c>
      <c r="C67" s="146">
        <v>550733</v>
      </c>
      <c r="D67" s="146">
        <v>647075</v>
      </c>
      <c r="E67" s="146">
        <f t="shared" si="2"/>
        <v>96342</v>
      </c>
      <c r="F67" s="150">
        <f t="shared" si="3"/>
        <v>0.1749341332369769</v>
      </c>
    </row>
    <row r="68" spans="1:7" ht="15" customHeight="1" x14ac:dyDescent="0.2">
      <c r="A68" s="141">
        <v>7</v>
      </c>
      <c r="B68" s="149" t="s">
        <v>207</v>
      </c>
      <c r="C68" s="146">
        <v>1631947</v>
      </c>
      <c r="D68" s="146">
        <v>2022796</v>
      </c>
      <c r="E68" s="146">
        <f t="shared" si="2"/>
        <v>390849</v>
      </c>
      <c r="F68" s="150">
        <f t="shared" si="3"/>
        <v>0.23949858665753238</v>
      </c>
    </row>
    <row r="69" spans="1:7" ht="15" customHeight="1" x14ac:dyDescent="0.2">
      <c r="A69" s="141">
        <v>8</v>
      </c>
      <c r="B69" s="149" t="s">
        <v>208</v>
      </c>
      <c r="C69" s="146">
        <v>258221</v>
      </c>
      <c r="D69" s="146">
        <v>287958</v>
      </c>
      <c r="E69" s="146">
        <f t="shared" si="2"/>
        <v>29737</v>
      </c>
      <c r="F69" s="150">
        <f t="shared" si="3"/>
        <v>0.11516104422181</v>
      </c>
    </row>
    <row r="70" spans="1:7" ht="15" customHeight="1" x14ac:dyDescent="0.2">
      <c r="A70" s="141">
        <v>9</v>
      </c>
      <c r="B70" s="149" t="s">
        <v>209</v>
      </c>
      <c r="C70" s="146">
        <v>171129</v>
      </c>
      <c r="D70" s="146">
        <v>179610</v>
      </c>
      <c r="E70" s="146">
        <f t="shared" si="2"/>
        <v>8481</v>
      </c>
      <c r="F70" s="150">
        <f t="shared" si="3"/>
        <v>4.9559104535175216E-2</v>
      </c>
    </row>
    <row r="71" spans="1:7" ht="15" customHeight="1" x14ac:dyDescent="0.2">
      <c r="A71" s="141">
        <v>10</v>
      </c>
      <c r="B71" s="149" t="s">
        <v>210</v>
      </c>
      <c r="C71" s="146">
        <v>91287</v>
      </c>
      <c r="D71" s="146">
        <v>92301</v>
      </c>
      <c r="E71" s="146">
        <f t="shared" si="2"/>
        <v>1014</v>
      </c>
      <c r="F71" s="150">
        <f t="shared" si="3"/>
        <v>1.1107824772421046E-2</v>
      </c>
    </row>
    <row r="72" spans="1:7" ht="15" customHeight="1" x14ac:dyDescent="0.2">
      <c r="A72" s="141">
        <v>11</v>
      </c>
      <c r="B72" s="149" t="s">
        <v>211</v>
      </c>
      <c r="C72" s="146">
        <v>35297</v>
      </c>
      <c r="D72" s="146">
        <v>132869</v>
      </c>
      <c r="E72" s="146">
        <f t="shared" si="2"/>
        <v>97572</v>
      </c>
      <c r="F72" s="150">
        <f t="shared" si="3"/>
        <v>2.7643142476697737</v>
      </c>
    </row>
    <row r="73" spans="1:7" ht="15" customHeight="1" x14ac:dyDescent="0.2">
      <c r="A73" s="141">
        <v>12</v>
      </c>
      <c r="B73" s="149" t="s">
        <v>212</v>
      </c>
      <c r="C73" s="146">
        <v>748553</v>
      </c>
      <c r="D73" s="146">
        <v>749661</v>
      </c>
      <c r="E73" s="146">
        <f t="shared" si="2"/>
        <v>1108</v>
      </c>
      <c r="F73" s="150">
        <f t="shared" si="3"/>
        <v>1.4801891115258372E-3</v>
      </c>
    </row>
    <row r="74" spans="1:7" ht="15" customHeight="1" x14ac:dyDescent="0.2">
      <c r="A74" s="141">
        <v>13</v>
      </c>
      <c r="B74" s="149" t="s">
        <v>213</v>
      </c>
      <c r="C74" s="146">
        <v>359264</v>
      </c>
      <c r="D74" s="146">
        <v>367254</v>
      </c>
      <c r="E74" s="146">
        <f t="shared" si="2"/>
        <v>7990</v>
      </c>
      <c r="F74" s="150">
        <f t="shared" si="3"/>
        <v>2.2239912710430212E-2</v>
      </c>
    </row>
    <row r="75" spans="1:7" ht="15" customHeight="1" x14ac:dyDescent="0.2">
      <c r="A75" s="141">
        <v>14</v>
      </c>
      <c r="B75" s="149" t="s">
        <v>214</v>
      </c>
      <c r="C75" s="146">
        <v>113459</v>
      </c>
      <c r="D75" s="146">
        <v>132814</v>
      </c>
      <c r="E75" s="146">
        <f t="shared" si="2"/>
        <v>19355</v>
      </c>
      <c r="F75" s="150">
        <f t="shared" si="3"/>
        <v>0.17059025727355256</v>
      </c>
    </row>
    <row r="76" spans="1:7" ht="15" customHeight="1" x14ac:dyDescent="0.2">
      <c r="A76" s="141">
        <v>15</v>
      </c>
      <c r="B76" s="149" t="s">
        <v>215</v>
      </c>
      <c r="C76" s="146">
        <v>660667</v>
      </c>
      <c r="D76" s="146">
        <v>552460</v>
      </c>
      <c r="E76" s="146">
        <f t="shared" si="2"/>
        <v>-108207</v>
      </c>
      <c r="F76" s="150">
        <f t="shared" si="3"/>
        <v>-0.16378447841348212</v>
      </c>
    </row>
    <row r="77" spans="1:7" ht="15" customHeight="1" x14ac:dyDescent="0.2">
      <c r="A77" s="141">
        <v>16</v>
      </c>
      <c r="B77" s="149" t="s">
        <v>216</v>
      </c>
      <c r="C77" s="146">
        <v>8875006</v>
      </c>
      <c r="D77" s="146">
        <v>9861289</v>
      </c>
      <c r="E77" s="146">
        <f t="shared" si="2"/>
        <v>986283</v>
      </c>
      <c r="F77" s="150">
        <f t="shared" si="3"/>
        <v>0.11113040374282564</v>
      </c>
    </row>
    <row r="78" spans="1:7" ht="15.75" customHeight="1" x14ac:dyDescent="0.25">
      <c r="A78" s="141"/>
      <c r="B78" s="151" t="s">
        <v>217</v>
      </c>
      <c r="C78" s="147">
        <f>SUM(C62:C77)</f>
        <v>15595951</v>
      </c>
      <c r="D78" s="147">
        <f>SUM(D62:D77)</f>
        <v>17062533</v>
      </c>
      <c r="E78" s="147">
        <f t="shared" si="2"/>
        <v>1466582</v>
      </c>
      <c r="F78" s="148">
        <f t="shared" si="3"/>
        <v>9.4036073850193552E-2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119639</v>
      </c>
      <c r="D81" s="146">
        <v>11577</v>
      </c>
      <c r="E81" s="146">
        <f>+D81-C81</f>
        <v>-108062</v>
      </c>
      <c r="F81" s="150">
        <f>IF(C81=0,0,E81/C81)</f>
        <v>-0.90323389530169929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100402359</v>
      </c>
      <c r="D83" s="147">
        <f>+D81+D78+D59+D50+D47+D44+D41+D35+D30+D24+D18</f>
        <v>108897163</v>
      </c>
      <c r="E83" s="147">
        <f>+D83-C83</f>
        <v>8494804</v>
      </c>
      <c r="F83" s="148">
        <f>IF(C83=0,0,E83/C83)</f>
        <v>8.4607613651786803E-2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27044507</v>
      </c>
      <c r="D91" s="146">
        <v>30771231</v>
      </c>
      <c r="E91" s="146">
        <f t="shared" ref="E91:E109" si="4">D91-C91</f>
        <v>3726724</v>
      </c>
      <c r="F91" s="150">
        <f t="shared" ref="F91:F109" si="5">IF(C91=0,0,E91/C91)</f>
        <v>0.13779966482657643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883734</v>
      </c>
      <c r="D92" s="146">
        <v>845542</v>
      </c>
      <c r="E92" s="146">
        <f t="shared" si="4"/>
        <v>-38192</v>
      </c>
      <c r="F92" s="150">
        <f t="shared" si="5"/>
        <v>-4.3216624006771266E-2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1125728</v>
      </c>
      <c r="D93" s="146">
        <v>1168053</v>
      </c>
      <c r="E93" s="146">
        <f t="shared" si="4"/>
        <v>42325</v>
      </c>
      <c r="F93" s="150">
        <f t="shared" si="5"/>
        <v>3.7597892208419796E-2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1090166</v>
      </c>
      <c r="D94" s="146">
        <v>1137460</v>
      </c>
      <c r="E94" s="146">
        <f t="shared" si="4"/>
        <v>47294</v>
      </c>
      <c r="F94" s="150">
        <f t="shared" si="5"/>
        <v>4.3382383967212335E-2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2156369</v>
      </c>
      <c r="D95" s="146">
        <v>2610551</v>
      </c>
      <c r="E95" s="146">
        <f t="shared" si="4"/>
        <v>454182</v>
      </c>
      <c r="F95" s="150">
        <f t="shared" si="5"/>
        <v>0.21062350645923772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290599</v>
      </c>
      <c r="D96" s="146">
        <v>283712</v>
      </c>
      <c r="E96" s="146">
        <f t="shared" si="4"/>
        <v>-6887</v>
      </c>
      <c r="F96" s="150">
        <f t="shared" si="5"/>
        <v>-2.369932449870784E-2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801425</v>
      </c>
      <c r="D97" s="146">
        <v>779153</v>
      </c>
      <c r="E97" s="146">
        <f t="shared" si="4"/>
        <v>-22272</v>
      </c>
      <c r="F97" s="150">
        <f t="shared" si="5"/>
        <v>-2.7790498175125557E-2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567616</v>
      </c>
      <c r="D98" s="146">
        <v>398754</v>
      </c>
      <c r="E98" s="146">
        <f t="shared" si="4"/>
        <v>-168862</v>
      </c>
      <c r="F98" s="150">
        <f t="shared" si="5"/>
        <v>-0.29749337580335999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706245</v>
      </c>
      <c r="D99" s="146">
        <v>872879</v>
      </c>
      <c r="E99" s="146">
        <f t="shared" si="4"/>
        <v>166634</v>
      </c>
      <c r="F99" s="150">
        <f t="shared" si="5"/>
        <v>0.23594361729994548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1607901</v>
      </c>
      <c r="D100" s="146">
        <v>1600176</v>
      </c>
      <c r="E100" s="146">
        <f t="shared" si="4"/>
        <v>-7725</v>
      </c>
      <c r="F100" s="150">
        <f t="shared" si="5"/>
        <v>-4.8044002709122019E-3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1292611</v>
      </c>
      <c r="D101" s="146">
        <v>1318252</v>
      </c>
      <c r="E101" s="146">
        <f t="shared" si="4"/>
        <v>25641</v>
      </c>
      <c r="F101" s="150">
        <f t="shared" si="5"/>
        <v>1.9836594304086845E-2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498349</v>
      </c>
      <c r="D102" s="146">
        <v>569105</v>
      </c>
      <c r="E102" s="146">
        <f t="shared" si="4"/>
        <v>70756</v>
      </c>
      <c r="F102" s="150">
        <f t="shared" si="5"/>
        <v>0.14198082066985185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1906946</v>
      </c>
      <c r="D103" s="146">
        <v>2042114</v>
      </c>
      <c r="E103" s="146">
        <f t="shared" si="4"/>
        <v>135168</v>
      </c>
      <c r="F103" s="150">
        <f t="shared" si="5"/>
        <v>7.0881923242713737E-2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320429</v>
      </c>
      <c r="D104" s="146">
        <v>302128</v>
      </c>
      <c r="E104" s="146">
        <f t="shared" si="4"/>
        <v>-18301</v>
      </c>
      <c r="F104" s="150">
        <f t="shared" si="5"/>
        <v>-5.7114056468047521E-2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811099</v>
      </c>
      <c r="D105" s="146">
        <v>819619</v>
      </c>
      <c r="E105" s="146">
        <f t="shared" si="4"/>
        <v>8520</v>
      </c>
      <c r="F105" s="150">
        <f t="shared" si="5"/>
        <v>1.0504266433567295E-2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350462</v>
      </c>
      <c r="D106" s="146">
        <v>371668</v>
      </c>
      <c r="E106" s="146">
        <f t="shared" si="4"/>
        <v>21206</v>
      </c>
      <c r="F106" s="150">
        <f t="shared" si="5"/>
        <v>6.0508699944644501E-2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4346502</v>
      </c>
      <c r="D107" s="146">
        <v>4583558</v>
      </c>
      <c r="E107" s="146">
        <f t="shared" si="4"/>
        <v>237056</v>
      </c>
      <c r="F107" s="150">
        <f t="shared" si="5"/>
        <v>5.4539489456118966E-2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0</v>
      </c>
      <c r="D108" s="146">
        <v>0</v>
      </c>
      <c r="E108" s="146">
        <f t="shared" si="4"/>
        <v>0</v>
      </c>
      <c r="F108" s="150">
        <f t="shared" si="5"/>
        <v>0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45800688</v>
      </c>
      <c r="D109" s="147">
        <f>SUM(D91:D108)</f>
        <v>50473955</v>
      </c>
      <c r="E109" s="147">
        <f t="shared" si="4"/>
        <v>4673267</v>
      </c>
      <c r="F109" s="148">
        <f t="shared" si="5"/>
        <v>0.10203486462910775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722732</v>
      </c>
      <c r="D112" s="146">
        <v>674109</v>
      </c>
      <c r="E112" s="146">
        <f t="shared" ref="E112:E118" si="6">D112-C112</f>
        <v>-48623</v>
      </c>
      <c r="F112" s="150">
        <f t="shared" ref="F112:F118" si="7">IF(C112=0,0,E112/C112)</f>
        <v>-6.7276666869600349E-2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1392372</v>
      </c>
      <c r="D114" s="146">
        <v>1084092</v>
      </c>
      <c r="E114" s="146">
        <f t="shared" si="6"/>
        <v>-308280</v>
      </c>
      <c r="F114" s="150">
        <f t="shared" si="7"/>
        <v>-0.22140634830347061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1549891</v>
      </c>
      <c r="D115" s="146">
        <v>1596485</v>
      </c>
      <c r="E115" s="146">
        <f t="shared" si="6"/>
        <v>46594</v>
      </c>
      <c r="F115" s="150">
        <f t="shared" si="7"/>
        <v>3.0062759252102243E-2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1235813</v>
      </c>
      <c r="D116" s="146">
        <v>1450609</v>
      </c>
      <c r="E116" s="146">
        <f t="shared" si="6"/>
        <v>214796</v>
      </c>
      <c r="F116" s="150">
        <f t="shared" si="7"/>
        <v>0.1738094679373012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4900808</v>
      </c>
      <c r="D118" s="147">
        <f>SUM(D112:D117)</f>
        <v>4805295</v>
      </c>
      <c r="E118" s="147">
        <f t="shared" si="6"/>
        <v>-95513</v>
      </c>
      <c r="F118" s="148">
        <f t="shared" si="7"/>
        <v>-1.9489235244473973E-2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6103509</v>
      </c>
      <c r="D121" s="146">
        <v>6770944</v>
      </c>
      <c r="E121" s="146">
        <f t="shared" ref="E121:E155" si="8">D121-C121</f>
        <v>667435</v>
      </c>
      <c r="F121" s="150">
        <f t="shared" ref="F121:F155" si="9">IF(C121=0,0,E121/C121)</f>
        <v>0.10935266909576115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536990</v>
      </c>
      <c r="D122" s="146">
        <v>489645</v>
      </c>
      <c r="E122" s="146">
        <f t="shared" si="8"/>
        <v>-47345</v>
      </c>
      <c r="F122" s="150">
        <f t="shared" si="9"/>
        <v>-8.8167377418573903E-2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178729</v>
      </c>
      <c r="D123" s="146">
        <v>199882</v>
      </c>
      <c r="E123" s="146">
        <f t="shared" si="8"/>
        <v>21153</v>
      </c>
      <c r="F123" s="150">
        <f t="shared" si="9"/>
        <v>0.11835236587235423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521101</v>
      </c>
      <c r="D124" s="146">
        <v>564914</v>
      </c>
      <c r="E124" s="146">
        <f t="shared" si="8"/>
        <v>43813</v>
      </c>
      <c r="F124" s="150">
        <f t="shared" si="9"/>
        <v>8.4077750762328221E-2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2984798</v>
      </c>
      <c r="D125" s="146">
        <v>3008481</v>
      </c>
      <c r="E125" s="146">
        <f t="shared" si="8"/>
        <v>23683</v>
      </c>
      <c r="F125" s="150">
        <f t="shared" si="9"/>
        <v>7.9345402938490305E-3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314436</v>
      </c>
      <c r="D126" s="146">
        <v>346364</v>
      </c>
      <c r="E126" s="146">
        <f t="shared" si="8"/>
        <v>31928</v>
      </c>
      <c r="F126" s="150">
        <f t="shared" si="9"/>
        <v>0.10154053607093336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1092104</v>
      </c>
      <c r="D127" s="146">
        <v>1216732</v>
      </c>
      <c r="E127" s="146">
        <f t="shared" si="8"/>
        <v>124628</v>
      </c>
      <c r="F127" s="150">
        <f t="shared" si="9"/>
        <v>0.11411733681041367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394248</v>
      </c>
      <c r="D128" s="146">
        <v>368932</v>
      </c>
      <c r="E128" s="146">
        <f t="shared" si="8"/>
        <v>-25316</v>
      </c>
      <c r="F128" s="150">
        <f t="shared" si="9"/>
        <v>-6.4213388527018522E-2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699651</v>
      </c>
      <c r="D129" s="146">
        <v>817463</v>
      </c>
      <c r="E129" s="146">
        <f t="shared" si="8"/>
        <v>117812</v>
      </c>
      <c r="F129" s="150">
        <f t="shared" si="9"/>
        <v>0.16838680999526906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6131048</v>
      </c>
      <c r="D130" s="146">
        <v>6437714</v>
      </c>
      <c r="E130" s="146">
        <f t="shared" si="8"/>
        <v>306666</v>
      </c>
      <c r="F130" s="150">
        <f t="shared" si="9"/>
        <v>5.0018528643063956E-2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1215290</v>
      </c>
      <c r="D131" s="146">
        <v>1271305</v>
      </c>
      <c r="E131" s="146">
        <f t="shared" si="8"/>
        <v>56015</v>
      </c>
      <c r="F131" s="150">
        <f t="shared" si="9"/>
        <v>4.6091879304528134E-2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317905</v>
      </c>
      <c r="D133" s="146">
        <v>318642</v>
      </c>
      <c r="E133" s="146">
        <f t="shared" si="8"/>
        <v>737</v>
      </c>
      <c r="F133" s="150">
        <f t="shared" si="9"/>
        <v>2.3183026375804094E-3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8</v>
      </c>
      <c r="D134" s="146">
        <v>7582</v>
      </c>
      <c r="E134" s="146">
        <f t="shared" si="8"/>
        <v>7574</v>
      </c>
      <c r="F134" s="150">
        <f t="shared" si="9"/>
        <v>946.75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8033</v>
      </c>
      <c r="D135" s="146">
        <v>253</v>
      </c>
      <c r="E135" s="146">
        <f t="shared" si="8"/>
        <v>-7780</v>
      </c>
      <c r="F135" s="150">
        <f t="shared" si="9"/>
        <v>-0.96850491721648202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33281</v>
      </c>
      <c r="D136" s="146">
        <v>50276</v>
      </c>
      <c r="E136" s="146">
        <f t="shared" si="8"/>
        <v>16995</v>
      </c>
      <c r="F136" s="150">
        <f t="shared" si="9"/>
        <v>0.51065172320543251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802905</v>
      </c>
      <c r="D138" s="146">
        <v>773563</v>
      </c>
      <c r="E138" s="146">
        <f t="shared" si="8"/>
        <v>-29342</v>
      </c>
      <c r="F138" s="150">
        <f t="shared" si="9"/>
        <v>-3.6544796706957858E-2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213342</v>
      </c>
      <c r="D139" s="146">
        <v>219381</v>
      </c>
      <c r="E139" s="146">
        <f t="shared" si="8"/>
        <v>6039</v>
      </c>
      <c r="F139" s="150">
        <f t="shared" si="9"/>
        <v>2.8306662541834237E-2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3962413</v>
      </c>
      <c r="D142" s="146">
        <v>3950850</v>
      </c>
      <c r="E142" s="146">
        <f t="shared" si="8"/>
        <v>-11563</v>
      </c>
      <c r="F142" s="150">
        <f t="shared" si="9"/>
        <v>-2.9181713264114567E-3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261664</v>
      </c>
      <c r="D143" s="146">
        <v>239133</v>
      </c>
      <c r="E143" s="146">
        <f t="shared" si="8"/>
        <v>-22531</v>
      </c>
      <c r="F143" s="150">
        <f t="shared" si="9"/>
        <v>-8.6106610003668829E-2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4871006</v>
      </c>
      <c r="D144" s="146">
        <v>5141870</v>
      </c>
      <c r="E144" s="146">
        <f t="shared" si="8"/>
        <v>270864</v>
      </c>
      <c r="F144" s="150">
        <f t="shared" si="9"/>
        <v>5.5607404302109253E-2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267389</v>
      </c>
      <c r="D145" s="146">
        <v>245620</v>
      </c>
      <c r="E145" s="146">
        <f t="shared" si="8"/>
        <v>-21769</v>
      </c>
      <c r="F145" s="150">
        <f t="shared" si="9"/>
        <v>-8.1413221935083338E-2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39601</v>
      </c>
      <c r="D146" s="146">
        <v>133826</v>
      </c>
      <c r="E146" s="146">
        <f t="shared" si="8"/>
        <v>94225</v>
      </c>
      <c r="F146" s="150">
        <f t="shared" si="9"/>
        <v>2.3793591070932552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220744</v>
      </c>
      <c r="D148" s="146">
        <v>356910</v>
      </c>
      <c r="E148" s="146">
        <f t="shared" si="8"/>
        <v>136166</v>
      </c>
      <c r="F148" s="150">
        <f t="shared" si="9"/>
        <v>0.61685028811655129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353994</v>
      </c>
      <c r="D149" s="146">
        <v>358068</v>
      </c>
      <c r="E149" s="146">
        <f t="shared" si="8"/>
        <v>4074</v>
      </c>
      <c r="F149" s="150">
        <f t="shared" si="9"/>
        <v>1.1508669638468449E-2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309444</v>
      </c>
      <c r="D151" s="146">
        <v>333746</v>
      </c>
      <c r="E151" s="146">
        <f t="shared" si="8"/>
        <v>24302</v>
      </c>
      <c r="F151" s="150">
        <f t="shared" si="9"/>
        <v>7.8534403640077036E-2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481013</v>
      </c>
      <c r="D152" s="146">
        <v>585305</v>
      </c>
      <c r="E152" s="146">
        <f t="shared" si="8"/>
        <v>104292</v>
      </c>
      <c r="F152" s="150">
        <f t="shared" si="9"/>
        <v>0.2168174248928823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93649</v>
      </c>
      <c r="D154" s="146">
        <v>186211</v>
      </c>
      <c r="E154" s="146">
        <f t="shared" si="8"/>
        <v>92562</v>
      </c>
      <c r="F154" s="150">
        <f t="shared" si="9"/>
        <v>0.98839282854061439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32408295</v>
      </c>
      <c r="D155" s="147">
        <f>SUM(D121:D154)</f>
        <v>34393612</v>
      </c>
      <c r="E155" s="147">
        <f t="shared" si="8"/>
        <v>1985317</v>
      </c>
      <c r="F155" s="148">
        <f t="shared" si="9"/>
        <v>6.1259532474633421E-2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6689730</v>
      </c>
      <c r="D158" s="146">
        <v>6583339</v>
      </c>
      <c r="E158" s="146">
        <f t="shared" ref="E158:E171" si="10">D158-C158</f>
        <v>-106391</v>
      </c>
      <c r="F158" s="150">
        <f t="shared" ref="F158:F171" si="11">IF(C158=0,0,E158/C158)</f>
        <v>-1.5903631387215927E-2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2028864</v>
      </c>
      <c r="D159" s="146">
        <v>2056409</v>
      </c>
      <c r="E159" s="146">
        <f t="shared" si="10"/>
        <v>27545</v>
      </c>
      <c r="F159" s="150">
        <f t="shared" si="11"/>
        <v>1.3576563042175326E-2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2590378</v>
      </c>
      <c r="D161" s="146">
        <v>2611183</v>
      </c>
      <c r="E161" s="146">
        <f t="shared" si="10"/>
        <v>20805</v>
      </c>
      <c r="F161" s="150">
        <f t="shared" si="11"/>
        <v>8.0316463465949749E-3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762666</v>
      </c>
      <c r="D162" s="146">
        <v>865133</v>
      </c>
      <c r="E162" s="146">
        <f t="shared" si="10"/>
        <v>102467</v>
      </c>
      <c r="F162" s="150">
        <f t="shared" si="11"/>
        <v>0.13435370135813055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832911</v>
      </c>
      <c r="D163" s="146">
        <v>847490</v>
      </c>
      <c r="E163" s="146">
        <f t="shared" si="10"/>
        <v>14579</v>
      </c>
      <c r="F163" s="150">
        <f t="shared" si="11"/>
        <v>1.7503670860392048E-2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357900</v>
      </c>
      <c r="D164" s="146">
        <v>328023</v>
      </c>
      <c r="E164" s="146">
        <f t="shared" si="10"/>
        <v>-29877</v>
      </c>
      <c r="F164" s="150">
        <f t="shared" si="11"/>
        <v>-8.3478625314333615E-2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671770</v>
      </c>
      <c r="D167" s="146">
        <v>695819</v>
      </c>
      <c r="E167" s="146">
        <f t="shared" si="10"/>
        <v>24049</v>
      </c>
      <c r="F167" s="150">
        <f t="shared" si="11"/>
        <v>3.5799455170668536E-2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1665815</v>
      </c>
      <c r="D169" s="146">
        <v>3426977</v>
      </c>
      <c r="E169" s="146">
        <f t="shared" si="10"/>
        <v>1761162</v>
      </c>
      <c r="F169" s="150">
        <f t="shared" si="11"/>
        <v>1.0572374483360998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1347246</v>
      </c>
      <c r="D170" s="146">
        <v>1447596</v>
      </c>
      <c r="E170" s="146">
        <f t="shared" si="10"/>
        <v>100350</v>
      </c>
      <c r="F170" s="150">
        <f t="shared" si="11"/>
        <v>7.4485283311288356E-2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16947280</v>
      </c>
      <c r="D171" s="147">
        <f>SUM(D158:D170)</f>
        <v>18861969</v>
      </c>
      <c r="E171" s="147">
        <f t="shared" si="10"/>
        <v>1914689</v>
      </c>
      <c r="F171" s="148">
        <f t="shared" si="11"/>
        <v>0.11297913293460661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345288</v>
      </c>
      <c r="D174" s="146">
        <v>362332</v>
      </c>
      <c r="E174" s="146">
        <f>D174-C174</f>
        <v>17044</v>
      </c>
      <c r="F174" s="150">
        <f>IF(C174=0,0,E174/C174)</f>
        <v>4.9361692268483123E-2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100402359</v>
      </c>
      <c r="D176" s="147">
        <f>+D174+D171+D155+D118+D109</f>
        <v>108897163</v>
      </c>
      <c r="E176" s="147">
        <f>D176-C176</f>
        <v>8494804</v>
      </c>
      <c r="F176" s="148">
        <f>IF(C176=0,0,E176/C176)</f>
        <v>8.4607613651786803E-2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r:id="rId1"/>
  <headerFooter>
    <oddHeader>&amp;LOFFICE OF HEALTH CARE ACCESS&amp;CTWELVE MONTHS ACTUAL FILING&amp;RCHARLOTTE HUNGERFORD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87939108</v>
      </c>
      <c r="D11" s="164">
        <v>95678590</v>
      </c>
      <c r="E11" s="51">
        <v>103111284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5802825</v>
      </c>
      <c r="D12" s="49">
        <v>5573529</v>
      </c>
      <c r="E12" s="49">
        <v>5360151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93741933</v>
      </c>
      <c r="D13" s="51">
        <f>+D11+D12</f>
        <v>101252119</v>
      </c>
      <c r="E13" s="51">
        <f>+E11+E12</f>
        <v>108471435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93504863</v>
      </c>
      <c r="D14" s="49">
        <v>100402359</v>
      </c>
      <c r="E14" s="49">
        <v>108897163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237070</v>
      </c>
      <c r="D15" s="51">
        <f>+D13-D14</f>
        <v>849760</v>
      </c>
      <c r="E15" s="51">
        <f>+E13-E14</f>
        <v>-425728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827321</v>
      </c>
      <c r="D16" s="49">
        <v>-669899</v>
      </c>
      <c r="E16" s="49">
        <v>1978820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1064391</v>
      </c>
      <c r="D17" s="51">
        <f>D15+D16</f>
        <v>179861</v>
      </c>
      <c r="E17" s="51">
        <f>E15+E16</f>
        <v>1553092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2.5068401195170683E-3</v>
      </c>
      <c r="D20" s="169">
        <f>IF(+D27=0,0,+D24/+D27)</f>
        <v>8.4484116576468479E-3</v>
      </c>
      <c r="E20" s="169">
        <f>IF(+E27=0,0,+E24/+E27)</f>
        <v>-3.8544772938731557E-3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8.7483084089888235E-3</v>
      </c>
      <c r="D21" s="169">
        <f>IF(D27=0,0,+D26/D27)</f>
        <v>-6.6602129084046861E-3</v>
      </c>
      <c r="E21" s="169">
        <f>IF(E27=0,0,+E26/E27)</f>
        <v>1.7915938718294493E-2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1.1255148528505893E-2</v>
      </c>
      <c r="D22" s="169">
        <f>IF(D27=0,0,+D28/D27)</f>
        <v>1.7881987492421622E-3</v>
      </c>
      <c r="E22" s="169">
        <f>IF(E27=0,0,+E28/E27)</f>
        <v>1.4061461424421337E-2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237070</v>
      </c>
      <c r="D24" s="51">
        <f>+D15</f>
        <v>849760</v>
      </c>
      <c r="E24" s="51">
        <f>+E15</f>
        <v>-425728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93741933</v>
      </c>
      <c r="D25" s="51">
        <f>+D13</f>
        <v>101252119</v>
      </c>
      <c r="E25" s="51">
        <f>+E13</f>
        <v>108471435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827321</v>
      </c>
      <c r="D26" s="51">
        <f>+D16</f>
        <v>-669899</v>
      </c>
      <c r="E26" s="51">
        <f>+E16</f>
        <v>1978820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94569254</v>
      </c>
      <c r="D27" s="51">
        <f>+D25+D26</f>
        <v>100582220</v>
      </c>
      <c r="E27" s="51">
        <f>+E25+E26</f>
        <v>110450255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1064391</v>
      </c>
      <c r="D28" s="51">
        <f>+D17</f>
        <v>179861</v>
      </c>
      <c r="E28" s="51">
        <f>+E17</f>
        <v>1553092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60861612</v>
      </c>
      <c r="D31" s="51">
        <v>41545959</v>
      </c>
      <c r="E31" s="51">
        <v>39188881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80798341</v>
      </c>
      <c r="D32" s="51">
        <v>60028996</v>
      </c>
      <c r="E32" s="51">
        <v>58541584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-12714542</v>
      </c>
      <c r="D33" s="51">
        <f>+D32-C32</f>
        <v>-20769345</v>
      </c>
      <c r="E33" s="51">
        <f>+E32-D32</f>
        <v>-1487412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0.86399999999999999</v>
      </c>
      <c r="D34" s="171">
        <f>IF(C32=0,0,+D33/C32)</f>
        <v>-0.25705162683971444</v>
      </c>
      <c r="E34" s="171">
        <f>IF(D32=0,0,+E33/D32)</f>
        <v>-2.4778225509552085E-2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0.57888530986465725</v>
      </c>
      <c r="D38" s="172">
        <f>IF((D40+D41)=0,0,+D39/(D40+D41))</f>
        <v>0.5517664095294107</v>
      </c>
      <c r="E38" s="172">
        <f>IF((E40+E41)=0,0,+E39/(E40+E41))</f>
        <v>0.56277432313138853</v>
      </c>
      <c r="F38" s="5"/>
    </row>
    <row r="39" spans="1:6" ht="24" customHeight="1" x14ac:dyDescent="0.2">
      <c r="A39" s="21">
        <v>2</v>
      </c>
      <c r="B39" s="48" t="s">
        <v>324</v>
      </c>
      <c r="C39" s="51">
        <v>93504863</v>
      </c>
      <c r="D39" s="51">
        <v>100402359</v>
      </c>
      <c r="E39" s="23">
        <v>108897163</v>
      </c>
      <c r="F39" s="5"/>
    </row>
    <row r="40" spans="1:6" ht="24" customHeight="1" x14ac:dyDescent="0.2">
      <c r="A40" s="21">
        <v>3</v>
      </c>
      <c r="B40" s="48" t="s">
        <v>325</v>
      </c>
      <c r="C40" s="51">
        <v>155722889</v>
      </c>
      <c r="D40" s="51">
        <v>176391805</v>
      </c>
      <c r="E40" s="23">
        <v>188222806</v>
      </c>
      <c r="F40" s="5"/>
    </row>
    <row r="41" spans="1:6" ht="24" customHeight="1" x14ac:dyDescent="0.2">
      <c r="A41" s="21">
        <v>4</v>
      </c>
      <c r="B41" s="48" t="s">
        <v>326</v>
      </c>
      <c r="C41" s="51">
        <v>5802825</v>
      </c>
      <c r="D41" s="51">
        <v>5573529</v>
      </c>
      <c r="E41" s="23">
        <v>5277783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1.0056858946962541</v>
      </c>
      <c r="D43" s="173">
        <f>IF(D38=0,0,IF((D46-D47)=0,0,((+D44-D45)/(D46-D47)/D38)))</f>
        <v>1.0300966557307398</v>
      </c>
      <c r="E43" s="173">
        <f>IF(E38=0,0,IF((E46-E47)=0,0,((+E44-E45)/(E46-E47)/E38)))</f>
        <v>1.0313345104216762</v>
      </c>
      <c r="F43" s="5"/>
    </row>
    <row r="44" spans="1:6" ht="24" customHeight="1" x14ac:dyDescent="0.2">
      <c r="A44" s="21">
        <v>6</v>
      </c>
      <c r="B44" s="48" t="s">
        <v>328</v>
      </c>
      <c r="C44" s="51">
        <v>33526616</v>
      </c>
      <c r="D44" s="51">
        <v>36229111</v>
      </c>
      <c r="E44" s="23">
        <v>38469968</v>
      </c>
      <c r="F44" s="5"/>
    </row>
    <row r="45" spans="1:6" ht="24" customHeight="1" x14ac:dyDescent="0.2">
      <c r="A45" s="21">
        <v>7</v>
      </c>
      <c r="B45" s="48" t="s">
        <v>329</v>
      </c>
      <c r="C45" s="51">
        <v>884974</v>
      </c>
      <c r="D45" s="51">
        <v>1278927</v>
      </c>
      <c r="E45" s="23">
        <v>1223252</v>
      </c>
      <c r="F45" s="5"/>
    </row>
    <row r="46" spans="1:6" ht="24" customHeight="1" x14ac:dyDescent="0.2">
      <c r="A46" s="21">
        <v>8</v>
      </c>
      <c r="B46" s="48" t="s">
        <v>330</v>
      </c>
      <c r="C46" s="51">
        <v>60868342</v>
      </c>
      <c r="D46" s="51">
        <v>66299978</v>
      </c>
      <c r="E46" s="23">
        <v>69006889</v>
      </c>
      <c r="F46" s="5"/>
    </row>
    <row r="47" spans="1:6" ht="24" customHeight="1" x14ac:dyDescent="0.2">
      <c r="A47" s="21">
        <v>9</v>
      </c>
      <c r="B47" s="48" t="s">
        <v>331</v>
      </c>
      <c r="C47" s="51">
        <v>4800078</v>
      </c>
      <c r="D47" s="51">
        <v>4808316</v>
      </c>
      <c r="E47" s="174">
        <v>4833620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1.0238322200612577</v>
      </c>
      <c r="D49" s="175">
        <f>IF(D38=0,0,IF(D51=0,0,(D50/D51)/D38))</f>
        <v>1.0323379172021521</v>
      </c>
      <c r="E49" s="175">
        <f>IF(E38=0,0,IF(E51=0,0,(E50/E51)/E38))</f>
        <v>1.0243547178596137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41357385</v>
      </c>
      <c r="D50" s="176">
        <v>46424315</v>
      </c>
      <c r="E50" s="176">
        <v>48430129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69780126</v>
      </c>
      <c r="D51" s="176">
        <v>81502019</v>
      </c>
      <c r="E51" s="176">
        <v>84009999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0.66379454583162434</v>
      </c>
      <c r="D53" s="175">
        <f>IF(D38=0,0,IF(D55=0,0,(D54/D55)/D38))</f>
        <v>0.71537930525933857</v>
      </c>
      <c r="E53" s="175">
        <f>IF(E38=0,0,IF(E55=0,0,(E54/E55)/E38))</f>
        <v>0.70415256150727779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7183390</v>
      </c>
      <c r="D54" s="176">
        <v>7895688</v>
      </c>
      <c r="E54" s="176">
        <v>11060952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18694043</v>
      </c>
      <c r="D55" s="176">
        <v>20003148</v>
      </c>
      <c r="E55" s="176">
        <v>27912033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2056203.5150658118</v>
      </c>
      <c r="D57" s="53">
        <f>+D60*D38</f>
        <v>2033394.9536526226</v>
      </c>
      <c r="E57" s="53">
        <f>+E60*E38</f>
        <v>2158433.123576032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1110508</v>
      </c>
      <c r="D58" s="51">
        <v>1438204</v>
      </c>
      <c r="E58" s="52">
        <v>1421695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2441497</v>
      </c>
      <c r="D59" s="51">
        <v>2247042</v>
      </c>
      <c r="E59" s="52">
        <v>2413649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3552005</v>
      </c>
      <c r="D60" s="51">
        <v>3685246</v>
      </c>
      <c r="E60" s="52">
        <v>3835344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2.1990337711802345E-2</v>
      </c>
      <c r="D62" s="178">
        <f>IF(D63=0,0,+D57/D63)</f>
        <v>2.0252461933216358E-2</v>
      </c>
      <c r="E62" s="178">
        <f>IF(E63=0,0,+E57/E63)</f>
        <v>1.9820838891606681E-2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93504863</v>
      </c>
      <c r="D63" s="176">
        <v>100402359</v>
      </c>
      <c r="E63" s="176">
        <v>108897163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1.1556154295885712</v>
      </c>
      <c r="D67" s="179">
        <f>IF(D69=0,0,D68/D69)</f>
        <v>1.0870380519095353</v>
      </c>
      <c r="E67" s="179">
        <f>IF(E69=0,0,E68/E69)</f>
        <v>1.2324425595398183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16860302</v>
      </c>
      <c r="D68" s="180">
        <v>17465011</v>
      </c>
      <c r="E68" s="180">
        <v>20414902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14589890</v>
      </c>
      <c r="D69" s="180">
        <v>16066605</v>
      </c>
      <c r="E69" s="180">
        <v>16564587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12.161666322217631</v>
      </c>
      <c r="D71" s="181">
        <f>IF((D77/365)=0,0,+D74/(D77/365))</f>
        <v>15.452218102866722</v>
      </c>
      <c r="E71" s="181">
        <f>IF((E77/365)=0,0,+E74/(E77/365))</f>
        <v>19.386298220777928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2918761</v>
      </c>
      <c r="D72" s="182">
        <v>3989039</v>
      </c>
      <c r="E72" s="182">
        <v>5456105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2918761</v>
      </c>
      <c r="D74" s="180">
        <f>+D72+D73</f>
        <v>3989039</v>
      </c>
      <c r="E74" s="180">
        <f>+E72+E73</f>
        <v>5456105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93504863</v>
      </c>
      <c r="D75" s="180">
        <f>+D14</f>
        <v>100402359</v>
      </c>
      <c r="E75" s="180">
        <f>+E14</f>
        <v>108897163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5906031</v>
      </c>
      <c r="D76" s="180">
        <v>6176454</v>
      </c>
      <c r="E76" s="180">
        <v>6171088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87598832</v>
      </c>
      <c r="D77" s="180">
        <f>+D75-D76</f>
        <v>94225905</v>
      </c>
      <c r="E77" s="180">
        <f>+E75-E76</f>
        <v>102726075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36.611465174288554</v>
      </c>
      <c r="D79" s="179">
        <f>IF((D84/365)=0,0,+D83/(D84/365))</f>
        <v>28.260140905086498</v>
      </c>
      <c r="E79" s="179">
        <f>IF((E84/365)=0,0,+E83/(E84/365))</f>
        <v>30.509244749585314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9382010</v>
      </c>
      <c r="D80" s="189">
        <v>9671762</v>
      </c>
      <c r="E80" s="189">
        <v>9573323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396514</v>
      </c>
      <c r="D81" s="190">
        <v>102157</v>
      </c>
      <c r="E81" s="190">
        <v>1079437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957758</v>
      </c>
      <c r="D82" s="190">
        <v>2366000</v>
      </c>
      <c r="E82" s="190">
        <v>2034000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8820766</v>
      </c>
      <c r="D83" s="191">
        <f>+D80+D81-D82</f>
        <v>7407919</v>
      </c>
      <c r="E83" s="191">
        <f>+E80+E81-E82</f>
        <v>8618760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87939108</v>
      </c>
      <c r="D84" s="191">
        <f>+D11</f>
        <v>95678590</v>
      </c>
      <c r="E84" s="191">
        <f>+E11</f>
        <v>103111284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60.792018893585251</v>
      </c>
      <c r="D86" s="179">
        <f>IF((D90/365)=0,0,+D87/(D90/365))</f>
        <v>62.236715317300479</v>
      </c>
      <c r="E86" s="179">
        <f>IF((E90/365)=0,0,+E87/(E90/365))</f>
        <v>58.856276315434023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14589890</v>
      </c>
      <c r="D87" s="51">
        <f>+D69</f>
        <v>16066605</v>
      </c>
      <c r="E87" s="51">
        <f>+E69</f>
        <v>16564587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93504863</v>
      </c>
      <c r="D88" s="51">
        <f t="shared" si="0"/>
        <v>100402359</v>
      </c>
      <c r="E88" s="51">
        <f t="shared" si="0"/>
        <v>108897163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5906031</v>
      </c>
      <c r="D89" s="52">
        <f t="shared" si="0"/>
        <v>6176454</v>
      </c>
      <c r="E89" s="52">
        <f t="shared" si="0"/>
        <v>6171088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87598832</v>
      </c>
      <c r="D90" s="51">
        <f>+D88-D89</f>
        <v>94225905</v>
      </c>
      <c r="E90" s="51">
        <f>+E88-E89</f>
        <v>102726075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70.145562409888115</v>
      </c>
      <c r="D94" s="192">
        <f>IF(D96=0,0,(D95/D96)*100)</f>
        <v>52.62313765941623</v>
      </c>
      <c r="E94" s="192">
        <f>IF(E96=0,0,(E95/E96)*100)</f>
        <v>49.746815191647649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80798341</v>
      </c>
      <c r="D95" s="51">
        <f>+D32</f>
        <v>60028996</v>
      </c>
      <c r="E95" s="51">
        <f>+E32</f>
        <v>58541584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115186675</v>
      </c>
      <c r="D96" s="51">
        <v>114073388</v>
      </c>
      <c r="E96" s="51">
        <v>117679059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29.730643878135798</v>
      </c>
      <c r="D98" s="192">
        <f>IF(D104=0,0,(D101/D104)*100)</f>
        <v>27.045163610450828</v>
      </c>
      <c r="E98" s="192">
        <f>IF(E104=0,0,(E101/E104)*100)</f>
        <v>34.196645698909094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1064391</v>
      </c>
      <c r="D99" s="51">
        <f>+D28</f>
        <v>179861</v>
      </c>
      <c r="E99" s="51">
        <f>+E28</f>
        <v>1553092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5906031</v>
      </c>
      <c r="D100" s="52">
        <f>+D76</f>
        <v>6176454</v>
      </c>
      <c r="E100" s="52">
        <f>+E76</f>
        <v>6171088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6970422</v>
      </c>
      <c r="D101" s="51">
        <f>+D99+D100</f>
        <v>6356315</v>
      </c>
      <c r="E101" s="51">
        <f>+E99+E100</f>
        <v>7724180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14589890</v>
      </c>
      <c r="D102" s="180">
        <f>+D69</f>
        <v>16066605</v>
      </c>
      <c r="E102" s="180">
        <f>+E69</f>
        <v>16564587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8855354</v>
      </c>
      <c r="D103" s="194">
        <v>7435989</v>
      </c>
      <c r="E103" s="194">
        <v>6022950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23445244</v>
      </c>
      <c r="D104" s="180">
        <f>+D102+D103</f>
        <v>23502594</v>
      </c>
      <c r="E104" s="180">
        <f>+E102+E103</f>
        <v>22587537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9.877288381700275</v>
      </c>
      <c r="D106" s="197">
        <f>IF(D109=0,0,(D107/D109)*100)</f>
        <v>11.021997559178292</v>
      </c>
      <c r="E106" s="197">
        <f>IF(E109=0,0,(E107/E109)*100)</f>
        <v>9.3285734858707414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8855354</v>
      </c>
      <c r="D107" s="180">
        <f>+D103</f>
        <v>7435989</v>
      </c>
      <c r="E107" s="180">
        <f>+E103</f>
        <v>6022950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80798341</v>
      </c>
      <c r="D108" s="180">
        <f>+D32</f>
        <v>60028996</v>
      </c>
      <c r="E108" s="180">
        <f>+E32</f>
        <v>58541584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89653695</v>
      </c>
      <c r="D109" s="180">
        <f>+D107+D108</f>
        <v>67464985</v>
      </c>
      <c r="E109" s="180">
        <f>+E107+E108</f>
        <v>64564534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14.178419706311079</v>
      </c>
      <c r="D111" s="197">
        <f>IF((+D113+D115)=0,0,((+D112+D113+D114)/(+D113+D115)))</f>
        <v>3.5599308552796165</v>
      </c>
      <c r="E111" s="197">
        <f>IF((+E113+E115)=0,0,((+E112+E113+E114)/(+E113+E115)))</f>
        <v>4.0528255046316364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1064391</v>
      </c>
      <c r="D112" s="180">
        <f>+D17</f>
        <v>179861</v>
      </c>
      <c r="E112" s="180">
        <f>+E17</f>
        <v>1553092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528927</v>
      </c>
      <c r="D113" s="180">
        <v>417080</v>
      </c>
      <c r="E113" s="180">
        <v>333980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5906031</v>
      </c>
      <c r="D114" s="180">
        <v>6176454</v>
      </c>
      <c r="E114" s="180">
        <v>6171088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1485596</v>
      </c>
      <c r="E115" s="180">
        <v>1654302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14.625288963095521</v>
      </c>
      <c r="D119" s="197">
        <f>IF(+D121=0,0,(+D120)/(+D121))</f>
        <v>14.832736550778165</v>
      </c>
      <c r="E119" s="197">
        <f>IF(+E121=0,0,(+E120)/(+E121))</f>
        <v>15.650840500086856</v>
      </c>
    </row>
    <row r="120" spans="1:8" ht="24" customHeight="1" x14ac:dyDescent="0.25">
      <c r="A120" s="17">
        <v>21</v>
      </c>
      <c r="B120" s="48" t="s">
        <v>369</v>
      </c>
      <c r="C120" s="180">
        <v>86377410</v>
      </c>
      <c r="D120" s="180">
        <v>91613715</v>
      </c>
      <c r="E120" s="180">
        <v>96582714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5906031</v>
      </c>
      <c r="D121" s="180">
        <v>6176454</v>
      </c>
      <c r="E121" s="180">
        <v>6171088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27085</v>
      </c>
      <c r="D124" s="198">
        <v>28581</v>
      </c>
      <c r="E124" s="198">
        <v>27979</v>
      </c>
    </row>
    <row r="125" spans="1:8" ht="24" customHeight="1" x14ac:dyDescent="0.2">
      <c r="A125" s="44">
        <v>2</v>
      </c>
      <c r="B125" s="48" t="s">
        <v>373</v>
      </c>
      <c r="C125" s="198">
        <v>6084</v>
      </c>
      <c r="D125" s="198">
        <v>6320</v>
      </c>
      <c r="E125" s="198">
        <v>6438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4.4518408941485861</v>
      </c>
      <c r="D126" s="199">
        <f>IF(D125=0,0,D124/D125)</f>
        <v>4.522310126582278</v>
      </c>
      <c r="E126" s="199">
        <f>IF(E125=0,0,E124/E125)</f>
        <v>4.3459148803976388</v>
      </c>
    </row>
    <row r="127" spans="1:8" ht="24" customHeight="1" x14ac:dyDescent="0.2">
      <c r="A127" s="44">
        <v>4</v>
      </c>
      <c r="B127" s="48" t="s">
        <v>375</v>
      </c>
      <c r="C127" s="198">
        <v>78</v>
      </c>
      <c r="D127" s="198">
        <v>81</v>
      </c>
      <c r="E127" s="198">
        <v>81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122</v>
      </c>
      <c r="E128" s="198">
        <v>122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122</v>
      </c>
      <c r="D129" s="198">
        <v>122</v>
      </c>
      <c r="E129" s="198">
        <v>122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0.95130000000000003</v>
      </c>
      <c r="D130" s="171">
        <v>0.9667</v>
      </c>
      <c r="E130" s="171">
        <v>0.94630000000000003</v>
      </c>
    </row>
    <row r="131" spans="1:8" ht="24" customHeight="1" x14ac:dyDescent="0.2">
      <c r="A131" s="44">
        <v>7</v>
      </c>
      <c r="B131" s="48" t="s">
        <v>379</v>
      </c>
      <c r="C131" s="171">
        <v>0.60819999999999996</v>
      </c>
      <c r="D131" s="171">
        <v>0.64180000000000004</v>
      </c>
      <c r="E131" s="171">
        <v>0.62829999999999997</v>
      </c>
    </row>
    <row r="132" spans="1:8" ht="24" customHeight="1" x14ac:dyDescent="0.2">
      <c r="A132" s="44">
        <v>8</v>
      </c>
      <c r="B132" s="48" t="s">
        <v>380</v>
      </c>
      <c r="C132" s="199">
        <v>672.9</v>
      </c>
      <c r="D132" s="199">
        <v>684.8</v>
      </c>
      <c r="E132" s="199">
        <v>713.2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0.36005152717144878</v>
      </c>
      <c r="D135" s="203">
        <f>IF(D149=0,0,D143/D149)</f>
        <v>0.34860838347903972</v>
      </c>
      <c r="E135" s="203">
        <f>IF(E149=0,0,E143/E149)</f>
        <v>0.34094311079391731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0.44810449156257304</v>
      </c>
      <c r="D136" s="203">
        <f>IF(D149=0,0,D144/D149)</f>
        <v>0.46205105163474008</v>
      </c>
      <c r="E136" s="203">
        <f>IF(E149=0,0,E144/E149)</f>
        <v>0.44633273079565078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0.12004685451218414</v>
      </c>
      <c r="D137" s="203">
        <f>IF(D149=0,0,D145/D149)</f>
        <v>0.11340179891010242</v>
      </c>
      <c r="E137" s="203">
        <f>IF(E149=0,0,E145/E149)</f>
        <v>0.14829251350125977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3.8389250535931167E-2</v>
      </c>
      <c r="D138" s="203">
        <f>IF(D149=0,0,D146/D149)</f>
        <v>4.4712264268739699E-2</v>
      </c>
      <c r="E138" s="203">
        <f>IF(E149=0,0,E146/E149)</f>
        <v>3.3145244896625334E-2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3.0824485923838723E-2</v>
      </c>
      <c r="D139" s="203">
        <f>IF(D149=0,0,D147/D149)</f>
        <v>2.725929359359977E-2</v>
      </c>
      <c r="E139" s="203">
        <f>IF(E149=0,0,E147/E149)</f>
        <v>2.5680309962013849E-2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2.5833902940241497E-3</v>
      </c>
      <c r="D140" s="203">
        <f>IF(D149=0,0,D148/D149)</f>
        <v>3.9672081137783017E-3</v>
      </c>
      <c r="E140" s="203">
        <f>IF(E149=0,0,E148/E149)</f>
        <v>5.6060900505329834E-3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0.99999999999999978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56068264</v>
      </c>
      <c r="D143" s="205">
        <f>+D46-D147</f>
        <v>61491662</v>
      </c>
      <c r="E143" s="205">
        <f>+E46-E147</f>
        <v>64173269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69780126</v>
      </c>
      <c r="D144" s="205">
        <f>+D51</f>
        <v>81502019</v>
      </c>
      <c r="E144" s="205">
        <f>+E51</f>
        <v>84009999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18694043</v>
      </c>
      <c r="D145" s="205">
        <f>+D55</f>
        <v>20003148</v>
      </c>
      <c r="E145" s="205">
        <f>+E55</f>
        <v>27912033</v>
      </c>
    </row>
    <row r="146" spans="1:7" ht="20.100000000000001" customHeight="1" x14ac:dyDescent="0.2">
      <c r="A146" s="202">
        <v>11</v>
      </c>
      <c r="B146" s="201" t="s">
        <v>392</v>
      </c>
      <c r="C146" s="204">
        <v>5978085</v>
      </c>
      <c r="D146" s="205">
        <v>7886877</v>
      </c>
      <c r="E146" s="205">
        <v>6238691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4800078</v>
      </c>
      <c r="D147" s="205">
        <f>+D47</f>
        <v>4808316</v>
      </c>
      <c r="E147" s="205">
        <f>+E47</f>
        <v>4833620</v>
      </c>
    </row>
    <row r="148" spans="1:7" ht="20.100000000000001" customHeight="1" x14ac:dyDescent="0.2">
      <c r="A148" s="202">
        <v>13</v>
      </c>
      <c r="B148" s="201" t="s">
        <v>394</v>
      </c>
      <c r="C148" s="206">
        <v>402293</v>
      </c>
      <c r="D148" s="205">
        <v>699783</v>
      </c>
      <c r="E148" s="205">
        <v>1055194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155722889</v>
      </c>
      <c r="D149" s="205">
        <f>SUM(D143:D148)</f>
        <v>176391805</v>
      </c>
      <c r="E149" s="205">
        <f>SUM(E143:E148)</f>
        <v>188222806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0.38935169988496215</v>
      </c>
      <c r="D152" s="203">
        <f>IF(D166=0,0,D160/D166)</f>
        <v>0.37666186489081788</v>
      </c>
      <c r="E152" s="203">
        <f>IF(E166=0,0,E160/E166)</f>
        <v>0.3704350091052997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0.49331366824459488</v>
      </c>
      <c r="D153" s="203">
        <f>IF(D166=0,0,D161/D166)</f>
        <v>0.50031979986654063</v>
      </c>
      <c r="E153" s="203">
        <f>IF(E166=0,0,E161/E166)</f>
        <v>0.48165898107864968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8.5683958773784666E-2</v>
      </c>
      <c r="D154" s="203">
        <f>IF(D166=0,0,D162/D166)</f>
        <v>8.5092672664500199E-2</v>
      </c>
      <c r="E154" s="203">
        <f>IF(E166=0,0,E162/E166)</f>
        <v>0.11000604334710429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1.8167722676349585E-2</v>
      </c>
      <c r="D155" s="203">
        <f>IF(D166=0,0,D163/D166)</f>
        <v>2.0685751184064557E-2</v>
      </c>
      <c r="E155" s="203">
        <f>IF(E166=0,0,E163/E166)</f>
        <v>2.1442032227504744E-2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1.055602935826557E-2</v>
      </c>
      <c r="D156" s="203">
        <f>IF(D166=0,0,D164/D166)</f>
        <v>1.3783132840708909E-2</v>
      </c>
      <c r="E156" s="203">
        <f>IF(E166=0,0,E164/E166)</f>
        <v>1.2165780353845855E-2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2.9269210620431379E-3</v>
      </c>
      <c r="D157" s="203">
        <f>IF(D166=0,0,D165/D166)</f>
        <v>3.456778553367834E-3</v>
      </c>
      <c r="E157" s="203">
        <f>IF(E166=0,0,E165/E166)</f>
        <v>4.292153887595733E-3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0.99999999999999989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32641642</v>
      </c>
      <c r="D160" s="208">
        <f>+D44-D164</f>
        <v>34950184</v>
      </c>
      <c r="E160" s="208">
        <f>+E44-E164</f>
        <v>37246716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41357385</v>
      </c>
      <c r="D161" s="208">
        <f>+D50</f>
        <v>46424315</v>
      </c>
      <c r="E161" s="208">
        <f>+E50</f>
        <v>48430129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7183390</v>
      </c>
      <c r="D162" s="208">
        <f>+D54</f>
        <v>7895688</v>
      </c>
      <c r="E162" s="208">
        <f>+E54</f>
        <v>11060952</v>
      </c>
    </row>
    <row r="163" spans="1:6" ht="20.100000000000001" customHeight="1" x14ac:dyDescent="0.2">
      <c r="A163" s="202">
        <v>11</v>
      </c>
      <c r="B163" s="201" t="s">
        <v>408</v>
      </c>
      <c r="C163" s="207">
        <v>1523107</v>
      </c>
      <c r="D163" s="208">
        <v>1919416</v>
      </c>
      <c r="E163" s="208">
        <v>2155966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884974</v>
      </c>
      <c r="D164" s="208">
        <f>+D45</f>
        <v>1278927</v>
      </c>
      <c r="E164" s="208">
        <f>+E45</f>
        <v>1223252</v>
      </c>
    </row>
    <row r="165" spans="1:6" ht="20.100000000000001" customHeight="1" x14ac:dyDescent="0.2">
      <c r="A165" s="202">
        <v>13</v>
      </c>
      <c r="B165" s="201" t="s">
        <v>410</v>
      </c>
      <c r="C165" s="209">
        <v>245381</v>
      </c>
      <c r="D165" s="208">
        <v>320752</v>
      </c>
      <c r="E165" s="208">
        <v>431570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83835879</v>
      </c>
      <c r="D166" s="208">
        <f>SUM(D160:D165)</f>
        <v>92789282</v>
      </c>
      <c r="E166" s="208">
        <f>SUM(E160:E165)</f>
        <v>100548585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2016</v>
      </c>
      <c r="D169" s="198">
        <v>1896</v>
      </c>
      <c r="E169" s="198">
        <v>1900</v>
      </c>
    </row>
    <row r="170" spans="1:6" ht="20.100000000000001" customHeight="1" x14ac:dyDescent="0.2">
      <c r="A170" s="202">
        <v>2</v>
      </c>
      <c r="B170" s="201" t="s">
        <v>414</v>
      </c>
      <c r="C170" s="198">
        <v>3072</v>
      </c>
      <c r="D170" s="198">
        <v>3405</v>
      </c>
      <c r="E170" s="198">
        <v>3371</v>
      </c>
    </row>
    <row r="171" spans="1:6" ht="20.100000000000001" customHeight="1" x14ac:dyDescent="0.2">
      <c r="A171" s="202">
        <v>3</v>
      </c>
      <c r="B171" s="201" t="s">
        <v>415</v>
      </c>
      <c r="C171" s="198">
        <v>981</v>
      </c>
      <c r="D171" s="198">
        <v>994</v>
      </c>
      <c r="E171" s="198">
        <v>1133</v>
      </c>
    </row>
    <row r="172" spans="1:6" ht="20.100000000000001" customHeight="1" x14ac:dyDescent="0.2">
      <c r="A172" s="202">
        <v>4</v>
      </c>
      <c r="B172" s="201" t="s">
        <v>416</v>
      </c>
      <c r="C172" s="198">
        <v>771</v>
      </c>
      <c r="D172" s="198">
        <v>735</v>
      </c>
      <c r="E172" s="198">
        <v>935</v>
      </c>
    </row>
    <row r="173" spans="1:6" ht="20.100000000000001" customHeight="1" x14ac:dyDescent="0.2">
      <c r="A173" s="202">
        <v>5</v>
      </c>
      <c r="B173" s="201" t="s">
        <v>417</v>
      </c>
      <c r="C173" s="198">
        <v>210</v>
      </c>
      <c r="D173" s="198">
        <v>259</v>
      </c>
      <c r="E173" s="198">
        <v>198</v>
      </c>
    </row>
    <row r="174" spans="1:6" ht="20.100000000000001" customHeight="1" x14ac:dyDescent="0.2">
      <c r="A174" s="202">
        <v>6</v>
      </c>
      <c r="B174" s="201" t="s">
        <v>418</v>
      </c>
      <c r="C174" s="198">
        <v>15</v>
      </c>
      <c r="D174" s="198">
        <v>25</v>
      </c>
      <c r="E174" s="198">
        <v>34</v>
      </c>
    </row>
    <row r="175" spans="1:6" ht="20.100000000000001" customHeight="1" x14ac:dyDescent="0.2">
      <c r="A175" s="202">
        <v>7</v>
      </c>
      <c r="B175" s="201" t="s">
        <v>419</v>
      </c>
      <c r="C175" s="198">
        <v>165</v>
      </c>
      <c r="D175" s="198">
        <v>123</v>
      </c>
      <c r="E175" s="198">
        <v>155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6084</v>
      </c>
      <c r="D176" s="198">
        <f>+D169+D170+D171+D174</f>
        <v>6320</v>
      </c>
      <c r="E176" s="198">
        <f>+E169+E170+E171+E174</f>
        <v>6438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1.0165</v>
      </c>
      <c r="D179" s="210">
        <v>1.0369999999999999</v>
      </c>
      <c r="E179" s="210">
        <v>1.1143000000000001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1.3976999999999999</v>
      </c>
      <c r="D180" s="210">
        <v>1.4336</v>
      </c>
      <c r="E180" s="210">
        <v>1.4221999999999999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0.84494000000000002</v>
      </c>
      <c r="D181" s="210">
        <v>0.83513999999999999</v>
      </c>
      <c r="E181" s="210">
        <v>0.88289799999999996</v>
      </c>
    </row>
    <row r="182" spans="1:6" ht="20.100000000000001" customHeight="1" x14ac:dyDescent="0.2">
      <c r="A182" s="202">
        <v>4</v>
      </c>
      <c r="B182" s="201" t="s">
        <v>416</v>
      </c>
      <c r="C182" s="210">
        <v>0.81420000000000003</v>
      </c>
      <c r="D182" s="210">
        <v>0.77680000000000005</v>
      </c>
      <c r="E182" s="210">
        <v>0.8599</v>
      </c>
    </row>
    <row r="183" spans="1:6" ht="20.100000000000001" customHeight="1" x14ac:dyDescent="0.2">
      <c r="A183" s="202">
        <v>5</v>
      </c>
      <c r="B183" s="201" t="s">
        <v>417</v>
      </c>
      <c r="C183" s="210">
        <v>0.95779999999999998</v>
      </c>
      <c r="D183" s="210">
        <v>1.0006999999999999</v>
      </c>
      <c r="E183" s="210">
        <v>0.99150000000000005</v>
      </c>
    </row>
    <row r="184" spans="1:6" ht="20.100000000000001" customHeight="1" x14ac:dyDescent="0.2">
      <c r="A184" s="202">
        <v>6</v>
      </c>
      <c r="B184" s="201" t="s">
        <v>418</v>
      </c>
      <c r="C184" s="210">
        <v>1.0899000000000001</v>
      </c>
      <c r="D184" s="210">
        <v>1.2313000000000001</v>
      </c>
      <c r="E184" s="210">
        <v>1.2007000000000001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0.96909999999999996</v>
      </c>
      <c r="D185" s="210">
        <v>0.88380000000000003</v>
      </c>
      <c r="E185" s="210">
        <v>0.97219999999999995</v>
      </c>
    </row>
    <row r="186" spans="1:6" ht="20.100000000000001" customHeight="1" x14ac:dyDescent="0.2">
      <c r="A186" s="202">
        <v>8</v>
      </c>
      <c r="B186" s="201" t="s">
        <v>423</v>
      </c>
      <c r="C186" s="210">
        <v>1.181497</v>
      </c>
      <c r="D186" s="210">
        <v>1.2196940000000001</v>
      </c>
      <c r="E186" s="210">
        <v>1.235252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4015</v>
      </c>
      <c r="D189" s="198">
        <v>4476</v>
      </c>
      <c r="E189" s="198">
        <v>4589</v>
      </c>
    </row>
    <row r="190" spans="1:6" ht="20.100000000000001" customHeight="1" x14ac:dyDescent="0.2">
      <c r="A190" s="202">
        <v>2</v>
      </c>
      <c r="B190" s="201" t="s">
        <v>427</v>
      </c>
      <c r="C190" s="198">
        <v>34814</v>
      </c>
      <c r="D190" s="198">
        <v>34464</v>
      </c>
      <c r="E190" s="198">
        <v>34004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38829</v>
      </c>
      <c r="D191" s="198">
        <f>+D190+D189</f>
        <v>38940</v>
      </c>
      <c r="E191" s="198">
        <f>+E190+E189</f>
        <v>38593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FILING&amp;RCHARLOTTE HUNGERFORD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5" width="21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9879</v>
      </c>
      <c r="D14" s="237">
        <v>134656</v>
      </c>
      <c r="E14" s="237">
        <f t="shared" ref="E14:E24" si="0">D14-C14</f>
        <v>124777</v>
      </c>
      <c r="F14" s="238">
        <f t="shared" ref="F14:F24" si="1">IF(C14=0,0,E14/C14)</f>
        <v>12.630529405810305</v>
      </c>
    </row>
    <row r="15" spans="1:7" ht="20.25" customHeight="1" x14ac:dyDescent="0.3">
      <c r="A15" s="235">
        <v>2</v>
      </c>
      <c r="B15" s="236" t="s">
        <v>435</v>
      </c>
      <c r="C15" s="237">
        <v>5808</v>
      </c>
      <c r="D15" s="237">
        <v>88212</v>
      </c>
      <c r="E15" s="237">
        <f t="shared" si="0"/>
        <v>82404</v>
      </c>
      <c r="F15" s="238">
        <f t="shared" si="1"/>
        <v>14.188016528925619</v>
      </c>
    </row>
    <row r="16" spans="1:7" ht="20.25" customHeight="1" x14ac:dyDescent="0.3">
      <c r="A16" s="235">
        <v>3</v>
      </c>
      <c r="B16" s="236" t="s">
        <v>436</v>
      </c>
      <c r="C16" s="237">
        <v>21100</v>
      </c>
      <c r="D16" s="237">
        <v>38837</v>
      </c>
      <c r="E16" s="237">
        <f t="shared" si="0"/>
        <v>17737</v>
      </c>
      <c r="F16" s="238">
        <f t="shared" si="1"/>
        <v>0.84061611374407585</v>
      </c>
    </row>
    <row r="17" spans="1:6" ht="20.25" customHeight="1" x14ac:dyDescent="0.3">
      <c r="A17" s="235">
        <v>4</v>
      </c>
      <c r="B17" s="236" t="s">
        <v>437</v>
      </c>
      <c r="C17" s="237">
        <v>9385</v>
      </c>
      <c r="D17" s="237">
        <v>11761</v>
      </c>
      <c r="E17" s="237">
        <f t="shared" si="0"/>
        <v>2376</v>
      </c>
      <c r="F17" s="238">
        <f t="shared" si="1"/>
        <v>0.25316995205114545</v>
      </c>
    </row>
    <row r="18" spans="1:6" ht="20.25" customHeight="1" x14ac:dyDescent="0.3">
      <c r="A18" s="235">
        <v>5</v>
      </c>
      <c r="B18" s="236" t="s">
        <v>373</v>
      </c>
      <c r="C18" s="239">
        <v>1</v>
      </c>
      <c r="D18" s="239">
        <v>8</v>
      </c>
      <c r="E18" s="239">
        <f t="shared" si="0"/>
        <v>7</v>
      </c>
      <c r="F18" s="238">
        <f t="shared" si="1"/>
        <v>7</v>
      </c>
    </row>
    <row r="19" spans="1:6" ht="20.25" customHeight="1" x14ac:dyDescent="0.3">
      <c r="A19" s="235">
        <v>6</v>
      </c>
      <c r="B19" s="236" t="s">
        <v>372</v>
      </c>
      <c r="C19" s="239">
        <v>1</v>
      </c>
      <c r="D19" s="239">
        <v>35</v>
      </c>
      <c r="E19" s="239">
        <f t="shared" si="0"/>
        <v>34</v>
      </c>
      <c r="F19" s="238">
        <f t="shared" si="1"/>
        <v>34</v>
      </c>
    </row>
    <row r="20" spans="1:6" ht="20.25" customHeight="1" x14ac:dyDescent="0.3">
      <c r="A20" s="235">
        <v>7</v>
      </c>
      <c r="B20" s="236" t="s">
        <v>438</v>
      </c>
      <c r="C20" s="239">
        <v>43</v>
      </c>
      <c r="D20" s="239">
        <v>78</v>
      </c>
      <c r="E20" s="239">
        <f t="shared" si="0"/>
        <v>35</v>
      </c>
      <c r="F20" s="238">
        <f t="shared" si="1"/>
        <v>0.81395348837209303</v>
      </c>
    </row>
    <row r="21" spans="1:6" ht="20.25" customHeight="1" x14ac:dyDescent="0.3">
      <c r="A21" s="235">
        <v>8</v>
      </c>
      <c r="B21" s="236" t="s">
        <v>439</v>
      </c>
      <c r="C21" s="239">
        <v>10</v>
      </c>
      <c r="D21" s="239">
        <v>13</v>
      </c>
      <c r="E21" s="239">
        <f t="shared" si="0"/>
        <v>3</v>
      </c>
      <c r="F21" s="238">
        <f t="shared" si="1"/>
        <v>0.3</v>
      </c>
    </row>
    <row r="22" spans="1:6" ht="20.25" customHeight="1" x14ac:dyDescent="0.3">
      <c r="A22" s="235">
        <v>9</v>
      </c>
      <c r="B22" s="236" t="s">
        <v>440</v>
      </c>
      <c r="C22" s="239">
        <v>1</v>
      </c>
      <c r="D22" s="239">
        <v>7</v>
      </c>
      <c r="E22" s="239">
        <f t="shared" si="0"/>
        <v>6</v>
      </c>
      <c r="F22" s="238">
        <f t="shared" si="1"/>
        <v>6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30979</v>
      </c>
      <c r="D23" s="243">
        <f>+D14+D16</f>
        <v>173493</v>
      </c>
      <c r="E23" s="243">
        <f t="shared" si="0"/>
        <v>142514</v>
      </c>
      <c r="F23" s="244">
        <f t="shared" si="1"/>
        <v>4.6003421672746052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15193</v>
      </c>
      <c r="D24" s="243">
        <f>+D15+D17</f>
        <v>99973</v>
      </c>
      <c r="E24" s="243">
        <f t="shared" si="0"/>
        <v>84780</v>
      </c>
      <c r="F24" s="244">
        <f t="shared" si="1"/>
        <v>5.5802014085434077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34329</v>
      </c>
      <c r="D27" s="237">
        <v>74501</v>
      </c>
      <c r="E27" s="237">
        <f t="shared" ref="E27:E37" si="2">D27-C27</f>
        <v>40172</v>
      </c>
      <c r="F27" s="238">
        <f t="shared" ref="F27:F37" si="3">IF(C27=0,0,E27/C27)</f>
        <v>1.1702059483235747</v>
      </c>
    </row>
    <row r="28" spans="1:6" ht="20.25" customHeight="1" x14ac:dyDescent="0.3">
      <c r="A28" s="235">
        <v>2</v>
      </c>
      <c r="B28" s="236" t="s">
        <v>435</v>
      </c>
      <c r="C28" s="237">
        <v>15248</v>
      </c>
      <c r="D28" s="237">
        <v>59590</v>
      </c>
      <c r="E28" s="237">
        <f t="shared" si="2"/>
        <v>44342</v>
      </c>
      <c r="F28" s="238">
        <f t="shared" si="3"/>
        <v>2.9080535152151104</v>
      </c>
    </row>
    <row r="29" spans="1:6" ht="20.25" customHeight="1" x14ac:dyDescent="0.3">
      <c r="A29" s="235">
        <v>3</v>
      </c>
      <c r="B29" s="236" t="s">
        <v>436</v>
      </c>
      <c r="C29" s="237">
        <v>15082</v>
      </c>
      <c r="D29" s="237">
        <v>8718</v>
      </c>
      <c r="E29" s="237">
        <f t="shared" si="2"/>
        <v>-6364</v>
      </c>
      <c r="F29" s="238">
        <f t="shared" si="3"/>
        <v>-0.42195995226097333</v>
      </c>
    </row>
    <row r="30" spans="1:6" ht="20.25" customHeight="1" x14ac:dyDescent="0.3">
      <c r="A30" s="235">
        <v>4</v>
      </c>
      <c r="B30" s="236" t="s">
        <v>437</v>
      </c>
      <c r="C30" s="237">
        <v>5503</v>
      </c>
      <c r="D30" s="237">
        <v>2182</v>
      </c>
      <c r="E30" s="237">
        <f t="shared" si="2"/>
        <v>-3321</v>
      </c>
      <c r="F30" s="238">
        <f t="shared" si="3"/>
        <v>-0.60348900599672906</v>
      </c>
    </row>
    <row r="31" spans="1:6" ht="20.25" customHeight="1" x14ac:dyDescent="0.3">
      <c r="A31" s="235">
        <v>5</v>
      </c>
      <c r="B31" s="236" t="s">
        <v>373</v>
      </c>
      <c r="C31" s="239">
        <v>2</v>
      </c>
      <c r="D31" s="239">
        <v>3</v>
      </c>
      <c r="E31" s="239">
        <f t="shared" si="2"/>
        <v>1</v>
      </c>
      <c r="F31" s="238">
        <f t="shared" si="3"/>
        <v>0.5</v>
      </c>
    </row>
    <row r="32" spans="1:6" ht="20.25" customHeight="1" x14ac:dyDescent="0.3">
      <c r="A32" s="235">
        <v>6</v>
      </c>
      <c r="B32" s="236" t="s">
        <v>372</v>
      </c>
      <c r="C32" s="239">
        <v>17</v>
      </c>
      <c r="D32" s="239">
        <v>16</v>
      </c>
      <c r="E32" s="239">
        <f t="shared" si="2"/>
        <v>-1</v>
      </c>
      <c r="F32" s="238">
        <f t="shared" si="3"/>
        <v>-5.8823529411764705E-2</v>
      </c>
    </row>
    <row r="33" spans="1:6" ht="20.25" customHeight="1" x14ac:dyDescent="0.3">
      <c r="A33" s="235">
        <v>7</v>
      </c>
      <c r="B33" s="236" t="s">
        <v>438</v>
      </c>
      <c r="C33" s="239">
        <v>53</v>
      </c>
      <c r="D33" s="239">
        <v>22</v>
      </c>
      <c r="E33" s="239">
        <f t="shared" si="2"/>
        <v>-31</v>
      </c>
      <c r="F33" s="238">
        <f t="shared" si="3"/>
        <v>-0.58490566037735847</v>
      </c>
    </row>
    <row r="34" spans="1:6" ht="20.25" customHeight="1" x14ac:dyDescent="0.3">
      <c r="A34" s="235">
        <v>8</v>
      </c>
      <c r="B34" s="236" t="s">
        <v>439</v>
      </c>
      <c r="C34" s="239">
        <v>6</v>
      </c>
      <c r="D34" s="239">
        <v>5</v>
      </c>
      <c r="E34" s="239">
        <f t="shared" si="2"/>
        <v>-1</v>
      </c>
      <c r="F34" s="238">
        <f t="shared" si="3"/>
        <v>-0.16666666666666666</v>
      </c>
    </row>
    <row r="35" spans="1:6" ht="20.25" customHeight="1" x14ac:dyDescent="0.3">
      <c r="A35" s="235">
        <v>9</v>
      </c>
      <c r="B35" s="236" t="s">
        <v>440</v>
      </c>
      <c r="C35" s="239">
        <v>2</v>
      </c>
      <c r="D35" s="239">
        <v>2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49411</v>
      </c>
      <c r="D36" s="243">
        <f>+D27+D29</f>
        <v>83219</v>
      </c>
      <c r="E36" s="243">
        <f t="shared" si="2"/>
        <v>33808</v>
      </c>
      <c r="F36" s="244">
        <f t="shared" si="3"/>
        <v>0.68422011293031915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20751</v>
      </c>
      <c r="D37" s="243">
        <f>+D28+D30</f>
        <v>61772</v>
      </c>
      <c r="E37" s="243">
        <f t="shared" si="2"/>
        <v>41021</v>
      </c>
      <c r="F37" s="244">
        <f t="shared" si="3"/>
        <v>1.9768203941978699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1020159</v>
      </c>
      <c r="D40" s="237">
        <v>862202</v>
      </c>
      <c r="E40" s="237">
        <f t="shared" ref="E40:E50" si="4">D40-C40</f>
        <v>-157957</v>
      </c>
      <c r="F40" s="238">
        <f t="shared" ref="F40:F50" si="5">IF(C40=0,0,E40/C40)</f>
        <v>-0.15483566777335689</v>
      </c>
    </row>
    <row r="41" spans="1:6" ht="20.25" customHeight="1" x14ac:dyDescent="0.3">
      <c r="A41" s="235">
        <v>2</v>
      </c>
      <c r="B41" s="236" t="s">
        <v>435</v>
      </c>
      <c r="C41" s="237">
        <v>544251</v>
      </c>
      <c r="D41" s="237">
        <v>631964</v>
      </c>
      <c r="E41" s="237">
        <f t="shared" si="4"/>
        <v>87713</v>
      </c>
      <c r="F41" s="238">
        <f t="shared" si="5"/>
        <v>0.16116277232379914</v>
      </c>
    </row>
    <row r="42" spans="1:6" ht="20.25" customHeight="1" x14ac:dyDescent="0.3">
      <c r="A42" s="235">
        <v>3</v>
      </c>
      <c r="B42" s="236" t="s">
        <v>436</v>
      </c>
      <c r="C42" s="237">
        <v>1078498</v>
      </c>
      <c r="D42" s="237">
        <v>1234314</v>
      </c>
      <c r="E42" s="237">
        <f t="shared" si="4"/>
        <v>155816</v>
      </c>
      <c r="F42" s="238">
        <f t="shared" si="5"/>
        <v>0.14447500134446239</v>
      </c>
    </row>
    <row r="43" spans="1:6" ht="20.25" customHeight="1" x14ac:dyDescent="0.3">
      <c r="A43" s="235">
        <v>4</v>
      </c>
      <c r="B43" s="236" t="s">
        <v>437</v>
      </c>
      <c r="C43" s="237">
        <v>365682</v>
      </c>
      <c r="D43" s="237">
        <v>560799</v>
      </c>
      <c r="E43" s="237">
        <f t="shared" si="4"/>
        <v>195117</v>
      </c>
      <c r="F43" s="238">
        <f t="shared" si="5"/>
        <v>0.53357015111490314</v>
      </c>
    </row>
    <row r="44" spans="1:6" ht="20.25" customHeight="1" x14ac:dyDescent="0.3">
      <c r="A44" s="235">
        <v>5</v>
      </c>
      <c r="B44" s="236" t="s">
        <v>373</v>
      </c>
      <c r="C44" s="239">
        <v>71</v>
      </c>
      <c r="D44" s="239">
        <v>55</v>
      </c>
      <c r="E44" s="239">
        <f t="shared" si="4"/>
        <v>-16</v>
      </c>
      <c r="F44" s="238">
        <f t="shared" si="5"/>
        <v>-0.22535211267605634</v>
      </c>
    </row>
    <row r="45" spans="1:6" ht="20.25" customHeight="1" x14ac:dyDescent="0.3">
      <c r="A45" s="235">
        <v>6</v>
      </c>
      <c r="B45" s="236" t="s">
        <v>372</v>
      </c>
      <c r="C45" s="239">
        <v>305</v>
      </c>
      <c r="D45" s="239">
        <v>274</v>
      </c>
      <c r="E45" s="239">
        <f t="shared" si="4"/>
        <v>-31</v>
      </c>
      <c r="F45" s="238">
        <f t="shared" si="5"/>
        <v>-0.10163934426229508</v>
      </c>
    </row>
    <row r="46" spans="1:6" ht="20.25" customHeight="1" x14ac:dyDescent="0.3">
      <c r="A46" s="235">
        <v>7</v>
      </c>
      <c r="B46" s="236" t="s">
        <v>438</v>
      </c>
      <c r="C46" s="239">
        <v>1837</v>
      </c>
      <c r="D46" s="239">
        <v>2256</v>
      </c>
      <c r="E46" s="239">
        <f t="shared" si="4"/>
        <v>419</v>
      </c>
      <c r="F46" s="238">
        <f t="shared" si="5"/>
        <v>0.22808927599346762</v>
      </c>
    </row>
    <row r="47" spans="1:6" ht="20.25" customHeight="1" x14ac:dyDescent="0.3">
      <c r="A47" s="235">
        <v>8</v>
      </c>
      <c r="B47" s="236" t="s">
        <v>439</v>
      </c>
      <c r="C47" s="239">
        <v>150</v>
      </c>
      <c r="D47" s="239">
        <v>219</v>
      </c>
      <c r="E47" s="239">
        <f t="shared" si="4"/>
        <v>69</v>
      </c>
      <c r="F47" s="238">
        <f t="shared" si="5"/>
        <v>0.46</v>
      </c>
    </row>
    <row r="48" spans="1:6" ht="20.25" customHeight="1" x14ac:dyDescent="0.3">
      <c r="A48" s="235">
        <v>9</v>
      </c>
      <c r="B48" s="236" t="s">
        <v>440</v>
      </c>
      <c r="C48" s="239">
        <v>56</v>
      </c>
      <c r="D48" s="239">
        <v>38</v>
      </c>
      <c r="E48" s="239">
        <f t="shared" si="4"/>
        <v>-18</v>
      </c>
      <c r="F48" s="238">
        <f t="shared" si="5"/>
        <v>-0.32142857142857145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2098657</v>
      </c>
      <c r="D49" s="243">
        <f>+D40+D42</f>
        <v>2096516</v>
      </c>
      <c r="E49" s="243">
        <f t="shared" si="4"/>
        <v>-2141</v>
      </c>
      <c r="F49" s="244">
        <f t="shared" si="5"/>
        <v>-1.0201762365169725E-3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909933</v>
      </c>
      <c r="D50" s="243">
        <f>+D41+D43</f>
        <v>1192763</v>
      </c>
      <c r="E50" s="243">
        <f t="shared" si="4"/>
        <v>282830</v>
      </c>
      <c r="F50" s="244">
        <f t="shared" si="5"/>
        <v>0.310825082725871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899845</v>
      </c>
      <c r="D53" s="237">
        <v>1155650</v>
      </c>
      <c r="E53" s="237">
        <f t="shared" ref="E53:E63" si="6">D53-C53</f>
        <v>255805</v>
      </c>
      <c r="F53" s="238">
        <f t="shared" ref="F53:F63" si="7">IF(C53=0,0,E53/C53)</f>
        <v>0.28427673654907232</v>
      </c>
    </row>
    <row r="54" spans="1:6" ht="20.25" customHeight="1" x14ac:dyDescent="0.3">
      <c r="A54" s="235">
        <v>2</v>
      </c>
      <c r="B54" s="236" t="s">
        <v>435</v>
      </c>
      <c r="C54" s="237">
        <v>478399</v>
      </c>
      <c r="D54" s="237">
        <v>868678</v>
      </c>
      <c r="E54" s="237">
        <f t="shared" si="6"/>
        <v>390279</v>
      </c>
      <c r="F54" s="238">
        <f t="shared" si="7"/>
        <v>0.81580229055662745</v>
      </c>
    </row>
    <row r="55" spans="1:6" ht="20.25" customHeight="1" x14ac:dyDescent="0.3">
      <c r="A55" s="235">
        <v>3</v>
      </c>
      <c r="B55" s="236" t="s">
        <v>436</v>
      </c>
      <c r="C55" s="237">
        <v>392963</v>
      </c>
      <c r="D55" s="237">
        <v>922609</v>
      </c>
      <c r="E55" s="237">
        <f t="shared" si="6"/>
        <v>529646</v>
      </c>
      <c r="F55" s="238">
        <f t="shared" si="7"/>
        <v>1.3478266401671404</v>
      </c>
    </row>
    <row r="56" spans="1:6" ht="20.25" customHeight="1" x14ac:dyDescent="0.3">
      <c r="A56" s="235">
        <v>4</v>
      </c>
      <c r="B56" s="236" t="s">
        <v>437</v>
      </c>
      <c r="C56" s="237">
        <v>194407</v>
      </c>
      <c r="D56" s="237">
        <v>369767</v>
      </c>
      <c r="E56" s="237">
        <f t="shared" si="6"/>
        <v>175360</v>
      </c>
      <c r="F56" s="238">
        <f t="shared" si="7"/>
        <v>0.90202513283986685</v>
      </c>
    </row>
    <row r="57" spans="1:6" ht="20.25" customHeight="1" x14ac:dyDescent="0.3">
      <c r="A57" s="235">
        <v>5</v>
      </c>
      <c r="B57" s="236" t="s">
        <v>373</v>
      </c>
      <c r="C57" s="239">
        <v>57</v>
      </c>
      <c r="D57" s="239">
        <v>81</v>
      </c>
      <c r="E57" s="239">
        <f t="shared" si="6"/>
        <v>24</v>
      </c>
      <c r="F57" s="238">
        <f t="shared" si="7"/>
        <v>0.42105263157894735</v>
      </c>
    </row>
    <row r="58" spans="1:6" ht="20.25" customHeight="1" x14ac:dyDescent="0.3">
      <c r="A58" s="235">
        <v>6</v>
      </c>
      <c r="B58" s="236" t="s">
        <v>372</v>
      </c>
      <c r="C58" s="239">
        <v>279</v>
      </c>
      <c r="D58" s="239">
        <v>328</v>
      </c>
      <c r="E58" s="239">
        <f t="shared" si="6"/>
        <v>49</v>
      </c>
      <c r="F58" s="238">
        <f t="shared" si="7"/>
        <v>0.17562724014336917</v>
      </c>
    </row>
    <row r="59" spans="1:6" ht="20.25" customHeight="1" x14ac:dyDescent="0.3">
      <c r="A59" s="235">
        <v>7</v>
      </c>
      <c r="B59" s="236" t="s">
        <v>438</v>
      </c>
      <c r="C59" s="239">
        <v>627</v>
      </c>
      <c r="D59" s="239">
        <v>1351</v>
      </c>
      <c r="E59" s="239">
        <f t="shared" si="6"/>
        <v>724</v>
      </c>
      <c r="F59" s="238">
        <f t="shared" si="7"/>
        <v>1.1547049441786283</v>
      </c>
    </row>
    <row r="60" spans="1:6" ht="20.25" customHeight="1" x14ac:dyDescent="0.3">
      <c r="A60" s="235">
        <v>8</v>
      </c>
      <c r="B60" s="236" t="s">
        <v>439</v>
      </c>
      <c r="C60" s="239">
        <v>112</v>
      </c>
      <c r="D60" s="239">
        <v>165</v>
      </c>
      <c r="E60" s="239">
        <f t="shared" si="6"/>
        <v>53</v>
      </c>
      <c r="F60" s="238">
        <f t="shared" si="7"/>
        <v>0.4732142857142857</v>
      </c>
    </row>
    <row r="61" spans="1:6" ht="20.25" customHeight="1" x14ac:dyDescent="0.3">
      <c r="A61" s="235">
        <v>9</v>
      </c>
      <c r="B61" s="236" t="s">
        <v>440</v>
      </c>
      <c r="C61" s="239">
        <v>52</v>
      </c>
      <c r="D61" s="239">
        <v>69</v>
      </c>
      <c r="E61" s="239">
        <f t="shared" si="6"/>
        <v>17</v>
      </c>
      <c r="F61" s="238">
        <f t="shared" si="7"/>
        <v>0.32692307692307693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1292808</v>
      </c>
      <c r="D62" s="243">
        <f>+D53+D55</f>
        <v>2078259</v>
      </c>
      <c r="E62" s="243">
        <f t="shared" si="6"/>
        <v>785451</v>
      </c>
      <c r="F62" s="244">
        <f t="shared" si="7"/>
        <v>0.60755425399595298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672806</v>
      </c>
      <c r="D63" s="243">
        <f>+D54+D56</f>
        <v>1238445</v>
      </c>
      <c r="E63" s="243">
        <f t="shared" si="6"/>
        <v>565639</v>
      </c>
      <c r="F63" s="244">
        <f t="shared" si="7"/>
        <v>0.84071634319551247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49666</v>
      </c>
      <c r="D66" s="237">
        <v>89011</v>
      </c>
      <c r="E66" s="237">
        <f t="shared" ref="E66:E76" si="8">D66-C66</f>
        <v>39345</v>
      </c>
      <c r="F66" s="238">
        <f t="shared" ref="F66:F76" si="9">IF(C66=0,0,E66/C66)</f>
        <v>0.79219184150122823</v>
      </c>
    </row>
    <row r="67" spans="1:6" ht="20.25" customHeight="1" x14ac:dyDescent="0.3">
      <c r="A67" s="235">
        <v>2</v>
      </c>
      <c r="B67" s="236" t="s">
        <v>435</v>
      </c>
      <c r="C67" s="237">
        <v>30493</v>
      </c>
      <c r="D67" s="237">
        <v>59771</v>
      </c>
      <c r="E67" s="237">
        <f t="shared" si="8"/>
        <v>29278</v>
      </c>
      <c r="F67" s="238">
        <f t="shared" si="9"/>
        <v>0.96015478962384815</v>
      </c>
    </row>
    <row r="68" spans="1:6" ht="20.25" customHeight="1" x14ac:dyDescent="0.3">
      <c r="A68" s="235">
        <v>3</v>
      </c>
      <c r="B68" s="236" t="s">
        <v>436</v>
      </c>
      <c r="C68" s="237">
        <v>27080</v>
      </c>
      <c r="D68" s="237">
        <v>23882</v>
      </c>
      <c r="E68" s="237">
        <f t="shared" si="8"/>
        <v>-3198</v>
      </c>
      <c r="F68" s="238">
        <f t="shared" si="9"/>
        <v>-0.11809453471196454</v>
      </c>
    </row>
    <row r="69" spans="1:6" ht="20.25" customHeight="1" x14ac:dyDescent="0.3">
      <c r="A69" s="235">
        <v>4</v>
      </c>
      <c r="B69" s="236" t="s">
        <v>437</v>
      </c>
      <c r="C69" s="237">
        <v>9808</v>
      </c>
      <c r="D69" s="237">
        <v>6686</v>
      </c>
      <c r="E69" s="237">
        <f t="shared" si="8"/>
        <v>-3122</v>
      </c>
      <c r="F69" s="238">
        <f t="shared" si="9"/>
        <v>-0.31831158238172919</v>
      </c>
    </row>
    <row r="70" spans="1:6" ht="20.25" customHeight="1" x14ac:dyDescent="0.3">
      <c r="A70" s="235">
        <v>5</v>
      </c>
      <c r="B70" s="236" t="s">
        <v>373</v>
      </c>
      <c r="C70" s="239">
        <v>5</v>
      </c>
      <c r="D70" s="239">
        <v>9</v>
      </c>
      <c r="E70" s="239">
        <f t="shared" si="8"/>
        <v>4</v>
      </c>
      <c r="F70" s="238">
        <f t="shared" si="9"/>
        <v>0.8</v>
      </c>
    </row>
    <row r="71" spans="1:6" ht="20.25" customHeight="1" x14ac:dyDescent="0.3">
      <c r="A71" s="235">
        <v>6</v>
      </c>
      <c r="B71" s="236" t="s">
        <v>372</v>
      </c>
      <c r="C71" s="239">
        <v>14</v>
      </c>
      <c r="D71" s="239">
        <v>29</v>
      </c>
      <c r="E71" s="239">
        <f t="shared" si="8"/>
        <v>15</v>
      </c>
      <c r="F71" s="238">
        <f t="shared" si="9"/>
        <v>1.0714285714285714</v>
      </c>
    </row>
    <row r="72" spans="1:6" ht="20.25" customHeight="1" x14ac:dyDescent="0.3">
      <c r="A72" s="235">
        <v>7</v>
      </c>
      <c r="B72" s="236" t="s">
        <v>438</v>
      </c>
      <c r="C72" s="239">
        <v>45</v>
      </c>
      <c r="D72" s="239">
        <v>43</v>
      </c>
      <c r="E72" s="239">
        <f t="shared" si="8"/>
        <v>-2</v>
      </c>
      <c r="F72" s="238">
        <f t="shared" si="9"/>
        <v>-4.4444444444444446E-2</v>
      </c>
    </row>
    <row r="73" spans="1:6" ht="20.25" customHeight="1" x14ac:dyDescent="0.3">
      <c r="A73" s="235">
        <v>8</v>
      </c>
      <c r="B73" s="236" t="s">
        <v>439</v>
      </c>
      <c r="C73" s="239">
        <v>11</v>
      </c>
      <c r="D73" s="239">
        <v>13</v>
      </c>
      <c r="E73" s="239">
        <f t="shared" si="8"/>
        <v>2</v>
      </c>
      <c r="F73" s="238">
        <f t="shared" si="9"/>
        <v>0.18181818181818182</v>
      </c>
    </row>
    <row r="74" spans="1:6" ht="20.25" customHeight="1" x14ac:dyDescent="0.3">
      <c r="A74" s="235">
        <v>9</v>
      </c>
      <c r="B74" s="236" t="s">
        <v>440</v>
      </c>
      <c r="C74" s="239">
        <v>5</v>
      </c>
      <c r="D74" s="239">
        <v>8</v>
      </c>
      <c r="E74" s="239">
        <f t="shared" si="8"/>
        <v>3</v>
      </c>
      <c r="F74" s="238">
        <f t="shared" si="9"/>
        <v>0.6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76746</v>
      </c>
      <c r="D75" s="243">
        <f>+D66+D68</f>
        <v>112893</v>
      </c>
      <c r="E75" s="243">
        <f t="shared" si="8"/>
        <v>36147</v>
      </c>
      <c r="F75" s="244">
        <f t="shared" si="9"/>
        <v>0.47099523102181223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40301</v>
      </c>
      <c r="D76" s="243">
        <f>+D67+D69</f>
        <v>66457</v>
      </c>
      <c r="E76" s="243">
        <f t="shared" si="8"/>
        <v>26156</v>
      </c>
      <c r="F76" s="244">
        <f t="shared" si="9"/>
        <v>0.64901615344532393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24769</v>
      </c>
      <c r="D79" s="237">
        <v>0</v>
      </c>
      <c r="E79" s="237">
        <f t="shared" ref="E79:E89" si="10">D79-C79</f>
        <v>-24769</v>
      </c>
      <c r="F79" s="238">
        <f t="shared" ref="F79:F89" si="11">IF(C79=0,0,E79/C79)</f>
        <v>-1</v>
      </c>
    </row>
    <row r="80" spans="1:6" ht="20.25" customHeight="1" x14ac:dyDescent="0.3">
      <c r="A80" s="235">
        <v>2</v>
      </c>
      <c r="B80" s="236" t="s">
        <v>435</v>
      </c>
      <c r="C80" s="237">
        <v>11096</v>
      </c>
      <c r="D80" s="237">
        <v>0</v>
      </c>
      <c r="E80" s="237">
        <f t="shared" si="10"/>
        <v>-11096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436</v>
      </c>
      <c r="C81" s="237">
        <v>778</v>
      </c>
      <c r="D81" s="237">
        <v>1587</v>
      </c>
      <c r="E81" s="237">
        <f t="shared" si="10"/>
        <v>809</v>
      </c>
      <c r="F81" s="238">
        <f t="shared" si="11"/>
        <v>1.0398457583547558</v>
      </c>
    </row>
    <row r="82" spans="1:6" ht="20.25" customHeight="1" x14ac:dyDescent="0.3">
      <c r="A82" s="235">
        <v>4</v>
      </c>
      <c r="B82" s="236" t="s">
        <v>437</v>
      </c>
      <c r="C82" s="237">
        <v>441</v>
      </c>
      <c r="D82" s="237">
        <v>442</v>
      </c>
      <c r="E82" s="237">
        <f t="shared" si="10"/>
        <v>1</v>
      </c>
      <c r="F82" s="238">
        <f t="shared" si="11"/>
        <v>2.2675736961451248E-3</v>
      </c>
    </row>
    <row r="83" spans="1:6" ht="20.25" customHeight="1" x14ac:dyDescent="0.3">
      <c r="A83" s="235">
        <v>5</v>
      </c>
      <c r="B83" s="236" t="s">
        <v>373</v>
      </c>
      <c r="C83" s="239">
        <v>1</v>
      </c>
      <c r="D83" s="239">
        <v>0</v>
      </c>
      <c r="E83" s="239">
        <f t="shared" si="10"/>
        <v>-1</v>
      </c>
      <c r="F83" s="238">
        <f t="shared" si="11"/>
        <v>-1</v>
      </c>
    </row>
    <row r="84" spans="1:6" ht="20.25" customHeight="1" x14ac:dyDescent="0.3">
      <c r="A84" s="235">
        <v>6</v>
      </c>
      <c r="B84" s="236" t="s">
        <v>372</v>
      </c>
      <c r="C84" s="239">
        <v>2</v>
      </c>
      <c r="D84" s="239">
        <v>0</v>
      </c>
      <c r="E84" s="239">
        <f t="shared" si="10"/>
        <v>-2</v>
      </c>
      <c r="F84" s="238">
        <f t="shared" si="11"/>
        <v>-1</v>
      </c>
    </row>
    <row r="85" spans="1:6" ht="20.25" customHeight="1" x14ac:dyDescent="0.3">
      <c r="A85" s="235">
        <v>7</v>
      </c>
      <c r="B85" s="236" t="s">
        <v>438</v>
      </c>
      <c r="C85" s="239">
        <v>1</v>
      </c>
      <c r="D85" s="239">
        <v>3</v>
      </c>
      <c r="E85" s="239">
        <f t="shared" si="10"/>
        <v>2</v>
      </c>
      <c r="F85" s="238">
        <f t="shared" si="11"/>
        <v>2</v>
      </c>
    </row>
    <row r="86" spans="1:6" ht="20.25" customHeight="1" x14ac:dyDescent="0.3">
      <c r="A86" s="235">
        <v>8</v>
      </c>
      <c r="B86" s="236" t="s">
        <v>439</v>
      </c>
      <c r="C86" s="239">
        <v>1</v>
      </c>
      <c r="D86" s="239">
        <v>1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25547</v>
      </c>
      <c r="D88" s="243">
        <f>+D79+D81</f>
        <v>1587</v>
      </c>
      <c r="E88" s="243">
        <f t="shared" si="10"/>
        <v>-23960</v>
      </c>
      <c r="F88" s="244">
        <f t="shared" si="11"/>
        <v>-0.93787920303753869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11537</v>
      </c>
      <c r="D89" s="243">
        <f>+D80+D82</f>
        <v>442</v>
      </c>
      <c r="E89" s="243">
        <f t="shared" si="10"/>
        <v>-11095</v>
      </c>
      <c r="F89" s="244">
        <f t="shared" si="11"/>
        <v>-0.96168848054086853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177500</v>
      </c>
      <c r="E92" s="237">
        <f t="shared" ref="E92:E102" si="12">D92-C92</f>
        <v>177500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86825</v>
      </c>
      <c r="E93" s="237">
        <f t="shared" si="12"/>
        <v>86825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69704</v>
      </c>
      <c r="D94" s="237">
        <v>238709</v>
      </c>
      <c r="E94" s="237">
        <f t="shared" si="12"/>
        <v>169005</v>
      </c>
      <c r="F94" s="238">
        <f t="shared" si="13"/>
        <v>2.4246097784919085</v>
      </c>
    </row>
    <row r="95" spans="1:6" ht="20.25" customHeight="1" x14ac:dyDescent="0.3">
      <c r="A95" s="235">
        <v>4</v>
      </c>
      <c r="B95" s="236" t="s">
        <v>437</v>
      </c>
      <c r="C95" s="237">
        <v>20291</v>
      </c>
      <c r="D95" s="237">
        <v>85059</v>
      </c>
      <c r="E95" s="237">
        <f t="shared" si="12"/>
        <v>64768</v>
      </c>
      <c r="F95" s="238">
        <f t="shared" si="13"/>
        <v>3.1919570252821448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14</v>
      </c>
      <c r="E96" s="239">
        <f t="shared" si="12"/>
        <v>14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53</v>
      </c>
      <c r="E97" s="239">
        <f t="shared" si="12"/>
        <v>53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116</v>
      </c>
      <c r="D98" s="239">
        <v>458</v>
      </c>
      <c r="E98" s="239">
        <f t="shared" si="12"/>
        <v>342</v>
      </c>
      <c r="F98" s="238">
        <f t="shared" si="13"/>
        <v>2.9482758620689653</v>
      </c>
    </row>
    <row r="99" spans="1:6" ht="20.25" customHeight="1" x14ac:dyDescent="0.3">
      <c r="A99" s="235">
        <v>8</v>
      </c>
      <c r="B99" s="236" t="s">
        <v>439</v>
      </c>
      <c r="C99" s="239">
        <v>14</v>
      </c>
      <c r="D99" s="239">
        <v>45</v>
      </c>
      <c r="E99" s="239">
        <f t="shared" si="12"/>
        <v>31</v>
      </c>
      <c r="F99" s="238">
        <f t="shared" si="13"/>
        <v>2.2142857142857144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12</v>
      </c>
      <c r="E100" s="239">
        <f t="shared" si="12"/>
        <v>12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69704</v>
      </c>
      <c r="D101" s="243">
        <f>+D92+D94</f>
        <v>416209</v>
      </c>
      <c r="E101" s="243">
        <f t="shared" si="12"/>
        <v>346505</v>
      </c>
      <c r="F101" s="244">
        <f t="shared" si="13"/>
        <v>4.971092046367497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20291</v>
      </c>
      <c r="D102" s="243">
        <f>+D93+D95</f>
        <v>171884</v>
      </c>
      <c r="E102" s="243">
        <f t="shared" si="12"/>
        <v>151593</v>
      </c>
      <c r="F102" s="244">
        <f t="shared" si="13"/>
        <v>7.4709477108077476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12195</v>
      </c>
      <c r="D105" s="237">
        <v>14709</v>
      </c>
      <c r="E105" s="237">
        <f t="shared" ref="E105:E115" si="14">D105-C105</f>
        <v>2514</v>
      </c>
      <c r="F105" s="238">
        <f t="shared" ref="F105:F115" si="15">IF(C105=0,0,E105/C105)</f>
        <v>0.20615006150061502</v>
      </c>
    </row>
    <row r="106" spans="1:6" ht="20.25" customHeight="1" x14ac:dyDescent="0.3">
      <c r="A106" s="235">
        <v>2</v>
      </c>
      <c r="B106" s="236" t="s">
        <v>435</v>
      </c>
      <c r="C106" s="237">
        <v>8247</v>
      </c>
      <c r="D106" s="237">
        <v>8526</v>
      </c>
      <c r="E106" s="237">
        <f t="shared" si="14"/>
        <v>279</v>
      </c>
      <c r="F106" s="238">
        <f t="shared" si="15"/>
        <v>3.3830483812295378E-2</v>
      </c>
    </row>
    <row r="107" spans="1:6" ht="20.25" customHeight="1" x14ac:dyDescent="0.3">
      <c r="A107" s="235">
        <v>3</v>
      </c>
      <c r="B107" s="236" t="s">
        <v>436</v>
      </c>
      <c r="C107" s="237">
        <v>11819</v>
      </c>
      <c r="D107" s="237">
        <v>983</v>
      </c>
      <c r="E107" s="237">
        <f t="shared" si="14"/>
        <v>-10836</v>
      </c>
      <c r="F107" s="238">
        <f t="shared" si="15"/>
        <v>-0.91682883492681277</v>
      </c>
    </row>
    <row r="108" spans="1:6" ht="20.25" customHeight="1" x14ac:dyDescent="0.3">
      <c r="A108" s="235">
        <v>4</v>
      </c>
      <c r="B108" s="236" t="s">
        <v>437</v>
      </c>
      <c r="C108" s="237">
        <v>5093</v>
      </c>
      <c r="D108" s="237">
        <v>273</v>
      </c>
      <c r="E108" s="237">
        <f t="shared" si="14"/>
        <v>-4820</v>
      </c>
      <c r="F108" s="238">
        <f t="shared" si="15"/>
        <v>-0.94639701551148636</v>
      </c>
    </row>
    <row r="109" spans="1:6" ht="20.25" customHeight="1" x14ac:dyDescent="0.3">
      <c r="A109" s="235">
        <v>5</v>
      </c>
      <c r="B109" s="236" t="s">
        <v>373</v>
      </c>
      <c r="C109" s="239">
        <v>1</v>
      </c>
      <c r="D109" s="239">
        <v>1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3</v>
      </c>
      <c r="D110" s="239">
        <v>4</v>
      </c>
      <c r="E110" s="239">
        <f t="shared" si="14"/>
        <v>1</v>
      </c>
      <c r="F110" s="238">
        <f t="shared" si="15"/>
        <v>0.33333333333333331</v>
      </c>
    </row>
    <row r="111" spans="1:6" ht="20.25" customHeight="1" x14ac:dyDescent="0.3">
      <c r="A111" s="235">
        <v>7</v>
      </c>
      <c r="B111" s="236" t="s">
        <v>438</v>
      </c>
      <c r="C111" s="239">
        <v>4</v>
      </c>
      <c r="D111" s="239">
        <v>4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5</v>
      </c>
      <c r="D112" s="239">
        <v>0</v>
      </c>
      <c r="E112" s="239">
        <f t="shared" si="14"/>
        <v>-5</v>
      </c>
      <c r="F112" s="238">
        <f t="shared" si="15"/>
        <v>-1</v>
      </c>
    </row>
    <row r="113" spans="1:6" ht="20.25" customHeight="1" x14ac:dyDescent="0.3">
      <c r="A113" s="235">
        <v>9</v>
      </c>
      <c r="B113" s="236" t="s">
        <v>440</v>
      </c>
      <c r="C113" s="239">
        <v>1</v>
      </c>
      <c r="D113" s="239">
        <v>1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24014</v>
      </c>
      <c r="D114" s="243">
        <f>+D105+D107</f>
        <v>15692</v>
      </c>
      <c r="E114" s="243">
        <f t="shared" si="14"/>
        <v>-8322</v>
      </c>
      <c r="F114" s="244">
        <f t="shared" si="15"/>
        <v>-0.34654784708919795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13340</v>
      </c>
      <c r="D115" s="243">
        <f>+D106+D108</f>
        <v>8799</v>
      </c>
      <c r="E115" s="243">
        <f t="shared" si="14"/>
        <v>-4541</v>
      </c>
      <c r="F115" s="244">
        <f t="shared" si="15"/>
        <v>-0.3404047976011994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635687</v>
      </c>
      <c r="D118" s="237">
        <v>681710</v>
      </c>
      <c r="E118" s="237">
        <f t="shared" ref="E118:E128" si="16">D118-C118</f>
        <v>46023</v>
      </c>
      <c r="F118" s="238">
        <f t="shared" ref="F118:F128" si="17">IF(C118=0,0,E118/C118)</f>
        <v>7.2398837792813128E-2</v>
      </c>
    </row>
    <row r="119" spans="1:6" ht="20.25" customHeight="1" x14ac:dyDescent="0.3">
      <c r="A119" s="235">
        <v>2</v>
      </c>
      <c r="B119" s="236" t="s">
        <v>435</v>
      </c>
      <c r="C119" s="237">
        <v>421997</v>
      </c>
      <c r="D119" s="237">
        <v>436307</v>
      </c>
      <c r="E119" s="237">
        <f t="shared" si="16"/>
        <v>14310</v>
      </c>
      <c r="F119" s="238">
        <f t="shared" si="17"/>
        <v>3.3910193674362613E-2</v>
      </c>
    </row>
    <row r="120" spans="1:6" ht="20.25" customHeight="1" x14ac:dyDescent="0.3">
      <c r="A120" s="235">
        <v>3</v>
      </c>
      <c r="B120" s="236" t="s">
        <v>436</v>
      </c>
      <c r="C120" s="237">
        <v>519036</v>
      </c>
      <c r="D120" s="237">
        <v>837607</v>
      </c>
      <c r="E120" s="237">
        <f t="shared" si="16"/>
        <v>318571</v>
      </c>
      <c r="F120" s="238">
        <f t="shared" si="17"/>
        <v>0.61377438173845356</v>
      </c>
    </row>
    <row r="121" spans="1:6" ht="20.25" customHeight="1" x14ac:dyDescent="0.3">
      <c r="A121" s="235">
        <v>4</v>
      </c>
      <c r="B121" s="236" t="s">
        <v>437</v>
      </c>
      <c r="C121" s="237">
        <v>229706</v>
      </c>
      <c r="D121" s="237">
        <v>403991</v>
      </c>
      <c r="E121" s="237">
        <f t="shared" si="16"/>
        <v>174285</v>
      </c>
      <c r="F121" s="238">
        <f t="shared" si="17"/>
        <v>0.75873072536198449</v>
      </c>
    </row>
    <row r="122" spans="1:6" ht="20.25" customHeight="1" x14ac:dyDescent="0.3">
      <c r="A122" s="235">
        <v>5</v>
      </c>
      <c r="B122" s="236" t="s">
        <v>373</v>
      </c>
      <c r="C122" s="239">
        <v>51</v>
      </c>
      <c r="D122" s="239">
        <v>52</v>
      </c>
      <c r="E122" s="239">
        <f t="shared" si="16"/>
        <v>1</v>
      </c>
      <c r="F122" s="238">
        <f t="shared" si="17"/>
        <v>1.9607843137254902E-2</v>
      </c>
    </row>
    <row r="123" spans="1:6" ht="20.25" customHeight="1" x14ac:dyDescent="0.3">
      <c r="A123" s="235">
        <v>6</v>
      </c>
      <c r="B123" s="236" t="s">
        <v>372</v>
      </c>
      <c r="C123" s="239">
        <v>213</v>
      </c>
      <c r="D123" s="239">
        <v>218</v>
      </c>
      <c r="E123" s="239">
        <f t="shared" si="16"/>
        <v>5</v>
      </c>
      <c r="F123" s="238">
        <f t="shared" si="17"/>
        <v>2.3474178403755867E-2</v>
      </c>
    </row>
    <row r="124" spans="1:6" ht="20.25" customHeight="1" x14ac:dyDescent="0.3">
      <c r="A124" s="235">
        <v>7</v>
      </c>
      <c r="B124" s="236" t="s">
        <v>438</v>
      </c>
      <c r="C124" s="239">
        <v>980</v>
      </c>
      <c r="D124" s="239">
        <v>1381</v>
      </c>
      <c r="E124" s="239">
        <f t="shared" si="16"/>
        <v>401</v>
      </c>
      <c r="F124" s="238">
        <f t="shared" si="17"/>
        <v>0.40918367346938778</v>
      </c>
    </row>
    <row r="125" spans="1:6" ht="20.25" customHeight="1" x14ac:dyDescent="0.3">
      <c r="A125" s="235">
        <v>8</v>
      </c>
      <c r="B125" s="236" t="s">
        <v>439</v>
      </c>
      <c r="C125" s="239">
        <v>117</v>
      </c>
      <c r="D125" s="239">
        <v>137</v>
      </c>
      <c r="E125" s="239">
        <f t="shared" si="16"/>
        <v>20</v>
      </c>
      <c r="F125" s="238">
        <f t="shared" si="17"/>
        <v>0.17094017094017094</v>
      </c>
    </row>
    <row r="126" spans="1:6" ht="20.25" customHeight="1" x14ac:dyDescent="0.3">
      <c r="A126" s="235">
        <v>9</v>
      </c>
      <c r="B126" s="236" t="s">
        <v>440</v>
      </c>
      <c r="C126" s="239">
        <v>33</v>
      </c>
      <c r="D126" s="239">
        <v>43</v>
      </c>
      <c r="E126" s="239">
        <f t="shared" si="16"/>
        <v>10</v>
      </c>
      <c r="F126" s="238">
        <f t="shared" si="17"/>
        <v>0.30303030303030304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1154723</v>
      </c>
      <c r="D127" s="243">
        <f>+D118+D120</f>
        <v>1519317</v>
      </c>
      <c r="E127" s="243">
        <f t="shared" si="16"/>
        <v>364594</v>
      </c>
      <c r="F127" s="244">
        <f t="shared" si="17"/>
        <v>0.3157415241577417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651703</v>
      </c>
      <c r="D128" s="243">
        <f>+D119+D121</f>
        <v>840298</v>
      </c>
      <c r="E128" s="243">
        <f t="shared" si="16"/>
        <v>188595</v>
      </c>
      <c r="F128" s="244">
        <f t="shared" si="17"/>
        <v>0.28938795739777168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6822</v>
      </c>
      <c r="D131" s="237">
        <v>11448</v>
      </c>
      <c r="E131" s="237">
        <f t="shared" ref="E131:E141" si="18">D131-C131</f>
        <v>4626</v>
      </c>
      <c r="F131" s="238">
        <f t="shared" ref="F131:F141" si="19">IF(C131=0,0,E131/C131)</f>
        <v>0.67810026385224276</v>
      </c>
    </row>
    <row r="132" spans="1:6" ht="20.25" customHeight="1" x14ac:dyDescent="0.3">
      <c r="A132" s="235">
        <v>2</v>
      </c>
      <c r="B132" s="236" t="s">
        <v>435</v>
      </c>
      <c r="C132" s="237">
        <v>4641</v>
      </c>
      <c r="D132" s="237">
        <v>8459</v>
      </c>
      <c r="E132" s="237">
        <f t="shared" si="18"/>
        <v>3818</v>
      </c>
      <c r="F132" s="238">
        <f t="shared" si="19"/>
        <v>0.82266752854988145</v>
      </c>
    </row>
    <row r="133" spans="1:6" ht="20.25" customHeight="1" x14ac:dyDescent="0.3">
      <c r="A133" s="235">
        <v>3</v>
      </c>
      <c r="B133" s="236" t="s">
        <v>436</v>
      </c>
      <c r="C133" s="237">
        <v>6819</v>
      </c>
      <c r="D133" s="237">
        <v>7159</v>
      </c>
      <c r="E133" s="237">
        <f t="shared" si="18"/>
        <v>340</v>
      </c>
      <c r="F133" s="238">
        <f t="shared" si="19"/>
        <v>4.9860683384660508E-2</v>
      </c>
    </row>
    <row r="134" spans="1:6" ht="20.25" customHeight="1" x14ac:dyDescent="0.3">
      <c r="A134" s="235">
        <v>4</v>
      </c>
      <c r="B134" s="236" t="s">
        <v>437</v>
      </c>
      <c r="C134" s="237">
        <v>4166</v>
      </c>
      <c r="D134" s="237">
        <v>2184</v>
      </c>
      <c r="E134" s="237">
        <f t="shared" si="18"/>
        <v>-1982</v>
      </c>
      <c r="F134" s="238">
        <f t="shared" si="19"/>
        <v>-0.47575612097935671</v>
      </c>
    </row>
    <row r="135" spans="1:6" ht="20.25" customHeight="1" x14ac:dyDescent="0.3">
      <c r="A135" s="235">
        <v>5</v>
      </c>
      <c r="B135" s="236" t="s">
        <v>373</v>
      </c>
      <c r="C135" s="239">
        <v>1</v>
      </c>
      <c r="D135" s="239">
        <v>1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2</v>
      </c>
      <c r="D136" s="239">
        <v>3</v>
      </c>
      <c r="E136" s="239">
        <f t="shared" si="18"/>
        <v>1</v>
      </c>
      <c r="F136" s="238">
        <f t="shared" si="19"/>
        <v>0.5</v>
      </c>
    </row>
    <row r="137" spans="1:6" ht="20.25" customHeight="1" x14ac:dyDescent="0.3">
      <c r="A137" s="235">
        <v>7</v>
      </c>
      <c r="B137" s="236" t="s">
        <v>438</v>
      </c>
      <c r="C137" s="239">
        <v>13</v>
      </c>
      <c r="D137" s="239">
        <v>4</v>
      </c>
      <c r="E137" s="239">
        <f t="shared" si="18"/>
        <v>-9</v>
      </c>
      <c r="F137" s="238">
        <f t="shared" si="19"/>
        <v>-0.69230769230769229</v>
      </c>
    </row>
    <row r="138" spans="1:6" ht="20.25" customHeight="1" x14ac:dyDescent="0.3">
      <c r="A138" s="235">
        <v>8</v>
      </c>
      <c r="B138" s="236" t="s">
        <v>439</v>
      </c>
      <c r="C138" s="239">
        <v>3</v>
      </c>
      <c r="D138" s="239">
        <v>5</v>
      </c>
      <c r="E138" s="239">
        <f t="shared" si="18"/>
        <v>2</v>
      </c>
      <c r="F138" s="238">
        <f t="shared" si="19"/>
        <v>0.66666666666666663</v>
      </c>
    </row>
    <row r="139" spans="1:6" ht="20.25" customHeight="1" x14ac:dyDescent="0.3">
      <c r="A139" s="235">
        <v>9</v>
      </c>
      <c r="B139" s="236" t="s">
        <v>440</v>
      </c>
      <c r="C139" s="239">
        <v>1</v>
      </c>
      <c r="D139" s="239">
        <v>1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13641</v>
      </c>
      <c r="D140" s="243">
        <f>+D131+D133</f>
        <v>18607</v>
      </c>
      <c r="E140" s="243">
        <f t="shared" si="18"/>
        <v>4966</v>
      </c>
      <c r="F140" s="244">
        <f t="shared" si="19"/>
        <v>0.36404955648412873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8807</v>
      </c>
      <c r="D141" s="243">
        <f>+D132+D134</f>
        <v>10643</v>
      </c>
      <c r="E141" s="243">
        <f t="shared" si="18"/>
        <v>1836</v>
      </c>
      <c r="F141" s="244">
        <f t="shared" si="19"/>
        <v>0.20847053480186215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22328</v>
      </c>
      <c r="D144" s="237">
        <v>65826</v>
      </c>
      <c r="E144" s="237">
        <f t="shared" ref="E144:E154" si="20">D144-C144</f>
        <v>43498</v>
      </c>
      <c r="F144" s="238">
        <f t="shared" ref="F144:F154" si="21">IF(C144=0,0,E144/C144)</f>
        <v>1.9481368685059119</v>
      </c>
    </row>
    <row r="145" spans="1:6" ht="20.25" customHeight="1" x14ac:dyDescent="0.3">
      <c r="A145" s="235">
        <v>2</v>
      </c>
      <c r="B145" s="236" t="s">
        <v>435</v>
      </c>
      <c r="C145" s="237">
        <v>18858</v>
      </c>
      <c r="D145" s="237">
        <v>37008</v>
      </c>
      <c r="E145" s="237">
        <f t="shared" si="20"/>
        <v>18150</v>
      </c>
      <c r="F145" s="238">
        <f t="shared" si="21"/>
        <v>0.96245625198854601</v>
      </c>
    </row>
    <row r="146" spans="1:6" ht="20.25" customHeight="1" x14ac:dyDescent="0.3">
      <c r="A146" s="235">
        <v>3</v>
      </c>
      <c r="B146" s="236" t="s">
        <v>436</v>
      </c>
      <c r="C146" s="237">
        <v>16183</v>
      </c>
      <c r="D146" s="237">
        <v>29945</v>
      </c>
      <c r="E146" s="237">
        <f t="shared" si="20"/>
        <v>13762</v>
      </c>
      <c r="F146" s="238">
        <f t="shared" si="21"/>
        <v>0.8503985663968362</v>
      </c>
    </row>
    <row r="147" spans="1:6" ht="20.25" customHeight="1" x14ac:dyDescent="0.3">
      <c r="A147" s="235">
        <v>4</v>
      </c>
      <c r="B147" s="236" t="s">
        <v>437</v>
      </c>
      <c r="C147" s="237">
        <v>4053</v>
      </c>
      <c r="D147" s="237">
        <v>9191</v>
      </c>
      <c r="E147" s="237">
        <f t="shared" si="20"/>
        <v>5138</v>
      </c>
      <c r="F147" s="238">
        <f t="shared" si="21"/>
        <v>1.2677029360967185</v>
      </c>
    </row>
    <row r="148" spans="1:6" ht="20.25" customHeight="1" x14ac:dyDescent="0.3">
      <c r="A148" s="235">
        <v>5</v>
      </c>
      <c r="B148" s="236" t="s">
        <v>373</v>
      </c>
      <c r="C148" s="239">
        <v>1</v>
      </c>
      <c r="D148" s="239">
        <v>4</v>
      </c>
      <c r="E148" s="239">
        <f t="shared" si="20"/>
        <v>3</v>
      </c>
      <c r="F148" s="238">
        <f t="shared" si="21"/>
        <v>3</v>
      </c>
    </row>
    <row r="149" spans="1:6" ht="20.25" customHeight="1" x14ac:dyDescent="0.3">
      <c r="A149" s="235">
        <v>6</v>
      </c>
      <c r="B149" s="236" t="s">
        <v>372</v>
      </c>
      <c r="C149" s="239">
        <v>7</v>
      </c>
      <c r="D149" s="239">
        <v>23</v>
      </c>
      <c r="E149" s="239">
        <f t="shared" si="20"/>
        <v>16</v>
      </c>
      <c r="F149" s="238">
        <f t="shared" si="21"/>
        <v>2.2857142857142856</v>
      </c>
    </row>
    <row r="150" spans="1:6" ht="20.25" customHeight="1" x14ac:dyDescent="0.3">
      <c r="A150" s="235">
        <v>7</v>
      </c>
      <c r="B150" s="236" t="s">
        <v>438</v>
      </c>
      <c r="C150" s="239">
        <v>37</v>
      </c>
      <c r="D150" s="239">
        <v>61</v>
      </c>
      <c r="E150" s="239">
        <f t="shared" si="20"/>
        <v>24</v>
      </c>
      <c r="F150" s="238">
        <f t="shared" si="21"/>
        <v>0.64864864864864868</v>
      </c>
    </row>
    <row r="151" spans="1:6" ht="20.25" customHeight="1" x14ac:dyDescent="0.3">
      <c r="A151" s="235">
        <v>8</v>
      </c>
      <c r="B151" s="236" t="s">
        <v>439</v>
      </c>
      <c r="C151" s="239">
        <v>2</v>
      </c>
      <c r="D151" s="239">
        <v>2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1</v>
      </c>
      <c r="D152" s="239">
        <v>3</v>
      </c>
      <c r="E152" s="239">
        <f t="shared" si="20"/>
        <v>2</v>
      </c>
      <c r="F152" s="238">
        <f t="shared" si="21"/>
        <v>2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38511</v>
      </c>
      <c r="D153" s="243">
        <f>+D144+D146</f>
        <v>95771</v>
      </c>
      <c r="E153" s="243">
        <f t="shared" si="20"/>
        <v>57260</v>
      </c>
      <c r="F153" s="244">
        <f t="shared" si="21"/>
        <v>1.4868479135831321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22911</v>
      </c>
      <c r="D154" s="243">
        <f>+D145+D147</f>
        <v>46199</v>
      </c>
      <c r="E154" s="243">
        <f t="shared" si="20"/>
        <v>23288</v>
      </c>
      <c r="F154" s="244">
        <f t="shared" si="21"/>
        <v>1.016454977958186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6048</v>
      </c>
      <c r="D159" s="237">
        <v>2708</v>
      </c>
      <c r="E159" s="237">
        <f t="shared" si="22"/>
        <v>-3340</v>
      </c>
      <c r="F159" s="238">
        <f t="shared" si="23"/>
        <v>-0.55224867724867721</v>
      </c>
    </row>
    <row r="160" spans="1:6" ht="20.25" customHeight="1" x14ac:dyDescent="0.3">
      <c r="A160" s="235">
        <v>4</v>
      </c>
      <c r="B160" s="236" t="s">
        <v>437</v>
      </c>
      <c r="C160" s="237">
        <v>2006</v>
      </c>
      <c r="D160" s="237">
        <v>809</v>
      </c>
      <c r="E160" s="237">
        <f t="shared" si="22"/>
        <v>-1197</v>
      </c>
      <c r="F160" s="238">
        <f t="shared" si="23"/>
        <v>-0.5967098703888335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10</v>
      </c>
      <c r="D163" s="239">
        <v>4</v>
      </c>
      <c r="E163" s="239">
        <f t="shared" si="22"/>
        <v>-6</v>
      </c>
      <c r="F163" s="238">
        <f t="shared" si="23"/>
        <v>-0.6</v>
      </c>
    </row>
    <row r="164" spans="1:6" ht="20.25" customHeight="1" x14ac:dyDescent="0.3">
      <c r="A164" s="235">
        <v>8</v>
      </c>
      <c r="B164" s="236" t="s">
        <v>439</v>
      </c>
      <c r="C164" s="239">
        <v>2</v>
      </c>
      <c r="D164" s="239">
        <v>0</v>
      </c>
      <c r="E164" s="239">
        <f t="shared" si="22"/>
        <v>-2</v>
      </c>
      <c r="F164" s="238">
        <f t="shared" si="23"/>
        <v>-1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6048</v>
      </c>
      <c r="D166" s="243">
        <f>+D157+D159</f>
        <v>2708</v>
      </c>
      <c r="E166" s="243">
        <f t="shared" si="22"/>
        <v>-3340</v>
      </c>
      <c r="F166" s="244">
        <f t="shared" si="23"/>
        <v>-0.55224867724867721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2006</v>
      </c>
      <c r="D167" s="243">
        <f>+D158+D160</f>
        <v>809</v>
      </c>
      <c r="E167" s="243">
        <f t="shared" si="22"/>
        <v>-1197</v>
      </c>
      <c r="F167" s="244">
        <f t="shared" si="23"/>
        <v>-0.5967098703888335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19946</v>
      </c>
      <c r="E170" s="237">
        <f t="shared" ref="E170:E180" si="24">D170-C170</f>
        <v>19946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5350</v>
      </c>
      <c r="E171" s="237">
        <f t="shared" si="24"/>
        <v>5350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366</v>
      </c>
      <c r="D172" s="237">
        <v>0</v>
      </c>
      <c r="E172" s="237">
        <f t="shared" si="24"/>
        <v>-366</v>
      </c>
      <c r="F172" s="238">
        <f t="shared" si="25"/>
        <v>-1</v>
      </c>
    </row>
    <row r="173" spans="1:6" ht="20.25" customHeight="1" x14ac:dyDescent="0.3">
      <c r="A173" s="235">
        <v>4</v>
      </c>
      <c r="B173" s="236" t="s">
        <v>437</v>
      </c>
      <c r="C173" s="237">
        <v>123</v>
      </c>
      <c r="D173" s="237">
        <v>0</v>
      </c>
      <c r="E173" s="237">
        <f t="shared" si="24"/>
        <v>-123</v>
      </c>
      <c r="F173" s="238">
        <f t="shared" si="25"/>
        <v>-1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1</v>
      </c>
      <c r="E174" s="239">
        <f t="shared" si="24"/>
        <v>1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4</v>
      </c>
      <c r="E175" s="239">
        <f t="shared" si="24"/>
        <v>4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1</v>
      </c>
      <c r="D176" s="239">
        <v>0</v>
      </c>
      <c r="E176" s="239">
        <f t="shared" si="24"/>
        <v>-1</v>
      </c>
      <c r="F176" s="238">
        <f t="shared" si="25"/>
        <v>-1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1</v>
      </c>
      <c r="E178" s="239">
        <f t="shared" si="24"/>
        <v>1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366</v>
      </c>
      <c r="D179" s="243">
        <f>+D170+D172</f>
        <v>19946</v>
      </c>
      <c r="E179" s="243">
        <f t="shared" si="24"/>
        <v>19580</v>
      </c>
      <c r="F179" s="244">
        <f t="shared" si="25"/>
        <v>53.497267759562838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123</v>
      </c>
      <c r="D180" s="243">
        <f>+D171+D173</f>
        <v>5350</v>
      </c>
      <c r="E180" s="243">
        <f t="shared" si="24"/>
        <v>5227</v>
      </c>
      <c r="F180" s="244">
        <f t="shared" si="25"/>
        <v>42.49593495934959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61255</v>
      </c>
      <c r="E183" s="237">
        <f t="shared" ref="E183:E193" si="26">D183-C183</f>
        <v>61255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43894</v>
      </c>
      <c r="E184" s="237">
        <f t="shared" si="26"/>
        <v>43894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19835</v>
      </c>
      <c r="D185" s="237">
        <v>13121</v>
      </c>
      <c r="E185" s="237">
        <f t="shared" si="26"/>
        <v>-6714</v>
      </c>
      <c r="F185" s="238">
        <f t="shared" si="27"/>
        <v>-0.33849256365011343</v>
      </c>
    </row>
    <row r="186" spans="1:6" ht="20.25" customHeight="1" x14ac:dyDescent="0.3">
      <c r="A186" s="235">
        <v>4</v>
      </c>
      <c r="B186" s="236" t="s">
        <v>437</v>
      </c>
      <c r="C186" s="237">
        <v>3762</v>
      </c>
      <c r="D186" s="237">
        <v>10264</v>
      </c>
      <c r="E186" s="237">
        <f t="shared" si="26"/>
        <v>6502</v>
      </c>
      <c r="F186" s="238">
        <f t="shared" si="27"/>
        <v>1.7283359914938863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2</v>
      </c>
      <c r="E187" s="239">
        <f t="shared" si="26"/>
        <v>2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18</v>
      </c>
      <c r="E188" s="239">
        <f t="shared" si="26"/>
        <v>18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37</v>
      </c>
      <c r="D189" s="239">
        <v>26</v>
      </c>
      <c r="E189" s="239">
        <f t="shared" si="26"/>
        <v>-11</v>
      </c>
      <c r="F189" s="238">
        <f t="shared" si="27"/>
        <v>-0.29729729729729731</v>
      </c>
    </row>
    <row r="190" spans="1:6" ht="20.25" customHeight="1" x14ac:dyDescent="0.3">
      <c r="A190" s="235">
        <v>8</v>
      </c>
      <c r="B190" s="236" t="s">
        <v>439</v>
      </c>
      <c r="C190" s="239">
        <v>5</v>
      </c>
      <c r="D190" s="239">
        <v>4</v>
      </c>
      <c r="E190" s="239">
        <f t="shared" si="26"/>
        <v>-1</v>
      </c>
      <c r="F190" s="238">
        <f t="shared" si="27"/>
        <v>-0.2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2</v>
      </c>
      <c r="E191" s="239">
        <f t="shared" si="26"/>
        <v>2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19835</v>
      </c>
      <c r="D192" s="243">
        <f>+D183+D185</f>
        <v>74376</v>
      </c>
      <c r="E192" s="243">
        <f t="shared" si="26"/>
        <v>54541</v>
      </c>
      <c r="F192" s="244">
        <f t="shared" si="27"/>
        <v>2.7497353163599696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3762</v>
      </c>
      <c r="D193" s="243">
        <f>+D184+D186</f>
        <v>54158</v>
      </c>
      <c r="E193" s="243">
        <f t="shared" si="26"/>
        <v>50396</v>
      </c>
      <c r="F193" s="244">
        <f t="shared" si="27"/>
        <v>13.396065922381712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2715679</v>
      </c>
      <c r="D198" s="243">
        <f t="shared" si="28"/>
        <v>3348414</v>
      </c>
      <c r="E198" s="243">
        <f t="shared" ref="E198:E208" si="29">D198-C198</f>
        <v>632735</v>
      </c>
      <c r="F198" s="251">
        <f t="shared" ref="F198:F208" si="30">IF(C198=0,0,E198/C198)</f>
        <v>0.23299329559936943</v>
      </c>
    </row>
    <row r="199" spans="1:9" ht="20.25" customHeight="1" x14ac:dyDescent="0.3">
      <c r="A199" s="249"/>
      <c r="B199" s="250" t="s">
        <v>461</v>
      </c>
      <c r="C199" s="243">
        <f t="shared" si="28"/>
        <v>1539038</v>
      </c>
      <c r="D199" s="243">
        <f t="shared" si="28"/>
        <v>2334584</v>
      </c>
      <c r="E199" s="243">
        <f t="shared" si="29"/>
        <v>795546</v>
      </c>
      <c r="F199" s="251">
        <f t="shared" si="30"/>
        <v>0.51691121336835089</v>
      </c>
    </row>
    <row r="200" spans="1:9" ht="20.25" customHeight="1" x14ac:dyDescent="0.3">
      <c r="A200" s="249"/>
      <c r="B200" s="250" t="s">
        <v>462</v>
      </c>
      <c r="C200" s="243">
        <f t="shared" si="28"/>
        <v>2185311</v>
      </c>
      <c r="D200" s="243">
        <f t="shared" si="28"/>
        <v>3360179</v>
      </c>
      <c r="E200" s="243">
        <f t="shared" si="29"/>
        <v>1174868</v>
      </c>
      <c r="F200" s="251">
        <f t="shared" si="30"/>
        <v>0.53762050344321699</v>
      </c>
    </row>
    <row r="201" spans="1:9" ht="20.25" customHeight="1" x14ac:dyDescent="0.3">
      <c r="A201" s="249"/>
      <c r="B201" s="250" t="s">
        <v>463</v>
      </c>
      <c r="C201" s="243">
        <f t="shared" si="28"/>
        <v>854426</v>
      </c>
      <c r="D201" s="243">
        <f t="shared" si="28"/>
        <v>1463408</v>
      </c>
      <c r="E201" s="243">
        <f t="shared" si="29"/>
        <v>608982</v>
      </c>
      <c r="F201" s="251">
        <f t="shared" si="30"/>
        <v>0.7127381423318111</v>
      </c>
    </row>
    <row r="202" spans="1:9" ht="20.25" customHeight="1" x14ac:dyDescent="0.3">
      <c r="A202" s="249"/>
      <c r="B202" s="250" t="s">
        <v>464</v>
      </c>
      <c r="C202" s="252">
        <f t="shared" si="28"/>
        <v>191</v>
      </c>
      <c r="D202" s="252">
        <f t="shared" si="28"/>
        <v>231</v>
      </c>
      <c r="E202" s="252">
        <f t="shared" si="29"/>
        <v>40</v>
      </c>
      <c r="F202" s="251">
        <f t="shared" si="30"/>
        <v>0.20942408376963351</v>
      </c>
    </row>
    <row r="203" spans="1:9" ht="20.25" customHeight="1" x14ac:dyDescent="0.3">
      <c r="A203" s="249"/>
      <c r="B203" s="250" t="s">
        <v>465</v>
      </c>
      <c r="C203" s="252">
        <f t="shared" si="28"/>
        <v>843</v>
      </c>
      <c r="D203" s="252">
        <f t="shared" si="28"/>
        <v>1005</v>
      </c>
      <c r="E203" s="252">
        <f t="shared" si="29"/>
        <v>162</v>
      </c>
      <c r="F203" s="251">
        <f t="shared" si="30"/>
        <v>0.19217081850533807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3804</v>
      </c>
      <c r="D204" s="252">
        <f t="shared" si="28"/>
        <v>5691</v>
      </c>
      <c r="E204" s="252">
        <f t="shared" si="29"/>
        <v>1887</v>
      </c>
      <c r="F204" s="251">
        <f t="shared" si="30"/>
        <v>0.49605678233438488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438</v>
      </c>
      <c r="D205" s="252">
        <f t="shared" si="28"/>
        <v>609</v>
      </c>
      <c r="E205" s="252">
        <f t="shared" si="29"/>
        <v>171</v>
      </c>
      <c r="F205" s="251">
        <f t="shared" si="30"/>
        <v>0.3904109589041096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152</v>
      </c>
      <c r="D206" s="252">
        <f t="shared" si="28"/>
        <v>187</v>
      </c>
      <c r="E206" s="252">
        <f t="shared" si="29"/>
        <v>35</v>
      </c>
      <c r="F206" s="251">
        <f t="shared" si="30"/>
        <v>0.23026315789473684</v>
      </c>
    </row>
    <row r="207" spans="1:9" ht="20.25" customHeight="1" x14ac:dyDescent="0.3">
      <c r="A207" s="249"/>
      <c r="B207" s="242" t="s">
        <v>469</v>
      </c>
      <c r="C207" s="243">
        <f>+C198+C200</f>
        <v>4900990</v>
      </c>
      <c r="D207" s="243">
        <f>+D198+D200</f>
        <v>6708593</v>
      </c>
      <c r="E207" s="243">
        <f t="shared" si="29"/>
        <v>1807603</v>
      </c>
      <c r="F207" s="251">
        <f t="shared" si="30"/>
        <v>0.36882405391563744</v>
      </c>
    </row>
    <row r="208" spans="1:9" ht="20.25" customHeight="1" x14ac:dyDescent="0.3">
      <c r="A208" s="249"/>
      <c r="B208" s="242" t="s">
        <v>470</v>
      </c>
      <c r="C208" s="243">
        <f>+C199+C201</f>
        <v>2393464</v>
      </c>
      <c r="D208" s="243">
        <f>+D199+D201</f>
        <v>3797992</v>
      </c>
      <c r="E208" s="243">
        <f t="shared" si="29"/>
        <v>1404528</v>
      </c>
      <c r="F208" s="251">
        <f t="shared" si="30"/>
        <v>0.58681810129586243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FILING&amp;RCHARLOTTE HUNGERFORD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556053</v>
      </c>
      <c r="D14" s="237">
        <v>0</v>
      </c>
      <c r="E14" s="237">
        <f t="shared" ref="E14:E24" si="0">D14-C14</f>
        <v>-556053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306828</v>
      </c>
      <c r="D15" s="237">
        <v>0</v>
      </c>
      <c r="E15" s="237">
        <f t="shared" si="0"/>
        <v>-306828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1301245</v>
      </c>
      <c r="D16" s="237">
        <v>0</v>
      </c>
      <c r="E16" s="237">
        <f t="shared" si="0"/>
        <v>-1301245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595985</v>
      </c>
      <c r="D17" s="237">
        <v>0</v>
      </c>
      <c r="E17" s="237">
        <f t="shared" si="0"/>
        <v>-595985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78</v>
      </c>
      <c r="D18" s="239">
        <v>0</v>
      </c>
      <c r="E18" s="239">
        <f t="shared" si="0"/>
        <v>-78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227</v>
      </c>
      <c r="D19" s="239">
        <v>0</v>
      </c>
      <c r="E19" s="239">
        <f t="shared" si="0"/>
        <v>-227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1822</v>
      </c>
      <c r="D20" s="239">
        <v>0</v>
      </c>
      <c r="E20" s="239">
        <f t="shared" si="0"/>
        <v>-1822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1069</v>
      </c>
      <c r="D21" s="239">
        <v>0</v>
      </c>
      <c r="E21" s="239">
        <f t="shared" si="0"/>
        <v>-1069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24</v>
      </c>
      <c r="D22" s="239">
        <v>0</v>
      </c>
      <c r="E22" s="239">
        <f t="shared" si="0"/>
        <v>-24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1857298</v>
      </c>
      <c r="D23" s="243">
        <f>+D14+D16</f>
        <v>0</v>
      </c>
      <c r="E23" s="243">
        <f t="shared" si="0"/>
        <v>-1857298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902813</v>
      </c>
      <c r="D24" s="243">
        <f>+D15+D17</f>
        <v>0</v>
      </c>
      <c r="E24" s="243">
        <f t="shared" si="0"/>
        <v>-902813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1145714</v>
      </c>
      <c r="D26" s="237">
        <v>1839038</v>
      </c>
      <c r="E26" s="237">
        <f t="shared" ref="E26:E36" si="2">D26-C26</f>
        <v>693324</v>
      </c>
      <c r="F26" s="238">
        <f t="shared" ref="F26:F36" si="3">IF(C26=0,0,E26/C26)</f>
        <v>0.60514578681939823</v>
      </c>
    </row>
    <row r="27" spans="1:6" ht="20.25" customHeight="1" x14ac:dyDescent="0.3">
      <c r="A27" s="235">
        <v>2</v>
      </c>
      <c r="B27" s="236" t="s">
        <v>435</v>
      </c>
      <c r="C27" s="237">
        <v>569298</v>
      </c>
      <c r="D27" s="237">
        <v>866682</v>
      </c>
      <c r="E27" s="237">
        <f t="shared" si="2"/>
        <v>297384</v>
      </c>
      <c r="F27" s="238">
        <f t="shared" si="3"/>
        <v>0.52236965525963552</v>
      </c>
    </row>
    <row r="28" spans="1:6" ht="20.25" customHeight="1" x14ac:dyDescent="0.3">
      <c r="A28" s="235">
        <v>3</v>
      </c>
      <c r="B28" s="236" t="s">
        <v>436</v>
      </c>
      <c r="C28" s="237">
        <v>3609664</v>
      </c>
      <c r="D28" s="237">
        <v>5858430</v>
      </c>
      <c r="E28" s="237">
        <f t="shared" si="2"/>
        <v>2248766</v>
      </c>
      <c r="F28" s="238">
        <f t="shared" si="3"/>
        <v>0.62298485399195047</v>
      </c>
    </row>
    <row r="29" spans="1:6" ht="20.25" customHeight="1" x14ac:dyDescent="0.3">
      <c r="A29" s="235">
        <v>4</v>
      </c>
      <c r="B29" s="236" t="s">
        <v>437</v>
      </c>
      <c r="C29" s="237">
        <v>1405210</v>
      </c>
      <c r="D29" s="237">
        <v>2541529</v>
      </c>
      <c r="E29" s="237">
        <f t="shared" si="2"/>
        <v>1136319</v>
      </c>
      <c r="F29" s="238">
        <f t="shared" si="3"/>
        <v>0.80864710612648638</v>
      </c>
    </row>
    <row r="30" spans="1:6" ht="20.25" customHeight="1" x14ac:dyDescent="0.3">
      <c r="A30" s="235">
        <v>5</v>
      </c>
      <c r="B30" s="236" t="s">
        <v>373</v>
      </c>
      <c r="C30" s="239">
        <v>222</v>
      </c>
      <c r="D30" s="239">
        <v>323</v>
      </c>
      <c r="E30" s="239">
        <f t="shared" si="2"/>
        <v>101</v>
      </c>
      <c r="F30" s="238">
        <f t="shared" si="3"/>
        <v>0.45495495495495497</v>
      </c>
    </row>
    <row r="31" spans="1:6" ht="20.25" customHeight="1" x14ac:dyDescent="0.3">
      <c r="A31" s="235">
        <v>6</v>
      </c>
      <c r="B31" s="236" t="s">
        <v>372</v>
      </c>
      <c r="C31" s="239">
        <v>524</v>
      </c>
      <c r="D31" s="239">
        <v>799</v>
      </c>
      <c r="E31" s="239">
        <f t="shared" si="2"/>
        <v>275</v>
      </c>
      <c r="F31" s="238">
        <f t="shared" si="3"/>
        <v>0.52480916030534353</v>
      </c>
    </row>
    <row r="32" spans="1:6" ht="20.25" customHeight="1" x14ac:dyDescent="0.3">
      <c r="A32" s="235">
        <v>7</v>
      </c>
      <c r="B32" s="236" t="s">
        <v>438</v>
      </c>
      <c r="C32" s="239">
        <v>5233</v>
      </c>
      <c r="D32" s="239">
        <v>7372</v>
      </c>
      <c r="E32" s="239">
        <f t="shared" si="2"/>
        <v>2139</v>
      </c>
      <c r="F32" s="238">
        <f t="shared" si="3"/>
        <v>0.40875214981845975</v>
      </c>
    </row>
    <row r="33" spans="1:6" ht="20.25" customHeight="1" x14ac:dyDescent="0.3">
      <c r="A33" s="235">
        <v>8</v>
      </c>
      <c r="B33" s="236" t="s">
        <v>439</v>
      </c>
      <c r="C33" s="239">
        <v>2855</v>
      </c>
      <c r="D33" s="239">
        <v>4161</v>
      </c>
      <c r="E33" s="239">
        <f t="shared" si="2"/>
        <v>1306</v>
      </c>
      <c r="F33" s="238">
        <f t="shared" si="3"/>
        <v>0.45744308231173381</v>
      </c>
    </row>
    <row r="34" spans="1:6" ht="20.25" customHeight="1" x14ac:dyDescent="0.3">
      <c r="A34" s="235">
        <v>9</v>
      </c>
      <c r="B34" s="236" t="s">
        <v>440</v>
      </c>
      <c r="C34" s="239">
        <v>36</v>
      </c>
      <c r="D34" s="239">
        <v>79</v>
      </c>
      <c r="E34" s="239">
        <f t="shared" si="2"/>
        <v>43</v>
      </c>
      <c r="F34" s="238">
        <f t="shared" si="3"/>
        <v>1.1944444444444444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4755378</v>
      </c>
      <c r="D35" s="243">
        <f>+D26+D28</f>
        <v>7697468</v>
      </c>
      <c r="E35" s="243">
        <f t="shared" si="2"/>
        <v>2942090</v>
      </c>
      <c r="F35" s="244">
        <f t="shared" si="3"/>
        <v>0.61868688461779486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1974508</v>
      </c>
      <c r="D36" s="243">
        <f>+D27+D29</f>
        <v>3408211</v>
      </c>
      <c r="E36" s="243">
        <f t="shared" si="2"/>
        <v>1433703</v>
      </c>
      <c r="F36" s="244">
        <f t="shared" si="3"/>
        <v>0.72610645284800057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505056</v>
      </c>
      <c r="D50" s="237">
        <v>519516</v>
      </c>
      <c r="E50" s="237">
        <f t="shared" ref="E50:E60" si="6">D50-C50</f>
        <v>14460</v>
      </c>
      <c r="F50" s="238">
        <f t="shared" ref="F50:F60" si="7">IF(C50=0,0,E50/C50)</f>
        <v>2.8630488500285118E-2</v>
      </c>
    </row>
    <row r="51" spans="1:6" ht="20.25" customHeight="1" x14ac:dyDescent="0.3">
      <c r="A51" s="235">
        <v>2</v>
      </c>
      <c r="B51" s="236" t="s">
        <v>435</v>
      </c>
      <c r="C51" s="237">
        <v>303470</v>
      </c>
      <c r="D51" s="237">
        <v>253960</v>
      </c>
      <c r="E51" s="237">
        <f t="shared" si="6"/>
        <v>-49510</v>
      </c>
      <c r="F51" s="238">
        <f t="shared" si="7"/>
        <v>-0.16314627475533003</v>
      </c>
    </row>
    <row r="52" spans="1:6" ht="20.25" customHeight="1" x14ac:dyDescent="0.3">
      <c r="A52" s="235">
        <v>3</v>
      </c>
      <c r="B52" s="236" t="s">
        <v>436</v>
      </c>
      <c r="C52" s="237">
        <v>2793332</v>
      </c>
      <c r="D52" s="237">
        <v>2828121</v>
      </c>
      <c r="E52" s="237">
        <f t="shared" si="6"/>
        <v>34789</v>
      </c>
      <c r="F52" s="238">
        <f t="shared" si="7"/>
        <v>1.2454301887494934E-2</v>
      </c>
    </row>
    <row r="53" spans="1:6" ht="20.25" customHeight="1" x14ac:dyDescent="0.3">
      <c r="A53" s="235">
        <v>4</v>
      </c>
      <c r="B53" s="236" t="s">
        <v>437</v>
      </c>
      <c r="C53" s="237">
        <v>1010558</v>
      </c>
      <c r="D53" s="237">
        <v>1010437</v>
      </c>
      <c r="E53" s="237">
        <f t="shared" si="6"/>
        <v>-121</v>
      </c>
      <c r="F53" s="238">
        <f t="shared" si="7"/>
        <v>-1.1973582911619125E-4</v>
      </c>
    </row>
    <row r="54" spans="1:6" ht="20.25" customHeight="1" x14ac:dyDescent="0.3">
      <c r="A54" s="235">
        <v>5</v>
      </c>
      <c r="B54" s="236" t="s">
        <v>373</v>
      </c>
      <c r="C54" s="239">
        <v>58</v>
      </c>
      <c r="D54" s="239">
        <v>47</v>
      </c>
      <c r="E54" s="239">
        <f t="shared" si="6"/>
        <v>-11</v>
      </c>
      <c r="F54" s="238">
        <f t="shared" si="7"/>
        <v>-0.18965517241379309</v>
      </c>
    </row>
    <row r="55" spans="1:6" ht="20.25" customHeight="1" x14ac:dyDescent="0.3">
      <c r="A55" s="235">
        <v>6</v>
      </c>
      <c r="B55" s="236" t="s">
        <v>372</v>
      </c>
      <c r="C55" s="239">
        <v>324</v>
      </c>
      <c r="D55" s="239">
        <v>380</v>
      </c>
      <c r="E55" s="239">
        <f t="shared" si="6"/>
        <v>56</v>
      </c>
      <c r="F55" s="238">
        <f t="shared" si="7"/>
        <v>0.1728395061728395</v>
      </c>
    </row>
    <row r="56" spans="1:6" ht="20.25" customHeight="1" x14ac:dyDescent="0.3">
      <c r="A56" s="235">
        <v>7</v>
      </c>
      <c r="B56" s="236" t="s">
        <v>438</v>
      </c>
      <c r="C56" s="239">
        <v>4257</v>
      </c>
      <c r="D56" s="239">
        <v>4265</v>
      </c>
      <c r="E56" s="239">
        <f t="shared" si="6"/>
        <v>8</v>
      </c>
      <c r="F56" s="238">
        <f t="shared" si="7"/>
        <v>1.8792576932111817E-3</v>
      </c>
    </row>
    <row r="57" spans="1:6" ht="20.25" customHeight="1" x14ac:dyDescent="0.3">
      <c r="A57" s="235">
        <v>8</v>
      </c>
      <c r="B57" s="236" t="s">
        <v>439</v>
      </c>
      <c r="C57" s="239">
        <v>201</v>
      </c>
      <c r="D57" s="239">
        <v>1</v>
      </c>
      <c r="E57" s="239">
        <f t="shared" si="6"/>
        <v>-200</v>
      </c>
      <c r="F57" s="238">
        <f t="shared" si="7"/>
        <v>-0.99502487562189057</v>
      </c>
    </row>
    <row r="58" spans="1:6" ht="20.25" customHeight="1" x14ac:dyDescent="0.3">
      <c r="A58" s="235">
        <v>9</v>
      </c>
      <c r="B58" s="236" t="s">
        <v>440</v>
      </c>
      <c r="C58" s="239">
        <v>35</v>
      </c>
      <c r="D58" s="239">
        <v>44</v>
      </c>
      <c r="E58" s="239">
        <f t="shared" si="6"/>
        <v>9</v>
      </c>
      <c r="F58" s="238">
        <f t="shared" si="7"/>
        <v>0.25714285714285712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3298388</v>
      </c>
      <c r="D59" s="243">
        <f>+D50+D52</f>
        <v>3347637</v>
      </c>
      <c r="E59" s="243">
        <f t="shared" si="6"/>
        <v>49249</v>
      </c>
      <c r="F59" s="244">
        <f t="shared" si="7"/>
        <v>1.493123307506576E-2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1314028</v>
      </c>
      <c r="D60" s="243">
        <f>+D51+D53</f>
        <v>1264397</v>
      </c>
      <c r="E60" s="243">
        <f t="shared" si="6"/>
        <v>-49631</v>
      </c>
      <c r="F60" s="244">
        <f t="shared" si="7"/>
        <v>-3.7770123619892425E-2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81394</v>
      </c>
      <c r="D86" s="237">
        <v>208916</v>
      </c>
      <c r="E86" s="237">
        <f t="shared" ref="E86:E96" si="12">D86-C86</f>
        <v>127522</v>
      </c>
      <c r="F86" s="238">
        <f t="shared" ref="F86:F96" si="13">IF(C86=0,0,E86/C86)</f>
        <v>1.5667248200113031</v>
      </c>
    </row>
    <row r="87" spans="1:6" ht="20.25" customHeight="1" x14ac:dyDescent="0.3">
      <c r="A87" s="235">
        <v>2</v>
      </c>
      <c r="B87" s="236" t="s">
        <v>435</v>
      </c>
      <c r="C87" s="237">
        <v>24829</v>
      </c>
      <c r="D87" s="237">
        <v>121497</v>
      </c>
      <c r="E87" s="237">
        <f t="shared" si="12"/>
        <v>96668</v>
      </c>
      <c r="F87" s="238">
        <f t="shared" si="13"/>
        <v>3.8933505175399734</v>
      </c>
    </row>
    <row r="88" spans="1:6" ht="20.25" customHeight="1" x14ac:dyDescent="0.3">
      <c r="A88" s="235">
        <v>3</v>
      </c>
      <c r="B88" s="236" t="s">
        <v>436</v>
      </c>
      <c r="C88" s="237">
        <v>439268</v>
      </c>
      <c r="D88" s="237">
        <v>583623</v>
      </c>
      <c r="E88" s="237">
        <f t="shared" si="12"/>
        <v>144355</v>
      </c>
      <c r="F88" s="238">
        <f t="shared" si="13"/>
        <v>0.3286262600508118</v>
      </c>
    </row>
    <row r="89" spans="1:6" ht="20.25" customHeight="1" x14ac:dyDescent="0.3">
      <c r="A89" s="235">
        <v>4</v>
      </c>
      <c r="B89" s="236" t="s">
        <v>437</v>
      </c>
      <c r="C89" s="237">
        <v>154520</v>
      </c>
      <c r="D89" s="237">
        <v>234344</v>
      </c>
      <c r="E89" s="237">
        <f t="shared" si="12"/>
        <v>79824</v>
      </c>
      <c r="F89" s="238">
        <f t="shared" si="13"/>
        <v>0.51659332125291224</v>
      </c>
    </row>
    <row r="90" spans="1:6" ht="20.25" customHeight="1" x14ac:dyDescent="0.3">
      <c r="A90" s="235">
        <v>5</v>
      </c>
      <c r="B90" s="236" t="s">
        <v>373</v>
      </c>
      <c r="C90" s="239">
        <v>14</v>
      </c>
      <c r="D90" s="239">
        <v>46</v>
      </c>
      <c r="E90" s="239">
        <f t="shared" si="12"/>
        <v>32</v>
      </c>
      <c r="F90" s="238">
        <f t="shared" si="13"/>
        <v>2.2857142857142856</v>
      </c>
    </row>
    <row r="91" spans="1:6" ht="20.25" customHeight="1" x14ac:dyDescent="0.3">
      <c r="A91" s="235">
        <v>6</v>
      </c>
      <c r="B91" s="236" t="s">
        <v>372</v>
      </c>
      <c r="C91" s="239">
        <v>35</v>
      </c>
      <c r="D91" s="239">
        <v>111</v>
      </c>
      <c r="E91" s="239">
        <f t="shared" si="12"/>
        <v>76</v>
      </c>
      <c r="F91" s="238">
        <f t="shared" si="13"/>
        <v>2.1714285714285713</v>
      </c>
    </row>
    <row r="92" spans="1:6" ht="20.25" customHeight="1" x14ac:dyDescent="0.3">
      <c r="A92" s="235">
        <v>7</v>
      </c>
      <c r="B92" s="236" t="s">
        <v>438</v>
      </c>
      <c r="C92" s="239">
        <v>527</v>
      </c>
      <c r="D92" s="239">
        <v>799</v>
      </c>
      <c r="E92" s="239">
        <f t="shared" si="12"/>
        <v>272</v>
      </c>
      <c r="F92" s="238">
        <f t="shared" si="13"/>
        <v>0.5161290322580645</v>
      </c>
    </row>
    <row r="93" spans="1:6" ht="20.25" customHeight="1" x14ac:dyDescent="0.3">
      <c r="A93" s="235">
        <v>8</v>
      </c>
      <c r="B93" s="236" t="s">
        <v>439</v>
      </c>
      <c r="C93" s="239">
        <v>424</v>
      </c>
      <c r="D93" s="239">
        <v>500</v>
      </c>
      <c r="E93" s="239">
        <f t="shared" si="12"/>
        <v>76</v>
      </c>
      <c r="F93" s="238">
        <f t="shared" si="13"/>
        <v>0.17924528301886791</v>
      </c>
    </row>
    <row r="94" spans="1:6" ht="20.25" customHeight="1" x14ac:dyDescent="0.3">
      <c r="A94" s="235">
        <v>9</v>
      </c>
      <c r="B94" s="236" t="s">
        <v>440</v>
      </c>
      <c r="C94" s="239">
        <v>6</v>
      </c>
      <c r="D94" s="239">
        <v>10</v>
      </c>
      <c r="E94" s="239">
        <f t="shared" si="12"/>
        <v>4</v>
      </c>
      <c r="F94" s="238">
        <f t="shared" si="13"/>
        <v>0.66666666666666663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520662</v>
      </c>
      <c r="D95" s="243">
        <f>+D86+D88</f>
        <v>792539</v>
      </c>
      <c r="E95" s="243">
        <f t="shared" si="12"/>
        <v>271877</v>
      </c>
      <c r="F95" s="244">
        <f t="shared" si="13"/>
        <v>0.52217561489027431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179349</v>
      </c>
      <c r="D96" s="243">
        <f>+D87+D89</f>
        <v>355841</v>
      </c>
      <c r="E96" s="243">
        <f t="shared" si="12"/>
        <v>176492</v>
      </c>
      <c r="F96" s="244">
        <f t="shared" si="13"/>
        <v>0.98407016487407228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465677</v>
      </c>
      <c r="D98" s="237">
        <v>734082</v>
      </c>
      <c r="E98" s="237">
        <f t="shared" ref="E98:E108" si="14">D98-C98</f>
        <v>268405</v>
      </c>
      <c r="F98" s="238">
        <f t="shared" ref="F98:F108" si="15">IF(C98=0,0,E98/C98)</f>
        <v>0.57637590003371431</v>
      </c>
    </row>
    <row r="99" spans="1:7" ht="20.25" customHeight="1" x14ac:dyDescent="0.3">
      <c r="A99" s="235">
        <v>2</v>
      </c>
      <c r="B99" s="236" t="s">
        <v>435</v>
      </c>
      <c r="C99" s="237">
        <v>210881</v>
      </c>
      <c r="D99" s="237">
        <v>399226</v>
      </c>
      <c r="E99" s="237">
        <f t="shared" si="14"/>
        <v>188345</v>
      </c>
      <c r="F99" s="238">
        <f t="shared" si="15"/>
        <v>0.89313404242202954</v>
      </c>
    </row>
    <row r="100" spans="1:7" ht="20.25" customHeight="1" x14ac:dyDescent="0.3">
      <c r="A100" s="235">
        <v>3</v>
      </c>
      <c r="B100" s="236" t="s">
        <v>436</v>
      </c>
      <c r="C100" s="237">
        <v>1759047</v>
      </c>
      <c r="D100" s="237">
        <v>2802068</v>
      </c>
      <c r="E100" s="237">
        <f t="shared" si="14"/>
        <v>1043021</v>
      </c>
      <c r="F100" s="238">
        <f t="shared" si="15"/>
        <v>0.592946635308778</v>
      </c>
    </row>
    <row r="101" spans="1:7" ht="20.25" customHeight="1" x14ac:dyDescent="0.3">
      <c r="A101" s="235">
        <v>4</v>
      </c>
      <c r="B101" s="236" t="s">
        <v>437</v>
      </c>
      <c r="C101" s="237">
        <v>564739</v>
      </c>
      <c r="D101" s="237">
        <v>1152777</v>
      </c>
      <c r="E101" s="237">
        <f t="shared" si="14"/>
        <v>588038</v>
      </c>
      <c r="F101" s="238">
        <f t="shared" si="15"/>
        <v>1.0412562263275602</v>
      </c>
    </row>
    <row r="102" spans="1:7" ht="20.25" customHeight="1" x14ac:dyDescent="0.3">
      <c r="A102" s="235">
        <v>5</v>
      </c>
      <c r="B102" s="236" t="s">
        <v>373</v>
      </c>
      <c r="C102" s="239">
        <v>99</v>
      </c>
      <c r="D102" s="239">
        <v>148</v>
      </c>
      <c r="E102" s="239">
        <f t="shared" si="14"/>
        <v>49</v>
      </c>
      <c r="F102" s="238">
        <f t="shared" si="15"/>
        <v>0.49494949494949497</v>
      </c>
    </row>
    <row r="103" spans="1:7" ht="20.25" customHeight="1" x14ac:dyDescent="0.3">
      <c r="A103" s="235">
        <v>6</v>
      </c>
      <c r="B103" s="236" t="s">
        <v>372</v>
      </c>
      <c r="C103" s="239">
        <v>221</v>
      </c>
      <c r="D103" s="239">
        <v>329</v>
      </c>
      <c r="E103" s="239">
        <f t="shared" si="14"/>
        <v>108</v>
      </c>
      <c r="F103" s="238">
        <f t="shared" si="15"/>
        <v>0.48868778280542985</v>
      </c>
    </row>
    <row r="104" spans="1:7" ht="20.25" customHeight="1" x14ac:dyDescent="0.3">
      <c r="A104" s="235">
        <v>7</v>
      </c>
      <c r="B104" s="236" t="s">
        <v>438</v>
      </c>
      <c r="C104" s="239">
        <v>2675</v>
      </c>
      <c r="D104" s="239">
        <v>3544</v>
      </c>
      <c r="E104" s="239">
        <f t="shared" si="14"/>
        <v>869</v>
      </c>
      <c r="F104" s="238">
        <f t="shared" si="15"/>
        <v>0.32485981308411216</v>
      </c>
    </row>
    <row r="105" spans="1:7" ht="20.25" customHeight="1" x14ac:dyDescent="0.3">
      <c r="A105" s="235">
        <v>8</v>
      </c>
      <c r="B105" s="236" t="s">
        <v>439</v>
      </c>
      <c r="C105" s="239">
        <v>1552</v>
      </c>
      <c r="D105" s="239">
        <v>2116</v>
      </c>
      <c r="E105" s="239">
        <f t="shared" si="14"/>
        <v>564</v>
      </c>
      <c r="F105" s="238">
        <f t="shared" si="15"/>
        <v>0.36340206185567009</v>
      </c>
    </row>
    <row r="106" spans="1:7" ht="20.25" customHeight="1" x14ac:dyDescent="0.3">
      <c r="A106" s="235">
        <v>9</v>
      </c>
      <c r="B106" s="236" t="s">
        <v>440</v>
      </c>
      <c r="C106" s="239">
        <v>21</v>
      </c>
      <c r="D106" s="239">
        <v>39</v>
      </c>
      <c r="E106" s="239">
        <f t="shared" si="14"/>
        <v>18</v>
      </c>
      <c r="F106" s="238">
        <f t="shared" si="15"/>
        <v>0.8571428571428571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2224724</v>
      </c>
      <c r="D107" s="243">
        <f>+D98+D100</f>
        <v>3536150</v>
      </c>
      <c r="E107" s="243">
        <f t="shared" si="14"/>
        <v>1311426</v>
      </c>
      <c r="F107" s="244">
        <f t="shared" si="15"/>
        <v>0.5894780655937546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775620</v>
      </c>
      <c r="D108" s="243">
        <f>+D99+D101</f>
        <v>1552003</v>
      </c>
      <c r="E108" s="243">
        <f t="shared" si="14"/>
        <v>776383</v>
      </c>
      <c r="F108" s="244">
        <f t="shared" si="15"/>
        <v>1.0009837291457158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2753894</v>
      </c>
      <c r="D112" s="243">
        <f t="shared" si="16"/>
        <v>3301552</v>
      </c>
      <c r="E112" s="243">
        <f t="shared" ref="E112:E122" si="17">D112-C112</f>
        <v>547658</v>
      </c>
      <c r="F112" s="244">
        <f t="shared" ref="F112:F122" si="18">IF(C112=0,0,E112/C112)</f>
        <v>0.1988667682924615</v>
      </c>
    </row>
    <row r="113" spans="1:6" ht="20.25" customHeight="1" x14ac:dyDescent="0.3">
      <c r="A113" s="249"/>
      <c r="B113" s="250" t="s">
        <v>461</v>
      </c>
      <c r="C113" s="243">
        <f t="shared" si="16"/>
        <v>1415306</v>
      </c>
      <c r="D113" s="243">
        <f t="shared" si="16"/>
        <v>1641365</v>
      </c>
      <c r="E113" s="243">
        <f t="shared" si="17"/>
        <v>226059</v>
      </c>
      <c r="F113" s="244">
        <f t="shared" si="18"/>
        <v>0.15972446947868518</v>
      </c>
    </row>
    <row r="114" spans="1:6" ht="20.25" customHeight="1" x14ac:dyDescent="0.3">
      <c r="A114" s="249"/>
      <c r="B114" s="250" t="s">
        <v>462</v>
      </c>
      <c r="C114" s="243">
        <f t="shared" si="16"/>
        <v>9902556</v>
      </c>
      <c r="D114" s="243">
        <f t="shared" si="16"/>
        <v>12072242</v>
      </c>
      <c r="E114" s="243">
        <f t="shared" si="17"/>
        <v>2169686</v>
      </c>
      <c r="F114" s="244">
        <f t="shared" si="18"/>
        <v>0.21910363344574876</v>
      </c>
    </row>
    <row r="115" spans="1:6" ht="20.25" customHeight="1" x14ac:dyDescent="0.3">
      <c r="A115" s="249"/>
      <c r="B115" s="250" t="s">
        <v>463</v>
      </c>
      <c r="C115" s="243">
        <f t="shared" si="16"/>
        <v>3731012</v>
      </c>
      <c r="D115" s="243">
        <f t="shared" si="16"/>
        <v>4939087</v>
      </c>
      <c r="E115" s="243">
        <f t="shared" si="17"/>
        <v>1208075</v>
      </c>
      <c r="F115" s="244">
        <f t="shared" si="18"/>
        <v>0.32379284762418348</v>
      </c>
    </row>
    <row r="116" spans="1:6" ht="20.25" customHeight="1" x14ac:dyDescent="0.3">
      <c r="A116" s="249"/>
      <c r="B116" s="250" t="s">
        <v>464</v>
      </c>
      <c r="C116" s="252">
        <f t="shared" si="16"/>
        <v>471</v>
      </c>
      <c r="D116" s="252">
        <f t="shared" si="16"/>
        <v>564</v>
      </c>
      <c r="E116" s="252">
        <f t="shared" si="17"/>
        <v>93</v>
      </c>
      <c r="F116" s="244">
        <f t="shared" si="18"/>
        <v>0.19745222929936307</v>
      </c>
    </row>
    <row r="117" spans="1:6" ht="20.25" customHeight="1" x14ac:dyDescent="0.3">
      <c r="A117" s="249"/>
      <c r="B117" s="250" t="s">
        <v>465</v>
      </c>
      <c r="C117" s="252">
        <f t="shared" si="16"/>
        <v>1331</v>
      </c>
      <c r="D117" s="252">
        <f t="shared" si="16"/>
        <v>1619</v>
      </c>
      <c r="E117" s="252">
        <f t="shared" si="17"/>
        <v>288</v>
      </c>
      <c r="F117" s="244">
        <f t="shared" si="18"/>
        <v>0.21637866265965439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14514</v>
      </c>
      <c r="D118" s="252">
        <f t="shared" si="16"/>
        <v>15980</v>
      </c>
      <c r="E118" s="252">
        <f t="shared" si="17"/>
        <v>1466</v>
      </c>
      <c r="F118" s="244">
        <f t="shared" si="18"/>
        <v>0.10100592531349042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6101</v>
      </c>
      <c r="D119" s="252">
        <f t="shared" si="16"/>
        <v>6778</v>
      </c>
      <c r="E119" s="252">
        <f t="shared" si="17"/>
        <v>677</v>
      </c>
      <c r="F119" s="244">
        <f t="shared" si="18"/>
        <v>0.11096541550565481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122</v>
      </c>
      <c r="D120" s="252">
        <f t="shared" si="16"/>
        <v>172</v>
      </c>
      <c r="E120" s="252">
        <f t="shared" si="17"/>
        <v>50</v>
      </c>
      <c r="F120" s="244">
        <f t="shared" si="18"/>
        <v>0.4098360655737705</v>
      </c>
    </row>
    <row r="121" spans="1:6" ht="39.950000000000003" customHeight="1" x14ac:dyDescent="0.3">
      <c r="A121" s="249"/>
      <c r="B121" s="242" t="s">
        <v>441</v>
      </c>
      <c r="C121" s="243">
        <f>+C112+C114</f>
        <v>12656450</v>
      </c>
      <c r="D121" s="243">
        <f>+D112+D114</f>
        <v>15373794</v>
      </c>
      <c r="E121" s="243">
        <f t="shared" si="17"/>
        <v>2717344</v>
      </c>
      <c r="F121" s="244">
        <f t="shared" si="18"/>
        <v>0.2147003306614414</v>
      </c>
    </row>
    <row r="122" spans="1:6" ht="39.950000000000003" customHeight="1" x14ac:dyDescent="0.3">
      <c r="A122" s="249"/>
      <c r="B122" s="242" t="s">
        <v>470</v>
      </c>
      <c r="C122" s="243">
        <f>+C113+C115</f>
        <v>5146318</v>
      </c>
      <c r="D122" s="243">
        <f>+D113+D115</f>
        <v>6580452</v>
      </c>
      <c r="E122" s="243">
        <f t="shared" si="17"/>
        <v>1434134</v>
      </c>
      <c r="F122" s="244">
        <f t="shared" si="18"/>
        <v>0.27867185821008339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FILING&amp;RCHARLOTTE HUNGERFORD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4021421</v>
      </c>
      <c r="D13" s="23">
        <v>5456105</v>
      </c>
      <c r="E13" s="23">
        <f t="shared" ref="E13:E22" si="0">D13-C13</f>
        <v>1434684</v>
      </c>
      <c r="F13" s="24">
        <f t="shared" ref="F13:F22" si="1">IF(C13=0,0,E13/C13)</f>
        <v>0.35676045855432692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9891564</v>
      </c>
      <c r="D15" s="23">
        <v>9573323</v>
      </c>
      <c r="E15" s="23">
        <f t="shared" si="0"/>
        <v>-318241</v>
      </c>
      <c r="F15" s="24">
        <f t="shared" si="1"/>
        <v>-3.2172970826453734E-2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102157</v>
      </c>
      <c r="D18" s="23">
        <v>1079437</v>
      </c>
      <c r="E18" s="23">
        <f t="shared" si="0"/>
        <v>977280</v>
      </c>
      <c r="F18" s="24">
        <f t="shared" si="1"/>
        <v>9.5664516381647857</v>
      </c>
    </row>
    <row r="19" spans="1:11" ht="24" customHeight="1" x14ac:dyDescent="0.2">
      <c r="A19" s="21">
        <v>7</v>
      </c>
      <c r="B19" s="22" t="s">
        <v>22</v>
      </c>
      <c r="C19" s="23">
        <v>1825569</v>
      </c>
      <c r="D19" s="23">
        <v>1886150</v>
      </c>
      <c r="E19" s="23">
        <f t="shared" si="0"/>
        <v>60581</v>
      </c>
      <c r="F19" s="24">
        <f t="shared" si="1"/>
        <v>3.3184722133208881E-2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1892228</v>
      </c>
      <c r="D21" s="23">
        <v>2419887</v>
      </c>
      <c r="E21" s="23">
        <f t="shared" si="0"/>
        <v>527659</v>
      </c>
      <c r="F21" s="24">
        <f t="shared" si="1"/>
        <v>0.27885593068065795</v>
      </c>
    </row>
    <row r="22" spans="1:11" ht="24" customHeight="1" x14ac:dyDescent="0.25">
      <c r="A22" s="25"/>
      <c r="B22" s="26" t="s">
        <v>25</v>
      </c>
      <c r="C22" s="27">
        <f>SUM(C13:C21)</f>
        <v>17732939</v>
      </c>
      <c r="D22" s="27">
        <f>SUM(D13:D21)</f>
        <v>20414902</v>
      </c>
      <c r="E22" s="27">
        <f t="shared" si="0"/>
        <v>2681963</v>
      </c>
      <c r="F22" s="28">
        <f t="shared" si="1"/>
        <v>0.15124187817935877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14994411</v>
      </c>
      <c r="D25" s="23">
        <v>16662242</v>
      </c>
      <c r="E25" s="23">
        <f>D25-C25</f>
        <v>1667831</v>
      </c>
      <c r="F25" s="24">
        <f>IF(C25=0,0,E25/C25)</f>
        <v>0.11123017769754344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359776</v>
      </c>
      <c r="D27" s="23">
        <v>277118</v>
      </c>
      <c r="E27" s="23">
        <f>D27-C27</f>
        <v>-82658</v>
      </c>
      <c r="F27" s="24">
        <f>IF(C27=0,0,E27/C27)</f>
        <v>-0.22974851018411457</v>
      </c>
    </row>
    <row r="28" spans="1:11" ht="35.1" customHeight="1" x14ac:dyDescent="0.2">
      <c r="A28" s="21">
        <v>4</v>
      </c>
      <c r="B28" s="22" t="s">
        <v>31</v>
      </c>
      <c r="C28" s="23">
        <v>6674126</v>
      </c>
      <c r="D28" s="23">
        <v>6732834</v>
      </c>
      <c r="E28" s="23">
        <f>D28-C28</f>
        <v>58708</v>
      </c>
      <c r="F28" s="24">
        <f>IF(C28=0,0,E28/C28)</f>
        <v>8.7963577553075867E-3</v>
      </c>
    </row>
    <row r="29" spans="1:11" ht="35.1" customHeight="1" x14ac:dyDescent="0.25">
      <c r="A29" s="25"/>
      <c r="B29" s="26" t="s">
        <v>32</v>
      </c>
      <c r="C29" s="27">
        <f>SUM(C25:C28)</f>
        <v>22028313</v>
      </c>
      <c r="D29" s="27">
        <f>SUM(D25:D28)</f>
        <v>23672194</v>
      </c>
      <c r="E29" s="27">
        <f>D29-C29</f>
        <v>1643881</v>
      </c>
      <c r="F29" s="28">
        <f>IF(C29=0,0,E29/C29)</f>
        <v>7.4625823593481716E-2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27523678</v>
      </c>
      <c r="D32" s="23">
        <v>30690384</v>
      </c>
      <c r="E32" s="23">
        <f>D32-C32</f>
        <v>3166706</v>
      </c>
      <c r="F32" s="24">
        <f>IF(C32=0,0,E32/C32)</f>
        <v>0.11505388197028028</v>
      </c>
    </row>
    <row r="33" spans="1:8" ht="24" customHeight="1" x14ac:dyDescent="0.2">
      <c r="A33" s="21">
        <v>7</v>
      </c>
      <c r="B33" s="22" t="s">
        <v>35</v>
      </c>
      <c r="C33" s="23">
        <v>1555668</v>
      </c>
      <c r="D33" s="23">
        <v>1339349</v>
      </c>
      <c r="E33" s="23">
        <f>D33-C33</f>
        <v>-216319</v>
      </c>
      <c r="F33" s="24">
        <f>IF(C33=0,0,E33/C33)</f>
        <v>-0.13905216280080326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136380516</v>
      </c>
      <c r="D36" s="23">
        <v>137226848</v>
      </c>
      <c r="E36" s="23">
        <f>D36-C36</f>
        <v>846332</v>
      </c>
      <c r="F36" s="24">
        <f>IF(C36=0,0,E36/C36)</f>
        <v>6.2056665044440806E-3</v>
      </c>
    </row>
    <row r="37" spans="1:8" ht="24" customHeight="1" x14ac:dyDescent="0.2">
      <c r="A37" s="21">
        <v>2</v>
      </c>
      <c r="B37" s="22" t="s">
        <v>39</v>
      </c>
      <c r="C37" s="23">
        <v>91686498</v>
      </c>
      <c r="D37" s="23">
        <v>96582714</v>
      </c>
      <c r="E37" s="23">
        <f>D37-C37</f>
        <v>4896216</v>
      </c>
      <c r="F37" s="23">
        <f>IF(C37=0,0,E37/C37)</f>
        <v>5.3401712430984113E-2</v>
      </c>
    </row>
    <row r="38" spans="1:8" ht="24" customHeight="1" x14ac:dyDescent="0.25">
      <c r="A38" s="25"/>
      <c r="B38" s="26" t="s">
        <v>40</v>
      </c>
      <c r="C38" s="27">
        <f>C36-C37</f>
        <v>44694018</v>
      </c>
      <c r="D38" s="27">
        <f>D36-D37</f>
        <v>40644134</v>
      </c>
      <c r="E38" s="27">
        <f>D38-C38</f>
        <v>-4049884</v>
      </c>
      <c r="F38" s="28">
        <f>IF(C38=0,0,E38/C38)</f>
        <v>-9.0613558172371073E-2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861053</v>
      </c>
      <c r="D40" s="23">
        <v>918096</v>
      </c>
      <c r="E40" s="23">
        <f>D40-C40</f>
        <v>57043</v>
      </c>
      <c r="F40" s="24">
        <f>IF(C40=0,0,E40/C40)</f>
        <v>6.6247954539383758E-2</v>
      </c>
    </row>
    <row r="41" spans="1:8" ht="24" customHeight="1" x14ac:dyDescent="0.25">
      <c r="A41" s="25"/>
      <c r="B41" s="26" t="s">
        <v>42</v>
      </c>
      <c r="C41" s="27">
        <f>+C38+C40</f>
        <v>45555071</v>
      </c>
      <c r="D41" s="27">
        <f>+D38+D40</f>
        <v>41562230</v>
      </c>
      <c r="E41" s="27">
        <f>D41-C41</f>
        <v>-3992841</v>
      </c>
      <c r="F41" s="28">
        <f>IF(C41=0,0,E41/C41)</f>
        <v>-8.7648661550763465E-2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114395669</v>
      </c>
      <c r="D43" s="27">
        <f>D22+D29+D31+D32+D33+D41</f>
        <v>117679059</v>
      </c>
      <c r="E43" s="27">
        <f>D43-C43</f>
        <v>3283390</v>
      </c>
      <c r="F43" s="28">
        <f>IF(C43=0,0,E43/C43)</f>
        <v>2.8702048151840433E-2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3810358</v>
      </c>
      <c r="D49" s="23">
        <v>4439653</v>
      </c>
      <c r="E49" s="23">
        <f t="shared" ref="E49:E56" si="2">D49-C49</f>
        <v>629295</v>
      </c>
      <c r="F49" s="24">
        <f t="shared" ref="F49:F56" si="3">IF(C49=0,0,E49/C49)</f>
        <v>0.16515377295256772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4615109</v>
      </c>
      <c r="D50" s="23">
        <v>3018603</v>
      </c>
      <c r="E50" s="23">
        <f t="shared" si="2"/>
        <v>-1596506</v>
      </c>
      <c r="F50" s="24">
        <f t="shared" si="3"/>
        <v>-0.34593029113721907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2366000</v>
      </c>
      <c r="D51" s="23">
        <v>2034000</v>
      </c>
      <c r="E51" s="23">
        <f t="shared" si="2"/>
        <v>-332000</v>
      </c>
      <c r="F51" s="24">
        <f t="shared" si="3"/>
        <v>-0.14032121724429417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1080000</v>
      </c>
      <c r="D53" s="23">
        <v>1120000</v>
      </c>
      <c r="E53" s="23">
        <f t="shared" si="2"/>
        <v>40000</v>
      </c>
      <c r="F53" s="24">
        <f t="shared" si="3"/>
        <v>3.7037037037037035E-2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300392</v>
      </c>
      <c r="D54" s="23">
        <v>233895</v>
      </c>
      <c r="E54" s="23">
        <f t="shared" si="2"/>
        <v>-66497</v>
      </c>
      <c r="F54" s="24">
        <f t="shared" si="3"/>
        <v>-0.22136741324669099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4051021</v>
      </c>
      <c r="D55" s="23">
        <v>5718436</v>
      </c>
      <c r="E55" s="23">
        <f t="shared" si="2"/>
        <v>1667415</v>
      </c>
      <c r="F55" s="24">
        <f t="shared" si="3"/>
        <v>0.41160364263725119</v>
      </c>
    </row>
    <row r="56" spans="1:6" ht="24" customHeight="1" x14ac:dyDescent="0.25">
      <c r="A56" s="25"/>
      <c r="B56" s="26" t="s">
        <v>54</v>
      </c>
      <c r="C56" s="27">
        <f>SUM(C49:C55)</f>
        <v>16222880</v>
      </c>
      <c r="D56" s="27">
        <f>SUM(D49:D55)</f>
        <v>16564587</v>
      </c>
      <c r="E56" s="27">
        <f t="shared" si="2"/>
        <v>341707</v>
      </c>
      <c r="F56" s="28">
        <f t="shared" si="3"/>
        <v>2.1063276064422595E-2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3475000</v>
      </c>
      <c r="D59" s="23">
        <v>2355000</v>
      </c>
      <c r="E59" s="23">
        <f>D59-C59</f>
        <v>-1120000</v>
      </c>
      <c r="F59" s="24">
        <f>IF(C59=0,0,E59/C59)</f>
        <v>-0.32230215827338127</v>
      </c>
    </row>
    <row r="60" spans="1:6" ht="24" customHeight="1" x14ac:dyDescent="0.2">
      <c r="A60" s="21">
        <v>2</v>
      </c>
      <c r="B60" s="22" t="s">
        <v>57</v>
      </c>
      <c r="C60" s="23">
        <v>3960989</v>
      </c>
      <c r="D60" s="23">
        <v>3667950</v>
      </c>
      <c r="E60" s="23">
        <f>D60-C60</f>
        <v>-293039</v>
      </c>
      <c r="F60" s="24">
        <f>IF(C60=0,0,E60/C60)</f>
        <v>-7.3981270839176785E-2</v>
      </c>
    </row>
    <row r="61" spans="1:6" ht="24" customHeight="1" x14ac:dyDescent="0.25">
      <c r="A61" s="25"/>
      <c r="B61" s="26" t="s">
        <v>58</v>
      </c>
      <c r="C61" s="27">
        <f>SUM(C59:C60)</f>
        <v>7435989</v>
      </c>
      <c r="D61" s="27">
        <f>SUM(D59:D60)</f>
        <v>6022950</v>
      </c>
      <c r="E61" s="27">
        <f>D61-C61</f>
        <v>-1413039</v>
      </c>
      <c r="F61" s="28">
        <f>IF(C61=0,0,E61/C61)</f>
        <v>-0.19002704280493152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28349714</v>
      </c>
      <c r="D63" s="23">
        <v>33995533</v>
      </c>
      <c r="E63" s="23">
        <f>D63-C63</f>
        <v>5645819</v>
      </c>
      <c r="F63" s="24">
        <f>IF(C63=0,0,E63/C63)</f>
        <v>0.19914906372600444</v>
      </c>
    </row>
    <row r="64" spans="1:6" ht="24" customHeight="1" x14ac:dyDescent="0.2">
      <c r="A64" s="21">
        <v>4</v>
      </c>
      <c r="B64" s="22" t="s">
        <v>60</v>
      </c>
      <c r="C64" s="23">
        <v>2192084</v>
      </c>
      <c r="D64" s="23">
        <v>2554405</v>
      </c>
      <c r="E64" s="23">
        <f>D64-C64</f>
        <v>362321</v>
      </c>
      <c r="F64" s="24">
        <f>IF(C64=0,0,E64/C64)</f>
        <v>0.1652860930511787</v>
      </c>
    </row>
    <row r="65" spans="1:6" ht="24" customHeight="1" x14ac:dyDescent="0.25">
      <c r="A65" s="25"/>
      <c r="B65" s="26" t="s">
        <v>61</v>
      </c>
      <c r="C65" s="27">
        <f>SUM(C61:C64)</f>
        <v>37977787</v>
      </c>
      <c r="D65" s="27">
        <f>SUM(D61:D64)</f>
        <v>42572888</v>
      </c>
      <c r="E65" s="27">
        <f>D65-C65</f>
        <v>4595101</v>
      </c>
      <c r="F65" s="28">
        <f>IF(C65=0,0,E65/C65)</f>
        <v>0.12099443814353901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41711965</v>
      </c>
      <c r="D70" s="23">
        <v>39188881</v>
      </c>
      <c r="E70" s="23">
        <f>D70-C70</f>
        <v>-2523084</v>
      </c>
      <c r="F70" s="24">
        <f>IF(C70=0,0,E70/C70)</f>
        <v>-6.0488255588054887E-2</v>
      </c>
    </row>
    <row r="71" spans="1:6" ht="24" customHeight="1" x14ac:dyDescent="0.2">
      <c r="A71" s="21">
        <v>2</v>
      </c>
      <c r="B71" s="22" t="s">
        <v>65</v>
      </c>
      <c r="C71" s="23">
        <v>2924647</v>
      </c>
      <c r="D71" s="23">
        <v>2980453</v>
      </c>
      <c r="E71" s="23">
        <f>D71-C71</f>
        <v>55806</v>
      </c>
      <c r="F71" s="24">
        <f>IF(C71=0,0,E71/C71)</f>
        <v>1.9081277159260588E-2</v>
      </c>
    </row>
    <row r="72" spans="1:6" ht="24" customHeight="1" x14ac:dyDescent="0.2">
      <c r="A72" s="21">
        <v>3</v>
      </c>
      <c r="B72" s="22" t="s">
        <v>66</v>
      </c>
      <c r="C72" s="23">
        <v>15558390</v>
      </c>
      <c r="D72" s="23">
        <v>16372250</v>
      </c>
      <c r="E72" s="23">
        <f>D72-C72</f>
        <v>813860</v>
      </c>
      <c r="F72" s="24">
        <f>IF(C72=0,0,E72/C72)</f>
        <v>5.2310039792035037E-2</v>
      </c>
    </row>
    <row r="73" spans="1:6" ht="24" customHeight="1" x14ac:dyDescent="0.25">
      <c r="A73" s="21"/>
      <c r="B73" s="26" t="s">
        <v>67</v>
      </c>
      <c r="C73" s="27">
        <f>SUM(C70:C72)</f>
        <v>60195002</v>
      </c>
      <c r="D73" s="27">
        <f>SUM(D70:D72)</f>
        <v>58541584</v>
      </c>
      <c r="E73" s="27">
        <f>D73-C73</f>
        <v>-1653418</v>
      </c>
      <c r="F73" s="28">
        <f>IF(C73=0,0,E73/C73)</f>
        <v>-2.7467695739922061E-2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114395669</v>
      </c>
      <c r="D75" s="27">
        <f>D56+D65+D67+D73</f>
        <v>117679059</v>
      </c>
      <c r="E75" s="27">
        <f>D75-C75</f>
        <v>3283390</v>
      </c>
      <c r="F75" s="28">
        <f>IF(C75=0,0,E75/C75)</f>
        <v>2.8702048151840433E-2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FILING&amp;RTHE CHARLOTTE HUNGERFORD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183421886</v>
      </c>
      <c r="D12" s="51">
        <v>188869807</v>
      </c>
      <c r="E12" s="51">
        <f t="shared" ref="E12:E19" si="0">D12-C12</f>
        <v>5447921</v>
      </c>
      <c r="F12" s="70">
        <f t="shared" ref="F12:F19" si="1">IF(C12=0,0,E12/C12)</f>
        <v>2.9701586429004442E-2</v>
      </c>
    </row>
    <row r="13" spans="1:8" ht="23.1" customHeight="1" x14ac:dyDescent="0.2">
      <c r="A13" s="25">
        <v>2</v>
      </c>
      <c r="B13" s="48" t="s">
        <v>72</v>
      </c>
      <c r="C13" s="51">
        <v>84117826</v>
      </c>
      <c r="D13" s="51">
        <v>83689827</v>
      </c>
      <c r="E13" s="51">
        <f t="shared" si="0"/>
        <v>-427999</v>
      </c>
      <c r="F13" s="70">
        <f t="shared" si="1"/>
        <v>-5.0880891762466619E-3</v>
      </c>
    </row>
    <row r="14" spans="1:8" ht="23.1" customHeight="1" x14ac:dyDescent="0.2">
      <c r="A14" s="25">
        <v>3</v>
      </c>
      <c r="B14" s="48" t="s">
        <v>73</v>
      </c>
      <c r="C14" s="51">
        <v>1438204</v>
      </c>
      <c r="D14" s="51">
        <v>1421695</v>
      </c>
      <c r="E14" s="51">
        <f t="shared" si="0"/>
        <v>-16509</v>
      </c>
      <c r="F14" s="70">
        <f t="shared" si="1"/>
        <v>-1.1478900072590536E-2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97865856</v>
      </c>
      <c r="D16" s="27">
        <f>D12-D13-D14-D15</f>
        <v>103758285</v>
      </c>
      <c r="E16" s="27">
        <f t="shared" si="0"/>
        <v>5892429</v>
      </c>
      <c r="F16" s="28">
        <f t="shared" si="1"/>
        <v>6.0209241923965803E-2</v>
      </c>
    </row>
    <row r="17" spans="1:7" ht="23.1" customHeight="1" x14ac:dyDescent="0.2">
      <c r="A17" s="25">
        <v>5</v>
      </c>
      <c r="B17" s="48" t="s">
        <v>76</v>
      </c>
      <c r="C17" s="51">
        <v>5612083</v>
      </c>
      <c r="D17" s="51">
        <v>5283033</v>
      </c>
      <c r="E17" s="51">
        <f t="shared" si="0"/>
        <v>-329050</v>
      </c>
      <c r="F17" s="70">
        <f t="shared" si="1"/>
        <v>-5.8632418658098963E-2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103477939</v>
      </c>
      <c r="D19" s="27">
        <f>SUM(D16:D18)</f>
        <v>109041318</v>
      </c>
      <c r="E19" s="27">
        <f t="shared" si="0"/>
        <v>5563379</v>
      </c>
      <c r="F19" s="28">
        <f t="shared" si="1"/>
        <v>5.3763913871535458E-2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48180018</v>
      </c>
      <c r="D22" s="51">
        <v>49259969</v>
      </c>
      <c r="E22" s="51">
        <f t="shared" ref="E22:E31" si="2">D22-C22</f>
        <v>1079951</v>
      </c>
      <c r="F22" s="70">
        <f t="shared" ref="F22:F31" si="3">IF(C22=0,0,E22/C22)</f>
        <v>2.2414914830459383E-2</v>
      </c>
    </row>
    <row r="23" spans="1:7" ht="23.1" customHeight="1" x14ac:dyDescent="0.2">
      <c r="A23" s="25">
        <v>2</v>
      </c>
      <c r="B23" s="48" t="s">
        <v>81</v>
      </c>
      <c r="C23" s="51">
        <v>12887310</v>
      </c>
      <c r="D23" s="51">
        <v>15643996</v>
      </c>
      <c r="E23" s="51">
        <f t="shared" si="2"/>
        <v>2756686</v>
      </c>
      <c r="F23" s="70">
        <f t="shared" si="3"/>
        <v>0.21390701395403697</v>
      </c>
    </row>
    <row r="24" spans="1:7" ht="23.1" customHeight="1" x14ac:dyDescent="0.2">
      <c r="A24" s="25">
        <v>3</v>
      </c>
      <c r="B24" s="48" t="s">
        <v>82</v>
      </c>
      <c r="C24" s="51">
        <v>900019</v>
      </c>
      <c r="D24" s="51">
        <v>1154344</v>
      </c>
      <c r="E24" s="51">
        <f t="shared" si="2"/>
        <v>254325</v>
      </c>
      <c r="F24" s="70">
        <f t="shared" si="3"/>
        <v>0.28257736781112397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11988735</v>
      </c>
      <c r="D25" s="51">
        <v>12766918</v>
      </c>
      <c r="E25" s="51">
        <f t="shared" si="2"/>
        <v>778183</v>
      </c>
      <c r="F25" s="70">
        <f t="shared" si="3"/>
        <v>6.4909517142550902E-2</v>
      </c>
    </row>
    <row r="26" spans="1:7" ht="23.1" customHeight="1" x14ac:dyDescent="0.2">
      <c r="A26" s="25">
        <v>5</v>
      </c>
      <c r="B26" s="48" t="s">
        <v>84</v>
      </c>
      <c r="C26" s="51">
        <v>6201756</v>
      </c>
      <c r="D26" s="51">
        <v>6177041</v>
      </c>
      <c r="E26" s="51">
        <f t="shared" si="2"/>
        <v>-24715</v>
      </c>
      <c r="F26" s="70">
        <f t="shared" si="3"/>
        <v>-3.9851616219664238E-3</v>
      </c>
    </row>
    <row r="27" spans="1:7" ht="23.1" customHeight="1" x14ac:dyDescent="0.2">
      <c r="A27" s="25">
        <v>6</v>
      </c>
      <c r="B27" s="48" t="s">
        <v>85</v>
      </c>
      <c r="C27" s="51">
        <v>2247042</v>
      </c>
      <c r="D27" s="51">
        <v>2413649</v>
      </c>
      <c r="E27" s="51">
        <f t="shared" si="2"/>
        <v>166607</v>
      </c>
      <c r="F27" s="70">
        <f t="shared" si="3"/>
        <v>7.4145031557042551E-2</v>
      </c>
    </row>
    <row r="28" spans="1:7" ht="23.1" customHeight="1" x14ac:dyDescent="0.2">
      <c r="A28" s="25">
        <v>7</v>
      </c>
      <c r="B28" s="48" t="s">
        <v>86</v>
      </c>
      <c r="C28" s="51">
        <v>563756</v>
      </c>
      <c r="D28" s="51">
        <v>374299</v>
      </c>
      <c r="E28" s="51">
        <f t="shared" si="2"/>
        <v>-189457</v>
      </c>
      <c r="F28" s="70">
        <f t="shared" si="3"/>
        <v>-0.33606205521537685</v>
      </c>
    </row>
    <row r="29" spans="1:7" ht="23.1" customHeight="1" x14ac:dyDescent="0.2">
      <c r="A29" s="25">
        <v>8</v>
      </c>
      <c r="B29" s="48" t="s">
        <v>87</v>
      </c>
      <c r="C29" s="51">
        <v>1515372</v>
      </c>
      <c r="D29" s="51">
        <v>1579190</v>
      </c>
      <c r="E29" s="51">
        <f t="shared" si="2"/>
        <v>63818</v>
      </c>
      <c r="F29" s="70">
        <f t="shared" si="3"/>
        <v>4.2113751606866166E-2</v>
      </c>
    </row>
    <row r="30" spans="1:7" ht="23.1" customHeight="1" x14ac:dyDescent="0.2">
      <c r="A30" s="25">
        <v>9</v>
      </c>
      <c r="B30" s="48" t="s">
        <v>88</v>
      </c>
      <c r="C30" s="51">
        <v>19026780</v>
      </c>
      <c r="D30" s="51">
        <v>20455779</v>
      </c>
      <c r="E30" s="51">
        <f t="shared" si="2"/>
        <v>1428999</v>
      </c>
      <c r="F30" s="70">
        <f t="shared" si="3"/>
        <v>7.5104615704811847E-2</v>
      </c>
    </row>
    <row r="31" spans="1:7" ht="23.1" customHeight="1" x14ac:dyDescent="0.25">
      <c r="A31" s="29"/>
      <c r="B31" s="71" t="s">
        <v>89</v>
      </c>
      <c r="C31" s="27">
        <f>SUM(C22:C30)</f>
        <v>103510788</v>
      </c>
      <c r="D31" s="27">
        <f>SUM(D22:D30)</f>
        <v>109825185</v>
      </c>
      <c r="E31" s="27">
        <f t="shared" si="2"/>
        <v>6314397</v>
      </c>
      <c r="F31" s="28">
        <f t="shared" si="3"/>
        <v>6.1002308281142635E-2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-32849</v>
      </c>
      <c r="D33" s="27">
        <f>+D19-D31</f>
        <v>-783867</v>
      </c>
      <c r="E33" s="27">
        <f>D33-C33</f>
        <v>-751018</v>
      </c>
      <c r="F33" s="28">
        <f>IF(C33=0,0,E33/C33)</f>
        <v>22.862735547505252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1996464</v>
      </c>
      <c r="E36" s="51">
        <f>D36-C36</f>
        <v>1996464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188183</v>
      </c>
      <c r="D37" s="51">
        <v>127644</v>
      </c>
      <c r="E37" s="51">
        <f>D37-C37</f>
        <v>-60539</v>
      </c>
      <c r="F37" s="70">
        <f>IF(C37=0,0,E37/C37)</f>
        <v>-0.32170281056205929</v>
      </c>
    </row>
    <row r="38" spans="1:6" ht="23.1" customHeight="1" x14ac:dyDescent="0.2">
      <c r="A38" s="44">
        <v>3</v>
      </c>
      <c r="B38" s="48" t="s">
        <v>94</v>
      </c>
      <c r="C38" s="51">
        <v>-43176</v>
      </c>
      <c r="D38" s="51">
        <v>119337</v>
      </c>
      <c r="E38" s="51">
        <f>D38-C38</f>
        <v>162513</v>
      </c>
      <c r="F38" s="70">
        <f>IF(C38=0,0,E38/C38)</f>
        <v>-3.7639660922734852</v>
      </c>
    </row>
    <row r="39" spans="1:6" ht="23.1" customHeight="1" x14ac:dyDescent="0.25">
      <c r="A39" s="20"/>
      <c r="B39" s="71" t="s">
        <v>95</v>
      </c>
      <c r="C39" s="27">
        <f>SUM(C36:C38)</f>
        <v>145007</v>
      </c>
      <c r="D39" s="27">
        <f>SUM(D36:D38)</f>
        <v>2243445</v>
      </c>
      <c r="E39" s="27">
        <f>D39-C39</f>
        <v>2098438</v>
      </c>
      <c r="F39" s="28">
        <f>IF(C39=0,0,E39/C39)</f>
        <v>14.47128759301275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112158</v>
      </c>
      <c r="D41" s="27">
        <f>D33+D39</f>
        <v>1459578</v>
      </c>
      <c r="E41" s="27">
        <f>D41-C41</f>
        <v>1347420</v>
      </c>
      <c r="F41" s="28">
        <f>IF(C41=0,0,E41/C41)</f>
        <v>12.013587974107955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112158</v>
      </c>
      <c r="D48" s="27">
        <f>D41+D46</f>
        <v>1459578</v>
      </c>
      <c r="E48" s="27">
        <f>D48-C48</f>
        <v>1347420</v>
      </c>
      <c r="F48" s="28">
        <f>IF(C48=0,0,E48/C48)</f>
        <v>12.013587974107955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FILING&amp;R&amp;8THE CHARLOTTE HUNGERFORD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2011-08-08T12:42:37Z</cp:lastPrinted>
  <dcterms:created xsi:type="dcterms:W3CDTF">2006-08-03T13:49:12Z</dcterms:created>
  <dcterms:modified xsi:type="dcterms:W3CDTF">2011-08-08T12:42:54Z</dcterms:modified>
</cp:coreProperties>
</file>