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Report485!$A$11:$F$32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 s="1"/>
  <c r="D96" i="22"/>
  <c r="D98" i="22"/>
  <c r="C96" i="22"/>
  <c r="C98" i="22" s="1"/>
  <c r="E92" i="22"/>
  <c r="D92" i="22"/>
  <c r="C92" i="22"/>
  <c r="E91" i="22"/>
  <c r="E93" i="22"/>
  <c r="D91" i="22"/>
  <c r="D93" i="22"/>
  <c r="C91" i="22"/>
  <c r="C93" i="22" s="1"/>
  <c r="E87" i="22"/>
  <c r="D87" i="22"/>
  <c r="C87" i="22"/>
  <c r="E86" i="22"/>
  <c r="E88" i="22"/>
  <c r="D86" i="22"/>
  <c r="C86" i="22"/>
  <c r="C88" i="22" s="1"/>
  <c r="E83" i="22"/>
  <c r="E101" i="22" s="1"/>
  <c r="D83" i="22"/>
  <c r="C83" i="22"/>
  <c r="C101" i="22" s="1"/>
  <c r="E76" i="22"/>
  <c r="D76" i="22"/>
  <c r="C76" i="22"/>
  <c r="E75" i="22"/>
  <c r="E77" i="22"/>
  <c r="D75" i="22"/>
  <c r="D77" i="22" s="1"/>
  <c r="C75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D34" i="22"/>
  <c r="E28" i="22"/>
  <c r="D28" i="22"/>
  <c r="C28" i="22"/>
  <c r="E27" i="22"/>
  <c r="D27" i="22"/>
  <c r="C27" i="22"/>
  <c r="D23" i="22"/>
  <c r="D54" i="22"/>
  <c r="E21" i="22"/>
  <c r="D21" i="22"/>
  <c r="C21" i="22"/>
  <c r="E12" i="22"/>
  <c r="E33" i="22" s="1"/>
  <c r="D12" i="22"/>
  <c r="D33" i="22"/>
  <c r="C12" i="22"/>
  <c r="C33" i="22" s="1"/>
  <c r="D21" i="21"/>
  <c r="C21" i="21"/>
  <c r="E21" i="21" s="1"/>
  <c r="D19" i="21"/>
  <c r="F19" i="21"/>
  <c r="C19" i="21"/>
  <c r="E19" i="21" s="1"/>
  <c r="F17" i="21"/>
  <c r="E17" i="21"/>
  <c r="E15" i="21"/>
  <c r="F15" i="21" s="1"/>
  <c r="D45" i="20"/>
  <c r="C45" i="20"/>
  <c r="E45" i="20" s="1"/>
  <c r="F45" i="20" s="1"/>
  <c r="D44" i="20"/>
  <c r="E44" i="20" s="1"/>
  <c r="E46" i="20" s="1"/>
  <c r="C44" i="20"/>
  <c r="D43" i="20"/>
  <c r="C43" i="20"/>
  <c r="C46" i="20"/>
  <c r="D36" i="20"/>
  <c r="D40" i="20" s="1"/>
  <c r="E40" i="20" s="1"/>
  <c r="C36" i="20"/>
  <c r="C40" i="20"/>
  <c r="E35" i="20"/>
  <c r="F35" i="20" s="1"/>
  <c r="E34" i="20"/>
  <c r="F33" i="20"/>
  <c r="E33" i="20"/>
  <c r="E30" i="20"/>
  <c r="F30" i="20" s="1"/>
  <c r="E29" i="20"/>
  <c r="F29" i="20" s="1"/>
  <c r="F28" i="20"/>
  <c r="E28" i="20"/>
  <c r="E27" i="20"/>
  <c r="F27" i="20" s="1"/>
  <c r="D25" i="20"/>
  <c r="D39" i="20"/>
  <c r="C25" i="20"/>
  <c r="C39" i="20"/>
  <c r="F24" i="20"/>
  <c r="E24" i="20"/>
  <c r="E23" i="20"/>
  <c r="F23" i="20" s="1"/>
  <c r="E22" i="20"/>
  <c r="D19" i="20"/>
  <c r="D20" i="20" s="1"/>
  <c r="C19" i="20"/>
  <c r="C20" i="20" s="1"/>
  <c r="F18" i="20"/>
  <c r="E18" i="20"/>
  <c r="D16" i="20"/>
  <c r="E16" i="20" s="1"/>
  <c r="C16" i="20"/>
  <c r="F16" i="20" s="1"/>
  <c r="F15" i="20"/>
  <c r="E15" i="20"/>
  <c r="E13" i="20"/>
  <c r="F13" i="20" s="1"/>
  <c r="F12" i="20"/>
  <c r="E12" i="20"/>
  <c r="C115" i="19"/>
  <c r="C105" i="19"/>
  <c r="C137" i="19"/>
  <c r="C139" i="19" s="1"/>
  <c r="C143" i="19" s="1"/>
  <c r="C96" i="19"/>
  <c r="C95" i="19"/>
  <c r="C89" i="19"/>
  <c r="C88" i="19"/>
  <c r="C83" i="19"/>
  <c r="C77" i="19"/>
  <c r="C78" i="19" s="1"/>
  <c r="C63" i="19"/>
  <c r="C59" i="19"/>
  <c r="C48" i="19"/>
  <c r="C49" i="19" s="1"/>
  <c r="C36" i="19"/>
  <c r="C32" i="19"/>
  <c r="C33" i="19" s="1"/>
  <c r="C21" i="19"/>
  <c r="C37" i="19" s="1"/>
  <c r="E328" i="18"/>
  <c r="E325" i="18"/>
  <c r="D324" i="18"/>
  <c r="D326" i="18" s="1"/>
  <c r="D330" i="18" s="1"/>
  <c r="C324" i="18"/>
  <c r="C326" i="18" s="1"/>
  <c r="C330" i="18"/>
  <c r="E318" i="18"/>
  <c r="E315" i="18"/>
  <c r="D314" i="18"/>
  <c r="D316" i="18" s="1"/>
  <c r="D320" i="18" s="1"/>
  <c r="E320" i="18" s="1"/>
  <c r="C314" i="18"/>
  <c r="C316" i="18" s="1"/>
  <c r="C320" i="18" s="1"/>
  <c r="E308" i="18"/>
  <c r="E305" i="18"/>
  <c r="D301" i="18"/>
  <c r="C301" i="18"/>
  <c r="D293" i="18"/>
  <c r="E293" i="18" s="1"/>
  <c r="C293" i="18"/>
  <c r="D292" i="18"/>
  <c r="C292" i="18"/>
  <c r="E292" i="18"/>
  <c r="D291" i="18"/>
  <c r="E291" i="18" s="1"/>
  <c r="C291" i="18"/>
  <c r="D290" i="18"/>
  <c r="C290" i="18"/>
  <c r="E290" i="18"/>
  <c r="D288" i="18"/>
  <c r="C288" i="18"/>
  <c r="E288" i="18"/>
  <c r="D287" i="18"/>
  <c r="E287" i="18" s="1"/>
  <c r="C287" i="18"/>
  <c r="D282" i="18"/>
  <c r="E282" i="18" s="1"/>
  <c r="C282" i="18"/>
  <c r="D281" i="18"/>
  <c r="E281" i="18"/>
  <c r="C281" i="18"/>
  <c r="D280" i="18"/>
  <c r="E280" i="18" s="1"/>
  <c r="C280" i="18"/>
  <c r="D279" i="18"/>
  <c r="E279" i="18" s="1"/>
  <c r="C279" i="18"/>
  <c r="D278" i="18"/>
  <c r="C278" i="18"/>
  <c r="D277" i="18"/>
  <c r="E277" i="18" s="1"/>
  <c r="C277" i="18"/>
  <c r="D276" i="18"/>
  <c r="C276" i="18"/>
  <c r="E276" i="18" s="1"/>
  <c r="E270" i="18"/>
  <c r="D265" i="18"/>
  <c r="D302" i="18"/>
  <c r="C265" i="18"/>
  <c r="C302" i="18"/>
  <c r="D262" i="18"/>
  <c r="C262" i="18"/>
  <c r="E262" i="18" s="1"/>
  <c r="D251" i="18"/>
  <c r="E251" i="18" s="1"/>
  <c r="C251" i="18"/>
  <c r="D233" i="18"/>
  <c r="C233" i="18"/>
  <c r="E233" i="18" s="1"/>
  <c r="D232" i="18"/>
  <c r="E232" i="18"/>
  <c r="C232" i="18"/>
  <c r="D231" i="18"/>
  <c r="E231" i="18" s="1"/>
  <c r="C231" i="18"/>
  <c r="D230" i="18"/>
  <c r="E230" i="18"/>
  <c r="C230" i="18"/>
  <c r="D228" i="18"/>
  <c r="E228" i="18"/>
  <c r="C228" i="18"/>
  <c r="D227" i="18"/>
  <c r="E227" i="18" s="1"/>
  <c r="C227" i="18"/>
  <c r="D221" i="18"/>
  <c r="C221" i="18"/>
  <c r="C245" i="18"/>
  <c r="E245" i="18" s="1"/>
  <c r="D220" i="18"/>
  <c r="D244" i="18"/>
  <c r="E244" i="18" s="1"/>
  <c r="C220" i="18"/>
  <c r="C244" i="18" s="1"/>
  <c r="D219" i="18"/>
  <c r="C219" i="18"/>
  <c r="C243" i="18" s="1"/>
  <c r="D218" i="18"/>
  <c r="C218" i="18"/>
  <c r="D216" i="18"/>
  <c r="D240" i="18"/>
  <c r="C216" i="18"/>
  <c r="C240" i="18"/>
  <c r="D215" i="18"/>
  <c r="C215" i="18"/>
  <c r="C239" i="18" s="1"/>
  <c r="E209" i="18"/>
  <c r="E208" i="18"/>
  <c r="E207" i="18"/>
  <c r="E206" i="18"/>
  <c r="D205" i="18"/>
  <c r="C205" i="18"/>
  <c r="C210" i="18" s="1"/>
  <c r="E204" i="18"/>
  <c r="E203" i="18"/>
  <c r="E197" i="18"/>
  <c r="E196" i="18"/>
  <c r="D195" i="18"/>
  <c r="C195" i="18"/>
  <c r="C260" i="18" s="1"/>
  <c r="E194" i="18"/>
  <c r="E193" i="18"/>
  <c r="E192" i="18"/>
  <c r="E191" i="18"/>
  <c r="E190" i="18"/>
  <c r="D188" i="18"/>
  <c r="C188" i="18"/>
  <c r="E186" i="18"/>
  <c r="E185" i="18"/>
  <c r="D179" i="18"/>
  <c r="C179" i="18"/>
  <c r="E179" i="18" s="1"/>
  <c r="D178" i="18"/>
  <c r="E178" i="18" s="1"/>
  <c r="C178" i="18"/>
  <c r="D177" i="18"/>
  <c r="E177" i="18"/>
  <c r="C177" i="18"/>
  <c r="D176" i="18"/>
  <c r="C176" i="18"/>
  <c r="E176" i="18"/>
  <c r="D174" i="18"/>
  <c r="C174" i="18"/>
  <c r="E174" i="18"/>
  <c r="D173" i="18"/>
  <c r="E173" i="18" s="1"/>
  <c r="C173" i="18"/>
  <c r="D167" i="18"/>
  <c r="C167" i="18"/>
  <c r="D166" i="18"/>
  <c r="C166" i="18"/>
  <c r="E166" i="18" s="1"/>
  <c r="D165" i="18"/>
  <c r="C165" i="18"/>
  <c r="E165" i="18" s="1"/>
  <c r="D164" i="18"/>
  <c r="E164" i="18" s="1"/>
  <c r="C164" i="18"/>
  <c r="D162" i="18"/>
  <c r="E162" i="18"/>
  <c r="C162" i="18"/>
  <c r="D161" i="18"/>
  <c r="C161" i="18"/>
  <c r="E161" i="18" s="1"/>
  <c r="E155" i="18"/>
  <c r="E154" i="18"/>
  <c r="E153" i="18"/>
  <c r="E152" i="18"/>
  <c r="D151" i="18"/>
  <c r="D156" i="18"/>
  <c r="C151" i="18"/>
  <c r="C156" i="18" s="1"/>
  <c r="E150" i="18"/>
  <c r="E149" i="18"/>
  <c r="D144" i="18"/>
  <c r="E143" i="18"/>
  <c r="E142" i="18"/>
  <c r="E141" i="18"/>
  <c r="E140" i="18"/>
  <c r="D139" i="18"/>
  <c r="C139" i="18"/>
  <c r="E138" i="18"/>
  <c r="E137" i="18"/>
  <c r="D75" i="18"/>
  <c r="E75" i="18" s="1"/>
  <c r="C75" i="18"/>
  <c r="D74" i="18"/>
  <c r="C74" i="18"/>
  <c r="E74" i="18"/>
  <c r="D73" i="18"/>
  <c r="E73" i="18" s="1"/>
  <c r="C73" i="18"/>
  <c r="D72" i="18"/>
  <c r="C72" i="18"/>
  <c r="E72" i="18"/>
  <c r="D70" i="18"/>
  <c r="C70" i="18"/>
  <c r="D69" i="18"/>
  <c r="E69" i="18" s="1"/>
  <c r="C69" i="18"/>
  <c r="D65" i="18"/>
  <c r="E64" i="18"/>
  <c r="E63" i="18"/>
  <c r="E62" i="18"/>
  <c r="E61" i="18"/>
  <c r="D60" i="18"/>
  <c r="D289" i="18" s="1"/>
  <c r="C60" i="18"/>
  <c r="E59" i="18"/>
  <c r="E58" i="18"/>
  <c r="D54" i="18"/>
  <c r="C54" i="18"/>
  <c r="E53" i="18"/>
  <c r="E52" i="18"/>
  <c r="E51" i="18"/>
  <c r="E50" i="18"/>
  <c r="E49" i="18"/>
  <c r="E48" i="18"/>
  <c r="E47" i="18"/>
  <c r="D42" i="18"/>
  <c r="C42" i="18"/>
  <c r="E42" i="18"/>
  <c r="D41" i="18"/>
  <c r="C41" i="18"/>
  <c r="D40" i="18"/>
  <c r="E40" i="18" s="1"/>
  <c r="C40" i="18"/>
  <c r="D39" i="18"/>
  <c r="C39" i="18"/>
  <c r="E39" i="18" s="1"/>
  <c r="D38" i="18"/>
  <c r="C38" i="18"/>
  <c r="C43" i="18" s="1"/>
  <c r="D37" i="18"/>
  <c r="D43" i="18" s="1"/>
  <c r="C37" i="18"/>
  <c r="D36" i="18"/>
  <c r="D44" i="18" s="1"/>
  <c r="C36" i="18"/>
  <c r="C44" i="18" s="1"/>
  <c r="D33" i="18"/>
  <c r="D32" i="18"/>
  <c r="C32" i="18"/>
  <c r="C33" i="18"/>
  <c r="E31" i="18"/>
  <c r="E30" i="18"/>
  <c r="E29" i="18"/>
  <c r="E28" i="18"/>
  <c r="E27" i="18"/>
  <c r="E26" i="18"/>
  <c r="E25" i="18"/>
  <c r="D21" i="18"/>
  <c r="C21" i="18"/>
  <c r="E20" i="18"/>
  <c r="E19" i="18"/>
  <c r="E18" i="18"/>
  <c r="E17" i="18"/>
  <c r="E16" i="18"/>
  <c r="E15" i="18"/>
  <c r="E14" i="18"/>
  <c r="F335" i="17"/>
  <c r="E335" i="17"/>
  <c r="F334" i="17"/>
  <c r="E334" i="17"/>
  <c r="E333" i="17"/>
  <c r="F333" i="17" s="1"/>
  <c r="F332" i="17"/>
  <c r="E332" i="17"/>
  <c r="E331" i="17"/>
  <c r="F331" i="17" s="1"/>
  <c r="F330" i="17"/>
  <c r="E330" i="17"/>
  <c r="E329" i="17"/>
  <c r="F329" i="17" s="1"/>
  <c r="F316" i="17"/>
  <c r="E316" i="17"/>
  <c r="F311" i="17"/>
  <c r="D311" i="17"/>
  <c r="E311" i="17" s="1"/>
  <c r="C311" i="17"/>
  <c r="E308" i="17"/>
  <c r="F308" i="17"/>
  <c r="D307" i="17"/>
  <c r="C307" i="17"/>
  <c r="D299" i="17"/>
  <c r="C299" i="17"/>
  <c r="D298" i="17"/>
  <c r="C298" i="17"/>
  <c r="D297" i="17"/>
  <c r="C297" i="17"/>
  <c r="D296" i="17"/>
  <c r="C296" i="17"/>
  <c r="D295" i="17"/>
  <c r="C295" i="17"/>
  <c r="D294" i="17"/>
  <c r="C294" i="17"/>
  <c r="D250" i="17"/>
  <c r="D306" i="17" s="1"/>
  <c r="E306" i="17" s="1"/>
  <c r="C250" i="17"/>
  <c r="C306" i="17" s="1"/>
  <c r="E249" i="17"/>
  <c r="F249" i="17"/>
  <c r="E248" i="17"/>
  <c r="F248" i="17"/>
  <c r="F245" i="17"/>
  <c r="E245" i="17"/>
  <c r="E244" i="17"/>
  <c r="F244" i="17" s="1"/>
  <c r="E243" i="17"/>
  <c r="F243" i="17"/>
  <c r="D238" i="17"/>
  <c r="C238" i="17"/>
  <c r="D237" i="17"/>
  <c r="C237" i="17"/>
  <c r="E234" i="17"/>
  <c r="F234" i="17" s="1"/>
  <c r="E233" i="17"/>
  <c r="F233" i="17" s="1"/>
  <c r="D230" i="17"/>
  <c r="C230" i="17"/>
  <c r="D229" i="17"/>
  <c r="C229" i="17"/>
  <c r="E228" i="17"/>
  <c r="F228" i="17" s="1"/>
  <c r="D226" i="17"/>
  <c r="D227" i="17"/>
  <c r="E227" i="17" s="1"/>
  <c r="F227" i="17" s="1"/>
  <c r="C226" i="17"/>
  <c r="C227" i="17" s="1"/>
  <c r="E225" i="17"/>
  <c r="F225" i="17" s="1"/>
  <c r="E224" i="17"/>
  <c r="F224" i="17" s="1"/>
  <c r="D223" i="17"/>
  <c r="E223" i="17" s="1"/>
  <c r="C223" i="17"/>
  <c r="E222" i="17"/>
  <c r="F222" i="17" s="1"/>
  <c r="E221" i="17"/>
  <c r="F221" i="17"/>
  <c r="D204" i="17"/>
  <c r="C204" i="17"/>
  <c r="D203" i="17"/>
  <c r="C203" i="17"/>
  <c r="D198" i="17"/>
  <c r="C198" i="17"/>
  <c r="C199" i="17" s="1"/>
  <c r="D191" i="17"/>
  <c r="D280" i="17" s="1"/>
  <c r="C191" i="17"/>
  <c r="D189" i="17"/>
  <c r="D278" i="17" s="1"/>
  <c r="C189" i="17"/>
  <c r="D188" i="17"/>
  <c r="D277" i="17" s="1"/>
  <c r="C188" i="17"/>
  <c r="D180" i="17"/>
  <c r="E180" i="17"/>
  <c r="C180" i="17"/>
  <c r="F180" i="17" s="1"/>
  <c r="F179" i="17"/>
  <c r="D179" i="17"/>
  <c r="C179" i="17"/>
  <c r="C181" i="17"/>
  <c r="F181" i="17" s="1"/>
  <c r="F171" i="17"/>
  <c r="D171" i="17"/>
  <c r="D172" i="17"/>
  <c r="C171" i="17"/>
  <c r="C172" i="17" s="1"/>
  <c r="D170" i="17"/>
  <c r="E170" i="17" s="1"/>
  <c r="C170" i="17"/>
  <c r="F170" i="17" s="1"/>
  <c r="F169" i="17"/>
  <c r="E169" i="17"/>
  <c r="F168" i="17"/>
  <c r="E168" i="17"/>
  <c r="D165" i="17"/>
  <c r="E165" i="17" s="1"/>
  <c r="C165" i="17"/>
  <c r="F165" i="17" s="1"/>
  <c r="F164" i="17"/>
  <c r="D164" i="17"/>
  <c r="E164" i="17" s="1"/>
  <c r="C164" i="17"/>
  <c r="F163" i="17"/>
  <c r="E163" i="17"/>
  <c r="D158" i="17"/>
  <c r="D159" i="17"/>
  <c r="C158" i="17"/>
  <c r="C159" i="17" s="1"/>
  <c r="F157" i="17"/>
  <c r="E157" i="17"/>
  <c r="F156" i="17"/>
  <c r="E156" i="17"/>
  <c r="F155" i="17"/>
  <c r="D155" i="17"/>
  <c r="E155" i="17" s="1"/>
  <c r="C155" i="17"/>
  <c r="F154" i="17"/>
  <c r="E154" i="17"/>
  <c r="F153" i="17"/>
  <c r="E153" i="17"/>
  <c r="D145" i="17"/>
  <c r="E145" i="17" s="1"/>
  <c r="C145" i="17"/>
  <c r="F145" i="17" s="1"/>
  <c r="D144" i="17"/>
  <c r="D146" i="17" s="1"/>
  <c r="E146" i="17" s="1"/>
  <c r="C144" i="17"/>
  <c r="C146" i="17"/>
  <c r="D136" i="17"/>
  <c r="C136" i="17"/>
  <c r="C137" i="17"/>
  <c r="D135" i="17"/>
  <c r="C135" i="17"/>
  <c r="E134" i="17"/>
  <c r="F134" i="17" s="1"/>
  <c r="E133" i="17"/>
  <c r="F133" i="17"/>
  <c r="D130" i="17"/>
  <c r="E130" i="17" s="1"/>
  <c r="F130" i="17" s="1"/>
  <c r="C130" i="17"/>
  <c r="D129" i="17"/>
  <c r="E129" i="17" s="1"/>
  <c r="C129" i="17"/>
  <c r="F129" i="17" s="1"/>
  <c r="E128" i="17"/>
  <c r="F128" i="17" s="1"/>
  <c r="D123" i="17"/>
  <c r="C123" i="17"/>
  <c r="C193" i="17"/>
  <c r="C282" i="17" s="1"/>
  <c r="E122" i="17"/>
  <c r="F122" i="17" s="1"/>
  <c r="E121" i="17"/>
  <c r="F121" i="17"/>
  <c r="D120" i="17"/>
  <c r="C120" i="17"/>
  <c r="E119" i="17"/>
  <c r="F119" i="17" s="1"/>
  <c r="E118" i="17"/>
  <c r="F118" i="17"/>
  <c r="D110" i="17"/>
  <c r="E110" i="17"/>
  <c r="C110" i="17"/>
  <c r="D109" i="17"/>
  <c r="D111" i="17" s="1"/>
  <c r="C109" i="17"/>
  <c r="D101" i="17"/>
  <c r="D102" i="17"/>
  <c r="C101" i="17"/>
  <c r="C102" i="17" s="1"/>
  <c r="D100" i="17"/>
  <c r="E100" i="17" s="1"/>
  <c r="C100" i="17"/>
  <c r="E99" i="17"/>
  <c r="F99" i="17"/>
  <c r="E98" i="17"/>
  <c r="F98" i="17"/>
  <c r="D95" i="17"/>
  <c r="E95" i="17" s="1"/>
  <c r="C95" i="17"/>
  <c r="D94" i="17"/>
  <c r="E94" i="17"/>
  <c r="F94" i="17" s="1"/>
  <c r="C94" i="17"/>
  <c r="E93" i="17"/>
  <c r="F93" i="17" s="1"/>
  <c r="D88" i="17"/>
  <c r="D89" i="17"/>
  <c r="E89" i="17" s="1"/>
  <c r="C88" i="17"/>
  <c r="C89" i="17"/>
  <c r="E87" i="17"/>
  <c r="F87" i="17" s="1"/>
  <c r="E86" i="17"/>
  <c r="F86" i="17" s="1"/>
  <c r="D85" i="17"/>
  <c r="C85" i="17"/>
  <c r="E84" i="17"/>
  <c r="F84" i="17"/>
  <c r="E83" i="17"/>
  <c r="F83" i="17" s="1"/>
  <c r="D76" i="17"/>
  <c r="D77" i="17"/>
  <c r="C76" i="17"/>
  <c r="C77" i="17"/>
  <c r="E74" i="17"/>
  <c r="F74" i="17" s="1"/>
  <c r="E73" i="17"/>
  <c r="F73" i="17" s="1"/>
  <c r="D67" i="17"/>
  <c r="C67" i="17"/>
  <c r="D66" i="17"/>
  <c r="D68" i="17"/>
  <c r="C66" i="17"/>
  <c r="C68" i="17"/>
  <c r="D59" i="17"/>
  <c r="D60" i="17" s="1"/>
  <c r="C59" i="17"/>
  <c r="C60" i="17"/>
  <c r="C61" i="17" s="1"/>
  <c r="D58" i="17"/>
  <c r="C58" i="17"/>
  <c r="E57" i="17"/>
  <c r="F57" i="17"/>
  <c r="E56" i="17"/>
  <c r="F56" i="17" s="1"/>
  <c r="D53" i="17"/>
  <c r="C53" i="17"/>
  <c r="D52" i="17"/>
  <c r="C52" i="17"/>
  <c r="E52" i="17" s="1"/>
  <c r="E51" i="17"/>
  <c r="F51" i="17" s="1"/>
  <c r="D47" i="17"/>
  <c r="D48" i="17" s="1"/>
  <c r="C47" i="17"/>
  <c r="C48" i="17"/>
  <c r="E46" i="17"/>
  <c r="F46" i="17"/>
  <c r="E45" i="17"/>
  <c r="F45" i="17" s="1"/>
  <c r="D44" i="17"/>
  <c r="C44" i="17"/>
  <c r="E43" i="17"/>
  <c r="F43" i="17"/>
  <c r="E42" i="17"/>
  <c r="F42" i="17"/>
  <c r="D36" i="17"/>
  <c r="E36" i="17" s="1"/>
  <c r="C36" i="17"/>
  <c r="D35" i="17"/>
  <c r="C35" i="17"/>
  <c r="D30" i="17"/>
  <c r="D31" i="17" s="1"/>
  <c r="C30" i="17"/>
  <c r="C31" i="17"/>
  <c r="E31" i="17" s="1"/>
  <c r="D29" i="17"/>
  <c r="C29" i="17"/>
  <c r="E28" i="17"/>
  <c r="F28" i="17"/>
  <c r="E27" i="17"/>
  <c r="F27" i="17" s="1"/>
  <c r="D24" i="17"/>
  <c r="C24" i="17"/>
  <c r="D23" i="17"/>
  <c r="C23" i="17"/>
  <c r="E22" i="17"/>
  <c r="F22" i="17"/>
  <c r="D20" i="17"/>
  <c r="C20" i="17"/>
  <c r="E19" i="17"/>
  <c r="F19" i="17" s="1"/>
  <c r="E18" i="17"/>
  <c r="F18" i="17" s="1"/>
  <c r="D17" i="17"/>
  <c r="C17" i="17"/>
  <c r="E16" i="17"/>
  <c r="F16" i="17" s="1"/>
  <c r="E15" i="17"/>
  <c r="F15" i="17"/>
  <c r="D25" i="16"/>
  <c r="E25" i="16" s="1"/>
  <c r="C25" i="16"/>
  <c r="F24" i="16"/>
  <c r="E24" i="16"/>
  <c r="D21" i="16"/>
  <c r="E21" i="16" s="1"/>
  <c r="F21" i="16" s="1"/>
  <c r="C21" i="16"/>
  <c r="E20" i="16"/>
  <c r="F20" i="16" s="1"/>
  <c r="F19" i="16"/>
  <c r="E19" i="16"/>
  <c r="E18" i="16"/>
  <c r="F18" i="16" s="1"/>
  <c r="D15" i="16"/>
  <c r="E15" i="16" s="1"/>
  <c r="C15" i="16"/>
  <c r="F14" i="16"/>
  <c r="E14" i="16"/>
  <c r="E13" i="16"/>
  <c r="F13" i="16" s="1"/>
  <c r="F12" i="16"/>
  <c r="E12" i="16"/>
  <c r="D107" i="15"/>
  <c r="E107" i="15"/>
  <c r="F107" i="15"/>
  <c r="C107" i="15"/>
  <c r="E106" i="15"/>
  <c r="F106" i="15" s="1"/>
  <c r="F105" i="15"/>
  <c r="E105" i="15"/>
  <c r="E104" i="15"/>
  <c r="F104" i="15" s="1"/>
  <c r="D100" i="15"/>
  <c r="C100" i="15"/>
  <c r="F99" i="15"/>
  <c r="E99" i="15"/>
  <c r="E98" i="15"/>
  <c r="F98" i="15" s="1"/>
  <c r="F97" i="15"/>
  <c r="E97" i="15"/>
  <c r="E96" i="15"/>
  <c r="F96" i="15" s="1"/>
  <c r="F95" i="15"/>
  <c r="E95" i="15"/>
  <c r="D92" i="15"/>
  <c r="E92" i="15"/>
  <c r="F92" i="15"/>
  <c r="C92" i="15"/>
  <c r="F91" i="15"/>
  <c r="E91" i="15"/>
  <c r="F90" i="15"/>
  <c r="E90" i="15"/>
  <c r="F89" i="15"/>
  <c r="E89" i="15"/>
  <c r="F88" i="15"/>
  <c r="E88" i="15"/>
  <c r="E87" i="15"/>
  <c r="F87" i="15" s="1"/>
  <c r="F86" i="15"/>
  <c r="E86" i="15"/>
  <c r="F85" i="15"/>
  <c r="E85" i="15"/>
  <c r="F84" i="15"/>
  <c r="E84" i="15"/>
  <c r="F83" i="15"/>
  <c r="E83" i="15"/>
  <c r="F82" i="15"/>
  <c r="E82" i="15"/>
  <c r="E81" i="15"/>
  <c r="F81" i="15" s="1"/>
  <c r="F80" i="15"/>
  <c r="E80" i="15"/>
  <c r="F79" i="15"/>
  <c r="E79" i="15"/>
  <c r="D75" i="15"/>
  <c r="C75" i="15"/>
  <c r="E74" i="15"/>
  <c r="F74" i="15" s="1"/>
  <c r="F73" i="15"/>
  <c r="E73" i="15"/>
  <c r="E75" i="15"/>
  <c r="F75" i="15" s="1"/>
  <c r="D70" i="15"/>
  <c r="E70" i="15" s="1"/>
  <c r="C70" i="15"/>
  <c r="F70" i="15" s="1"/>
  <c r="F69" i="15"/>
  <c r="E69" i="15"/>
  <c r="E68" i="15"/>
  <c r="F68" i="15" s="1"/>
  <c r="D65" i="15"/>
  <c r="E65" i="15" s="1"/>
  <c r="C65" i="15"/>
  <c r="F64" i="15"/>
  <c r="E64" i="15"/>
  <c r="F63" i="15"/>
  <c r="E63" i="15"/>
  <c r="D60" i="15"/>
  <c r="C60" i="15"/>
  <c r="E59" i="15"/>
  <c r="F59" i="15" s="1"/>
  <c r="F58" i="15"/>
  <c r="E58" i="15"/>
  <c r="E60" i="15"/>
  <c r="F60" i="15"/>
  <c r="D55" i="15"/>
  <c r="E55" i="15" s="1"/>
  <c r="C55" i="15"/>
  <c r="F55" i="15" s="1"/>
  <c r="F54" i="15"/>
  <c r="E54" i="15"/>
  <c r="F53" i="15"/>
  <c r="E53" i="15"/>
  <c r="D50" i="15"/>
  <c r="E50" i="15" s="1"/>
  <c r="C50" i="15"/>
  <c r="F50" i="15" s="1"/>
  <c r="F49" i="15"/>
  <c r="E49" i="15"/>
  <c r="F48" i="15"/>
  <c r="E48" i="15"/>
  <c r="D45" i="15"/>
  <c r="E45" i="15" s="1"/>
  <c r="C45" i="15"/>
  <c r="F44" i="15"/>
  <c r="E44" i="15"/>
  <c r="E43" i="15"/>
  <c r="F43" i="15" s="1"/>
  <c r="D37" i="15"/>
  <c r="E37" i="15" s="1"/>
  <c r="C37" i="15"/>
  <c r="F37" i="15" s="1"/>
  <c r="F36" i="15"/>
  <c r="E36" i="15"/>
  <c r="F35" i="15"/>
  <c r="E35" i="15"/>
  <c r="F34" i="15"/>
  <c r="E34" i="15"/>
  <c r="E33" i="15"/>
  <c r="F33" i="15" s="1"/>
  <c r="D30" i="15"/>
  <c r="E30" i="15" s="1"/>
  <c r="F30" i="15" s="1"/>
  <c r="C30" i="15"/>
  <c r="F29" i="15"/>
  <c r="E29" i="15"/>
  <c r="E28" i="15"/>
  <c r="F28" i="15" s="1"/>
  <c r="F27" i="15"/>
  <c r="E27" i="15"/>
  <c r="F26" i="15"/>
  <c r="E26" i="15"/>
  <c r="D23" i="15"/>
  <c r="E23" i="15" s="1"/>
  <c r="C23" i="15"/>
  <c r="F23" i="15" s="1"/>
  <c r="F22" i="15"/>
  <c r="E22" i="15"/>
  <c r="F21" i="15"/>
  <c r="E21" i="15"/>
  <c r="F20" i="15"/>
  <c r="E20" i="15"/>
  <c r="E19" i="15"/>
  <c r="F19" i="15" s="1"/>
  <c r="D16" i="15"/>
  <c r="E16" i="15" s="1"/>
  <c r="F16" i="15"/>
  <c r="C16" i="15"/>
  <c r="F15" i="15"/>
  <c r="E15" i="15"/>
  <c r="E14" i="15"/>
  <c r="F14" i="15" s="1"/>
  <c r="F13" i="15"/>
  <c r="E13" i="15"/>
  <c r="E12" i="15"/>
  <c r="F12" i="15" s="1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/>
  <c r="F17" i="14"/>
  <c r="F33" i="14" s="1"/>
  <c r="E17" i="14"/>
  <c r="E31" i="14"/>
  <c r="D17" i="14"/>
  <c r="D33" i="14" s="1"/>
  <c r="D36" i="14" s="1"/>
  <c r="D38" i="14" s="1"/>
  <c r="D40" i="14" s="1"/>
  <c r="C17" i="14"/>
  <c r="C31" i="14" s="1"/>
  <c r="I16" i="14"/>
  <c r="H16" i="14"/>
  <c r="I15" i="14"/>
  <c r="H15" i="14"/>
  <c r="I13" i="14"/>
  <c r="H13" i="14"/>
  <c r="I11" i="14"/>
  <c r="H11" i="14"/>
  <c r="E79" i="13"/>
  <c r="D79" i="13"/>
  <c r="C79" i="13"/>
  <c r="E78" i="13"/>
  <c r="E80" i="13" s="1"/>
  <c r="E77" i="13" s="1"/>
  <c r="D78" i="13"/>
  <c r="C78" i="13"/>
  <c r="C80" i="13" s="1"/>
  <c r="C77" i="13" s="1"/>
  <c r="E75" i="13"/>
  <c r="C75" i="13"/>
  <c r="E73" i="13"/>
  <c r="D73" i="13"/>
  <c r="D75" i="13"/>
  <c r="C73" i="13"/>
  <c r="E71" i="13"/>
  <c r="D71" i="13"/>
  <c r="C71" i="13"/>
  <c r="E66" i="13"/>
  <c r="E65" i="13" s="1"/>
  <c r="D66" i="13"/>
  <c r="C66" i="13"/>
  <c r="C65" i="13"/>
  <c r="D65" i="13"/>
  <c r="E60" i="13"/>
  <c r="D60" i="13"/>
  <c r="C60" i="13"/>
  <c r="E58" i="13"/>
  <c r="D58" i="13"/>
  <c r="C58" i="13"/>
  <c r="E55" i="13"/>
  <c r="D55" i="13"/>
  <c r="C55" i="13"/>
  <c r="C50" i="13" s="1"/>
  <c r="E54" i="13"/>
  <c r="E50" i="13"/>
  <c r="D54" i="13"/>
  <c r="C54" i="13"/>
  <c r="D50" i="13"/>
  <c r="C48" i="13"/>
  <c r="E46" i="13"/>
  <c r="E59" i="13" s="1"/>
  <c r="D46" i="13"/>
  <c r="D59" i="13"/>
  <c r="D61" i="13" s="1"/>
  <c r="D57" i="13" s="1"/>
  <c r="C46" i="13"/>
  <c r="C59" i="13" s="1"/>
  <c r="E45" i="13"/>
  <c r="D45" i="13"/>
  <c r="D42" i="13" s="1"/>
  <c r="C45" i="13"/>
  <c r="C42" i="13" s="1"/>
  <c r="E38" i="13"/>
  <c r="D38" i="13"/>
  <c r="C38" i="13"/>
  <c r="E33" i="13"/>
  <c r="E34" i="13"/>
  <c r="D33" i="13"/>
  <c r="D34" i="13"/>
  <c r="E26" i="13"/>
  <c r="D26" i="13"/>
  <c r="C26" i="13"/>
  <c r="E15" i="13"/>
  <c r="E24" i="13"/>
  <c r="E13" i="13"/>
  <c r="E25" i="13" s="1"/>
  <c r="D13" i="13"/>
  <c r="D25" i="13"/>
  <c r="D27" i="13" s="1"/>
  <c r="C13" i="13"/>
  <c r="C25" i="13" s="1"/>
  <c r="C27" i="13" s="1"/>
  <c r="D47" i="12"/>
  <c r="E47" i="12"/>
  <c r="C47" i="12"/>
  <c r="F47" i="12" s="1"/>
  <c r="F46" i="12"/>
  <c r="E46" i="12"/>
  <c r="E45" i="12"/>
  <c r="F45" i="12" s="1"/>
  <c r="D40" i="12"/>
  <c r="E40" i="12" s="1"/>
  <c r="C40" i="12"/>
  <c r="E39" i="12"/>
  <c r="F39" i="12" s="1"/>
  <c r="E38" i="12"/>
  <c r="F38" i="12" s="1"/>
  <c r="E37" i="12"/>
  <c r="F37" i="12" s="1"/>
  <c r="D32" i="12"/>
  <c r="E32" i="12" s="1"/>
  <c r="C32" i="12"/>
  <c r="E31" i="12"/>
  <c r="F31" i="12" s="1"/>
  <c r="E30" i="12"/>
  <c r="F30" i="12" s="1"/>
  <c r="E29" i="12"/>
  <c r="F29" i="12" s="1"/>
  <c r="E28" i="12"/>
  <c r="F28" i="12" s="1"/>
  <c r="E27" i="12"/>
  <c r="F27" i="12" s="1"/>
  <c r="E26" i="12"/>
  <c r="F26" i="12" s="1"/>
  <c r="E25" i="12"/>
  <c r="F25" i="12" s="1"/>
  <c r="E24" i="12"/>
  <c r="F24" i="12" s="1"/>
  <c r="E23" i="12"/>
  <c r="F23" i="12" s="1"/>
  <c r="F19" i="12"/>
  <c r="E19" i="12"/>
  <c r="E18" i="12"/>
  <c r="F18" i="12" s="1"/>
  <c r="F16" i="12"/>
  <c r="E16" i="12"/>
  <c r="D15" i="12"/>
  <c r="D17" i="12"/>
  <c r="C15" i="12"/>
  <c r="C17" i="12"/>
  <c r="F14" i="12"/>
  <c r="E14" i="12"/>
  <c r="E13" i="12"/>
  <c r="F13" i="12" s="1"/>
  <c r="E12" i="12"/>
  <c r="F12" i="12" s="1"/>
  <c r="F11" i="12"/>
  <c r="E11" i="12"/>
  <c r="D73" i="11"/>
  <c r="E73" i="11" s="1"/>
  <c r="C73" i="11"/>
  <c r="F72" i="11"/>
  <c r="E72" i="11"/>
  <c r="E71" i="11"/>
  <c r="F71" i="11" s="1"/>
  <c r="F70" i="11"/>
  <c r="E70" i="11"/>
  <c r="F67" i="11"/>
  <c r="E67" i="11"/>
  <c r="F64" i="11"/>
  <c r="E64" i="11"/>
  <c r="E63" i="11"/>
  <c r="F63" i="11" s="1"/>
  <c r="D61" i="11"/>
  <c r="D65" i="11" s="1"/>
  <c r="C61" i="11"/>
  <c r="C65" i="11"/>
  <c r="E60" i="11"/>
  <c r="F60" i="11" s="1"/>
  <c r="E59" i="11"/>
  <c r="F59" i="11" s="1"/>
  <c r="D56" i="11"/>
  <c r="D75" i="11" s="1"/>
  <c r="C56" i="11"/>
  <c r="C75" i="11" s="1"/>
  <c r="F55" i="11"/>
  <c r="E55" i="11"/>
  <c r="E54" i="11"/>
  <c r="F54" i="11" s="1"/>
  <c r="F53" i="11"/>
  <c r="E53" i="11"/>
  <c r="F52" i="11"/>
  <c r="E52" i="11"/>
  <c r="F51" i="11"/>
  <c r="E51" i="11"/>
  <c r="E50" i="11"/>
  <c r="F50" i="11"/>
  <c r="A50" i="11"/>
  <c r="A51" i="11" s="1"/>
  <c r="A52" i="11" s="1"/>
  <c r="A53" i="11" s="1"/>
  <c r="A54" i="11" s="1"/>
  <c r="A55" i="11" s="1"/>
  <c r="F49" i="11"/>
  <c r="E49" i="11"/>
  <c r="E40" i="11"/>
  <c r="F40" i="11" s="1"/>
  <c r="D38" i="11"/>
  <c r="D41" i="11" s="1"/>
  <c r="C38" i="11"/>
  <c r="F37" i="11"/>
  <c r="E37" i="11"/>
  <c r="E36" i="11"/>
  <c r="F36" i="11" s="1"/>
  <c r="E33" i="11"/>
  <c r="F33" i="11" s="1"/>
  <c r="F32" i="11"/>
  <c r="E32" i="11"/>
  <c r="F31" i="11"/>
  <c r="E31" i="11"/>
  <c r="D29" i="11"/>
  <c r="E29" i="11"/>
  <c r="C29" i="11"/>
  <c r="F28" i="11"/>
  <c r="E28" i="11"/>
  <c r="F27" i="11"/>
  <c r="E27" i="11"/>
  <c r="F26" i="11"/>
  <c r="E26" i="11"/>
  <c r="E25" i="11"/>
  <c r="F25" i="11" s="1"/>
  <c r="D22" i="11"/>
  <c r="D43" i="11" s="1"/>
  <c r="C22" i="11"/>
  <c r="F21" i="11"/>
  <c r="E21" i="11"/>
  <c r="E20" i="11"/>
  <c r="F20" i="11" s="1"/>
  <c r="F19" i="11"/>
  <c r="E19" i="11"/>
  <c r="F18" i="11"/>
  <c r="E18" i="11"/>
  <c r="F17" i="11"/>
  <c r="E17" i="11"/>
  <c r="E16" i="11"/>
  <c r="F16" i="11" s="1"/>
  <c r="F15" i="11"/>
  <c r="E15" i="11"/>
  <c r="F14" i="11"/>
  <c r="E14" i="11"/>
  <c r="F13" i="11"/>
  <c r="E13" i="11"/>
  <c r="D120" i="10"/>
  <c r="E120" i="10"/>
  <c r="F120" i="10"/>
  <c r="C120" i="10"/>
  <c r="D119" i="10"/>
  <c r="E119" i="10"/>
  <c r="F119" i="10"/>
  <c r="C119" i="10"/>
  <c r="D118" i="10"/>
  <c r="E118" i="10"/>
  <c r="F118" i="10"/>
  <c r="C118" i="10"/>
  <c r="D117" i="10"/>
  <c r="E117" i="10"/>
  <c r="F117" i="10"/>
  <c r="C117" i="10"/>
  <c r="D116" i="10"/>
  <c r="E116" i="10"/>
  <c r="F116" i="10"/>
  <c r="C116" i="10"/>
  <c r="D115" i="10"/>
  <c r="E115" i="10"/>
  <c r="F115" i="10"/>
  <c r="C115" i="10"/>
  <c r="D114" i="10"/>
  <c r="E114" i="10"/>
  <c r="F114" i="10"/>
  <c r="C114" i="10"/>
  <c r="D113" i="10"/>
  <c r="D122" i="10"/>
  <c r="E122" i="10"/>
  <c r="C113" i="10"/>
  <c r="C122" i="10"/>
  <c r="D112" i="10"/>
  <c r="D121" i="10"/>
  <c r="C112" i="10"/>
  <c r="C121" i="10" s="1"/>
  <c r="D108" i="10"/>
  <c r="C108" i="10"/>
  <c r="D107" i="10"/>
  <c r="E107" i="10" s="1"/>
  <c r="C107" i="10"/>
  <c r="F106" i="10"/>
  <c r="E106" i="10"/>
  <c r="F105" i="10"/>
  <c r="E105" i="10"/>
  <c r="F104" i="10"/>
  <c r="E104" i="10"/>
  <c r="E103" i="10"/>
  <c r="F103" i="10" s="1"/>
  <c r="F102" i="10"/>
  <c r="E102" i="10"/>
  <c r="E101" i="10"/>
  <c r="F101" i="10" s="1"/>
  <c r="F100" i="10"/>
  <c r="E100" i="10"/>
  <c r="E99" i="10"/>
  <c r="F99" i="10" s="1"/>
  <c r="F98" i="10"/>
  <c r="E98" i="10"/>
  <c r="D96" i="10"/>
  <c r="E96" i="10"/>
  <c r="F96" i="10"/>
  <c r="C96" i="10"/>
  <c r="D95" i="10"/>
  <c r="E95" i="10"/>
  <c r="F95" i="10"/>
  <c r="C95" i="10"/>
  <c r="E94" i="10"/>
  <c r="F94" i="10" s="1"/>
  <c r="F93" i="10"/>
  <c r="E93" i="10"/>
  <c r="E92" i="10"/>
  <c r="F92" i="10" s="1"/>
  <c r="F91" i="10"/>
  <c r="E91" i="10"/>
  <c r="E90" i="10"/>
  <c r="F90" i="10" s="1"/>
  <c r="F89" i="10"/>
  <c r="E89" i="10"/>
  <c r="E88" i="10"/>
  <c r="F88" i="10" s="1"/>
  <c r="F87" i="10"/>
  <c r="E87" i="10"/>
  <c r="F86" i="10"/>
  <c r="E86" i="10"/>
  <c r="F84" i="10"/>
  <c r="D84" i="10"/>
  <c r="C84" i="10"/>
  <c r="E84" i="10" s="1"/>
  <c r="D83" i="10"/>
  <c r="C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2" i="10"/>
  <c r="D72" i="10"/>
  <c r="E72" i="10"/>
  <c r="C72" i="10"/>
  <c r="F71" i="10"/>
  <c r="D71" i="10"/>
  <c r="E71" i="10" s="1"/>
  <c r="C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C60" i="10"/>
  <c r="F59" i="10"/>
  <c r="D59" i="10"/>
  <c r="C59" i="10"/>
  <c r="E59" i="10" s="1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8" i="10"/>
  <c r="D48" i="10"/>
  <c r="E48" i="10"/>
  <c r="C48" i="10"/>
  <c r="F47" i="10"/>
  <c r="D47" i="10"/>
  <c r="E47" i="10"/>
  <c r="C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E36" i="10" s="1"/>
  <c r="C36" i="10"/>
  <c r="D35" i="10"/>
  <c r="E35" i="10" s="1"/>
  <c r="F35" i="10"/>
  <c r="C35" i="10"/>
  <c r="F34" i="10"/>
  <c r="E34" i="10"/>
  <c r="E33" i="10"/>
  <c r="F33" i="10" s="1"/>
  <c r="F32" i="10"/>
  <c r="E32" i="10"/>
  <c r="E31" i="10"/>
  <c r="F31" i="10" s="1"/>
  <c r="F30" i="10"/>
  <c r="E30" i="10"/>
  <c r="E29" i="10"/>
  <c r="F29" i="10" s="1"/>
  <c r="F28" i="10"/>
  <c r="E28" i="10"/>
  <c r="E27" i="10"/>
  <c r="F27" i="10" s="1"/>
  <c r="F26" i="10"/>
  <c r="E26" i="10"/>
  <c r="F24" i="10"/>
  <c r="D24" i="10"/>
  <c r="E24" i="10"/>
  <c r="C24" i="10"/>
  <c r="F23" i="10"/>
  <c r="D23" i="10"/>
  <c r="E23" i="10"/>
  <c r="C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C206" i="9"/>
  <c r="D205" i="9"/>
  <c r="E205" i="9"/>
  <c r="C205" i="9"/>
  <c r="F205" i="9" s="1"/>
  <c r="D204" i="9"/>
  <c r="E204" i="9"/>
  <c r="C204" i="9"/>
  <c r="D203" i="9"/>
  <c r="E203" i="9"/>
  <c r="C203" i="9"/>
  <c r="D202" i="9"/>
  <c r="C202" i="9"/>
  <c r="D201" i="9"/>
  <c r="E201" i="9" s="1"/>
  <c r="C201" i="9"/>
  <c r="D200" i="9"/>
  <c r="C200" i="9"/>
  <c r="D199" i="9"/>
  <c r="D208" i="9" s="1"/>
  <c r="E208" i="9" s="1"/>
  <c r="F208" i="9" s="1"/>
  <c r="C199" i="9"/>
  <c r="C208" i="9"/>
  <c r="D198" i="9"/>
  <c r="D207" i="9" s="1"/>
  <c r="E207" i="9"/>
  <c r="C198" i="9"/>
  <c r="C207" i="9"/>
  <c r="D193" i="9"/>
  <c r="C193" i="9"/>
  <c r="D192" i="9"/>
  <c r="E192" i="9" s="1"/>
  <c r="C192" i="9"/>
  <c r="F192" i="9" s="1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D180" i="9"/>
  <c r="E180" i="9" s="1"/>
  <c r="C180" i="9"/>
  <c r="F180" i="9" s="1"/>
  <c r="F179" i="9"/>
  <c r="D179" i="9"/>
  <c r="E179" i="9" s="1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D167" i="9"/>
  <c r="E167" i="9"/>
  <c r="C167" i="9"/>
  <c r="F167" i="9" s="1"/>
  <c r="D166" i="9"/>
  <c r="E166" i="9"/>
  <c r="C166" i="9"/>
  <c r="F166" i="9" s="1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F154" i="9"/>
  <c r="D154" i="9"/>
  <c r="E154" i="9" s="1"/>
  <c r="C154" i="9"/>
  <c r="F153" i="9"/>
  <c r="D153" i="9"/>
  <c r="E153" i="9" s="1"/>
  <c r="C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E141" i="9"/>
  <c r="C141" i="9"/>
  <c r="F141" i="9" s="1"/>
  <c r="D140" i="9"/>
  <c r="E140" i="9" s="1"/>
  <c r="C140" i="9"/>
  <c r="F140" i="9" s="1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D128" i="9"/>
  <c r="C128" i="9"/>
  <c r="E128" i="9" s="1"/>
  <c r="D127" i="9"/>
  <c r="E127" i="9" s="1"/>
  <c r="C127" i="9"/>
  <c r="E126" i="9"/>
  <c r="F126" i="9" s="1"/>
  <c r="E125" i="9"/>
  <c r="F125" i="9" s="1"/>
  <c r="F124" i="9"/>
  <c r="E124" i="9"/>
  <c r="E123" i="9"/>
  <c r="F123" i="9" s="1"/>
  <c r="F122" i="9"/>
  <c r="E122" i="9"/>
  <c r="E121" i="9"/>
  <c r="F121" i="9" s="1"/>
  <c r="F120" i="9"/>
  <c r="E120" i="9"/>
  <c r="E119" i="9"/>
  <c r="F119" i="9" s="1"/>
  <c r="E118" i="9"/>
  <c r="F118" i="9" s="1"/>
  <c r="D115" i="9"/>
  <c r="E115" i="9" s="1"/>
  <c r="C115" i="9"/>
  <c r="F115" i="9" s="1"/>
  <c r="D114" i="9"/>
  <c r="C114" i="9"/>
  <c r="F113" i="9"/>
  <c r="E113" i="9"/>
  <c r="F112" i="9"/>
  <c r="E112" i="9"/>
  <c r="F111" i="9"/>
  <c r="E111" i="9"/>
  <c r="F110" i="9"/>
  <c r="E110" i="9"/>
  <c r="F109" i="9"/>
  <c r="E109" i="9"/>
  <c r="F108" i="9"/>
  <c r="E108" i="9"/>
  <c r="F107" i="9"/>
  <c r="E107" i="9"/>
  <c r="F106" i="9"/>
  <c r="E106" i="9"/>
  <c r="F105" i="9"/>
  <c r="E105" i="9"/>
  <c r="D102" i="9"/>
  <c r="E102" i="9" s="1"/>
  <c r="C102" i="9"/>
  <c r="D101" i="9"/>
  <c r="C101" i="9"/>
  <c r="F100" i="9"/>
  <c r="E100" i="9"/>
  <c r="E99" i="9"/>
  <c r="F99" i="9" s="1"/>
  <c r="E98" i="9"/>
  <c r="F98" i="9" s="1"/>
  <c r="E97" i="9"/>
  <c r="F97" i="9" s="1"/>
  <c r="E96" i="9"/>
  <c r="F96" i="9" s="1"/>
  <c r="E95" i="9"/>
  <c r="F95" i="9" s="1"/>
  <c r="F94" i="9"/>
  <c r="E94" i="9"/>
  <c r="E93" i="9"/>
  <c r="F93" i="9" s="1"/>
  <c r="E92" i="9"/>
  <c r="F92" i="9" s="1"/>
  <c r="D89" i="9"/>
  <c r="C89" i="9"/>
  <c r="D88" i="9"/>
  <c r="E88" i="9" s="1"/>
  <c r="C88" i="9"/>
  <c r="F88" i="9" s="1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E76" i="9"/>
  <c r="C76" i="9"/>
  <c r="D75" i="9"/>
  <c r="E75" i="9" s="1"/>
  <c r="C75" i="9"/>
  <c r="E74" i="9"/>
  <c r="F74" i="9" s="1"/>
  <c r="E73" i="9"/>
  <c r="F73" i="9" s="1"/>
  <c r="E72" i="9"/>
  <c r="F72" i="9" s="1"/>
  <c r="E71" i="9"/>
  <c r="F71" i="9" s="1"/>
  <c r="F70" i="9"/>
  <c r="E70" i="9"/>
  <c r="E69" i="9"/>
  <c r="F69" i="9" s="1"/>
  <c r="F68" i="9"/>
  <c r="E68" i="9"/>
  <c r="E67" i="9"/>
  <c r="F67" i="9" s="1"/>
  <c r="E66" i="9"/>
  <c r="F66" i="9" s="1"/>
  <c r="D63" i="9"/>
  <c r="E63" i="9" s="1"/>
  <c r="C63" i="9"/>
  <c r="F63" i="9" s="1"/>
  <c r="D62" i="9"/>
  <c r="E62" i="9" s="1"/>
  <c r="C62" i="9"/>
  <c r="F62" i="9" s="1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 s="1"/>
  <c r="C50" i="9"/>
  <c r="D49" i="9"/>
  <c r="C49" i="9"/>
  <c r="F48" i="9"/>
  <c r="E48" i="9"/>
  <c r="E47" i="9"/>
  <c r="F47" i="9" s="1"/>
  <c r="E46" i="9"/>
  <c r="F46" i="9" s="1"/>
  <c r="E45" i="9"/>
  <c r="F45" i="9" s="1"/>
  <c r="E44" i="9"/>
  <c r="F44" i="9" s="1"/>
  <c r="E43" i="9"/>
  <c r="F43" i="9" s="1"/>
  <c r="F42" i="9"/>
  <c r="E42" i="9"/>
  <c r="E41" i="9"/>
  <c r="F41" i="9" s="1"/>
  <c r="E40" i="9"/>
  <c r="F40" i="9" s="1"/>
  <c r="F37" i="9"/>
  <c r="D37" i="9"/>
  <c r="E37" i="9" s="1"/>
  <c r="C37" i="9"/>
  <c r="D36" i="9"/>
  <c r="C36" i="9"/>
  <c r="F36" i="9" s="1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C24" i="9"/>
  <c r="D23" i="9"/>
  <c r="F23" i="9"/>
  <c r="C23" i="9"/>
  <c r="E23" i="9" s="1"/>
  <c r="F22" i="9"/>
  <c r="E22" i="9"/>
  <c r="E21" i="9"/>
  <c r="F21" i="9" s="1"/>
  <c r="E20" i="9"/>
  <c r="F20" i="9" s="1"/>
  <c r="F19" i="9"/>
  <c r="E19" i="9"/>
  <c r="F18" i="9"/>
  <c r="E18" i="9"/>
  <c r="E17" i="9"/>
  <c r="F17" i="9" s="1"/>
  <c r="E16" i="9"/>
  <c r="F16" i="9" s="1"/>
  <c r="E15" i="9"/>
  <c r="F15" i="9" s="1"/>
  <c r="F14" i="9"/>
  <c r="E14" i="9"/>
  <c r="E191" i="8"/>
  <c r="D191" i="8"/>
  <c r="C191" i="8"/>
  <c r="E176" i="8"/>
  <c r="D176" i="8"/>
  <c r="C176" i="8"/>
  <c r="E164" i="8"/>
  <c r="E160" i="8" s="1"/>
  <c r="E166" i="8" s="1"/>
  <c r="E153" i="8" s="1"/>
  <c r="D164" i="8"/>
  <c r="C164" i="8"/>
  <c r="E162" i="8"/>
  <c r="D162" i="8"/>
  <c r="C162" i="8"/>
  <c r="E161" i="8"/>
  <c r="D161" i="8"/>
  <c r="C161" i="8"/>
  <c r="D160" i="8"/>
  <c r="C160" i="8"/>
  <c r="C166" i="8" s="1"/>
  <c r="C156" i="8" s="1"/>
  <c r="E147" i="8"/>
  <c r="E143" i="8" s="1"/>
  <c r="D147" i="8"/>
  <c r="C147" i="8"/>
  <c r="E145" i="8"/>
  <c r="D145" i="8"/>
  <c r="C145" i="8"/>
  <c r="E144" i="8"/>
  <c r="D144" i="8"/>
  <c r="C144" i="8"/>
  <c r="D143" i="8"/>
  <c r="C143" i="8"/>
  <c r="C149" i="8"/>
  <c r="E126" i="8"/>
  <c r="D126" i="8"/>
  <c r="C126" i="8"/>
  <c r="E119" i="8"/>
  <c r="D119" i="8"/>
  <c r="C119" i="8"/>
  <c r="E108" i="8"/>
  <c r="D108" i="8"/>
  <c r="C108" i="8"/>
  <c r="E107" i="8"/>
  <c r="E109" i="8" s="1"/>
  <c r="E106" i="8" s="1"/>
  <c r="D107" i="8"/>
  <c r="D109" i="8" s="1"/>
  <c r="D106" i="8" s="1"/>
  <c r="C107" i="8"/>
  <c r="C109" i="8"/>
  <c r="C106" i="8"/>
  <c r="E102" i="8"/>
  <c r="E104" i="8" s="1"/>
  <c r="D102" i="8"/>
  <c r="D104" i="8"/>
  <c r="C102" i="8"/>
  <c r="C104" i="8"/>
  <c r="E100" i="8"/>
  <c r="D100" i="8"/>
  <c r="C100" i="8"/>
  <c r="E95" i="8"/>
  <c r="D95" i="8"/>
  <c r="C95" i="8"/>
  <c r="C94" i="8" s="1"/>
  <c r="E94" i="8"/>
  <c r="D94" i="8"/>
  <c r="E89" i="8"/>
  <c r="D89" i="8"/>
  <c r="C89" i="8"/>
  <c r="E87" i="8"/>
  <c r="D87" i="8"/>
  <c r="D86" i="8" s="1"/>
  <c r="C87" i="8"/>
  <c r="E84" i="8"/>
  <c r="E79" i="8" s="1"/>
  <c r="D84" i="8"/>
  <c r="D79" i="8" s="1"/>
  <c r="C84" i="8"/>
  <c r="E83" i="8"/>
  <c r="D83" i="8"/>
  <c r="C83" i="8"/>
  <c r="C79" i="8"/>
  <c r="E75" i="8"/>
  <c r="D75" i="8"/>
  <c r="D88" i="8"/>
  <c r="D90" i="8" s="1"/>
  <c r="C75" i="8"/>
  <c r="C88" i="8"/>
  <c r="C90" i="8" s="1"/>
  <c r="C86" i="8" s="1"/>
  <c r="E74" i="8"/>
  <c r="D74" i="8"/>
  <c r="C74" i="8"/>
  <c r="E67" i="8"/>
  <c r="D67" i="8"/>
  <c r="C67" i="8"/>
  <c r="E38" i="8"/>
  <c r="E57" i="8" s="1"/>
  <c r="E62" i="8"/>
  <c r="D38" i="8"/>
  <c r="C38" i="8"/>
  <c r="E33" i="8"/>
  <c r="E34" i="8" s="1"/>
  <c r="D33" i="8"/>
  <c r="D34" i="8" s="1"/>
  <c r="E26" i="8"/>
  <c r="D26" i="8"/>
  <c r="C26" i="8"/>
  <c r="E13" i="8"/>
  <c r="E25" i="8" s="1"/>
  <c r="E27" i="8" s="1"/>
  <c r="D13" i="8"/>
  <c r="D25" i="8"/>
  <c r="C13" i="8"/>
  <c r="F186" i="7"/>
  <c r="E186" i="7"/>
  <c r="D183" i="7"/>
  <c r="D188" i="7"/>
  <c r="C183" i="7"/>
  <c r="C188" i="7"/>
  <c r="F182" i="7"/>
  <c r="E182" i="7"/>
  <c r="E181" i="7"/>
  <c r="F181" i="7" s="1"/>
  <c r="F180" i="7"/>
  <c r="E180" i="7"/>
  <c r="E179" i="7"/>
  <c r="F179" i="7" s="1"/>
  <c r="F178" i="7"/>
  <c r="E178" i="7"/>
  <c r="F177" i="7"/>
  <c r="E177" i="7"/>
  <c r="F176" i="7"/>
  <c r="E176" i="7"/>
  <c r="E175" i="7"/>
  <c r="F175" i="7" s="1"/>
  <c r="F174" i="7"/>
  <c r="E174" i="7"/>
  <c r="E173" i="7"/>
  <c r="F173" i="7" s="1"/>
  <c r="F172" i="7"/>
  <c r="E172" i="7"/>
  <c r="E171" i="7"/>
  <c r="F171" i="7" s="1"/>
  <c r="F170" i="7"/>
  <c r="E170" i="7"/>
  <c r="D167" i="7"/>
  <c r="E167" i="7"/>
  <c r="F167" i="7"/>
  <c r="C167" i="7"/>
  <c r="E166" i="7"/>
  <c r="F166" i="7" s="1"/>
  <c r="F165" i="7"/>
  <c r="E165" i="7"/>
  <c r="E164" i="7"/>
  <c r="F164" i="7" s="1"/>
  <c r="F163" i="7"/>
  <c r="E163" i="7"/>
  <c r="F162" i="7"/>
  <c r="E162" i="7"/>
  <c r="F161" i="7"/>
  <c r="E161" i="7"/>
  <c r="E160" i="7"/>
  <c r="F160" i="7" s="1"/>
  <c r="F159" i="7"/>
  <c r="E159" i="7"/>
  <c r="F158" i="7"/>
  <c r="E158" i="7"/>
  <c r="F157" i="7"/>
  <c r="E157" i="7"/>
  <c r="E156" i="7"/>
  <c r="F156" i="7" s="1"/>
  <c r="F155" i="7"/>
  <c r="E155" i="7"/>
  <c r="E154" i="7"/>
  <c r="F154" i="7" s="1"/>
  <c r="F153" i="7"/>
  <c r="E153" i="7"/>
  <c r="E152" i="7"/>
  <c r="F152" i="7" s="1"/>
  <c r="F151" i="7"/>
  <c r="E151" i="7"/>
  <c r="E150" i="7"/>
  <c r="F150" i="7" s="1"/>
  <c r="F149" i="7"/>
  <c r="E149" i="7"/>
  <c r="E148" i="7"/>
  <c r="F148" i="7" s="1"/>
  <c r="F147" i="7"/>
  <c r="E147" i="7"/>
  <c r="F146" i="7"/>
  <c r="E146" i="7"/>
  <c r="F145" i="7"/>
  <c r="E145" i="7"/>
  <c r="E144" i="7"/>
  <c r="F144" i="7" s="1"/>
  <c r="F143" i="7"/>
  <c r="E143" i="7"/>
  <c r="E142" i="7"/>
  <c r="F142" i="7" s="1"/>
  <c r="F141" i="7"/>
  <c r="E141" i="7"/>
  <c r="E140" i="7"/>
  <c r="F140" i="7" s="1"/>
  <c r="F139" i="7"/>
  <c r="E139" i="7"/>
  <c r="E138" i="7"/>
  <c r="F138" i="7" s="1"/>
  <c r="F137" i="7"/>
  <c r="E137" i="7"/>
  <c r="E136" i="7"/>
  <c r="F136" i="7" s="1"/>
  <c r="F135" i="7"/>
  <c r="E135" i="7"/>
  <c r="E134" i="7"/>
  <c r="F134" i="7" s="1"/>
  <c r="F133" i="7"/>
  <c r="E133" i="7"/>
  <c r="D130" i="7"/>
  <c r="E130" i="7"/>
  <c r="F130" i="7" s="1"/>
  <c r="C130" i="7"/>
  <c r="E129" i="7"/>
  <c r="F129" i="7" s="1"/>
  <c r="F128" i="7"/>
  <c r="E128" i="7"/>
  <c r="E127" i="7"/>
  <c r="F127" i="7" s="1"/>
  <c r="F126" i="7"/>
  <c r="E126" i="7"/>
  <c r="F125" i="7"/>
  <c r="E125" i="7"/>
  <c r="F124" i="7"/>
  <c r="E124" i="7"/>
  <c r="D121" i="7"/>
  <c r="E121" i="7"/>
  <c r="F121" i="7"/>
  <c r="C121" i="7"/>
  <c r="F120" i="7"/>
  <c r="E120" i="7"/>
  <c r="F119" i="7"/>
  <c r="E119" i="7"/>
  <c r="E118" i="7"/>
  <c r="F118" i="7" s="1"/>
  <c r="F117" i="7"/>
  <c r="E117" i="7"/>
  <c r="F116" i="7"/>
  <c r="E116" i="7"/>
  <c r="F115" i="7"/>
  <c r="E115" i="7"/>
  <c r="E114" i="7"/>
  <c r="F114" i="7" s="1"/>
  <c r="F113" i="7"/>
  <c r="E113" i="7"/>
  <c r="F112" i="7"/>
  <c r="E112" i="7"/>
  <c r="F111" i="7"/>
  <c r="E111" i="7"/>
  <c r="E110" i="7"/>
  <c r="F110" i="7" s="1"/>
  <c r="F109" i="7"/>
  <c r="E109" i="7"/>
  <c r="E108" i="7"/>
  <c r="F108" i="7" s="1"/>
  <c r="F107" i="7"/>
  <c r="E107" i="7"/>
  <c r="E106" i="7"/>
  <c r="F106" i="7" s="1"/>
  <c r="F105" i="7"/>
  <c r="E105" i="7"/>
  <c r="F104" i="7"/>
  <c r="E104" i="7"/>
  <c r="F103" i="7"/>
  <c r="E103" i="7"/>
  <c r="E93" i="7"/>
  <c r="F93" i="7" s="1"/>
  <c r="D90" i="7"/>
  <c r="C90" i="7"/>
  <c r="F89" i="7"/>
  <c r="E89" i="7"/>
  <c r="E88" i="7"/>
  <c r="F88" i="7" s="1"/>
  <c r="E87" i="7"/>
  <c r="F87" i="7" s="1"/>
  <c r="E86" i="7"/>
  <c r="F86" i="7" s="1"/>
  <c r="F85" i="7"/>
  <c r="E85" i="7"/>
  <c r="E84" i="7"/>
  <c r="F84" i="7" s="1"/>
  <c r="E83" i="7"/>
  <c r="F83" i="7" s="1"/>
  <c r="F82" i="7"/>
  <c r="E82" i="7"/>
  <c r="F81" i="7"/>
  <c r="E81" i="7"/>
  <c r="E80" i="7"/>
  <c r="F80" i="7" s="1"/>
  <c r="F79" i="7"/>
  <c r="E79" i="7"/>
  <c r="F78" i="7"/>
  <c r="E78" i="7"/>
  <c r="E77" i="7"/>
  <c r="F77" i="7" s="1"/>
  <c r="F76" i="7"/>
  <c r="E76" i="7"/>
  <c r="E75" i="7"/>
  <c r="F75" i="7" s="1"/>
  <c r="E74" i="7"/>
  <c r="F74" i="7" s="1"/>
  <c r="E73" i="7"/>
  <c r="F73" i="7" s="1"/>
  <c r="E72" i="7"/>
  <c r="F72" i="7" s="1"/>
  <c r="E71" i="7"/>
  <c r="F71" i="7" s="1"/>
  <c r="E70" i="7"/>
  <c r="F70" i="7" s="1"/>
  <c r="F69" i="7"/>
  <c r="E69" i="7"/>
  <c r="F68" i="7"/>
  <c r="E68" i="7"/>
  <c r="E67" i="7"/>
  <c r="F67" i="7" s="1"/>
  <c r="F66" i="7"/>
  <c r="E66" i="7"/>
  <c r="E65" i="7"/>
  <c r="F65" i="7" s="1"/>
  <c r="E64" i="7"/>
  <c r="F64" i="7" s="1"/>
  <c r="E63" i="7"/>
  <c r="F63" i="7" s="1"/>
  <c r="E62" i="7"/>
  <c r="F62" i="7" s="1"/>
  <c r="D59" i="7"/>
  <c r="E59" i="7" s="1"/>
  <c r="C59" i="7"/>
  <c r="E58" i="7"/>
  <c r="F58" i="7" s="1"/>
  <c r="F57" i="7"/>
  <c r="E57" i="7"/>
  <c r="F56" i="7"/>
  <c r="E56" i="7"/>
  <c r="F55" i="7"/>
  <c r="E55" i="7"/>
  <c r="E54" i="7"/>
  <c r="F54" i="7" s="1"/>
  <c r="F53" i="7"/>
  <c r="E53" i="7"/>
  <c r="F50" i="7"/>
  <c r="E50" i="7"/>
  <c r="E47" i="7"/>
  <c r="F47" i="7" s="1"/>
  <c r="E44" i="7"/>
  <c r="F44" i="7" s="1"/>
  <c r="D41" i="7"/>
  <c r="E41" i="7" s="1"/>
  <c r="F41" i="7" s="1"/>
  <c r="C41" i="7"/>
  <c r="F40" i="7"/>
  <c r="E40" i="7"/>
  <c r="E39" i="7"/>
  <c r="F39" i="7" s="1"/>
  <c r="F38" i="7"/>
  <c r="E38" i="7"/>
  <c r="D35" i="7"/>
  <c r="E35" i="7" s="1"/>
  <c r="F35" i="7" s="1"/>
  <c r="C35" i="7"/>
  <c r="E34" i="7"/>
  <c r="F34" i="7" s="1"/>
  <c r="E33" i="7"/>
  <c r="F33" i="7" s="1"/>
  <c r="D30" i="7"/>
  <c r="E30" i="7" s="1"/>
  <c r="C30" i="7"/>
  <c r="E29" i="7"/>
  <c r="F29" i="7" s="1"/>
  <c r="F28" i="7"/>
  <c r="E28" i="7"/>
  <c r="F27" i="7"/>
  <c r="E27" i="7"/>
  <c r="D24" i="7"/>
  <c r="C24" i="7"/>
  <c r="E23" i="7"/>
  <c r="F23" i="7" s="1"/>
  <c r="F22" i="7"/>
  <c r="E22" i="7"/>
  <c r="E21" i="7"/>
  <c r="F21" i="7" s="1"/>
  <c r="D18" i="7"/>
  <c r="E18" i="7"/>
  <c r="F18" i="7"/>
  <c r="C18" i="7"/>
  <c r="F17" i="7"/>
  <c r="E17" i="7"/>
  <c r="E16" i="7"/>
  <c r="F16" i="7" s="1"/>
  <c r="E15" i="7"/>
  <c r="F15" i="7" s="1"/>
  <c r="D179" i="6"/>
  <c r="E179" i="6"/>
  <c r="F179" i="6" s="1"/>
  <c r="C179" i="6"/>
  <c r="F178" i="6"/>
  <c r="E178" i="6"/>
  <c r="F177" i="6"/>
  <c r="E177" i="6"/>
  <c r="E176" i="6"/>
  <c r="F176" i="6" s="1"/>
  <c r="F175" i="6"/>
  <c r="E175" i="6"/>
  <c r="E174" i="6"/>
  <c r="F174" i="6" s="1"/>
  <c r="F173" i="6"/>
  <c r="E173" i="6"/>
  <c r="F172" i="6"/>
  <c r="E172" i="6"/>
  <c r="F171" i="6"/>
  <c r="E171" i="6"/>
  <c r="E170" i="6"/>
  <c r="F170" i="6" s="1"/>
  <c r="F169" i="6"/>
  <c r="E169" i="6"/>
  <c r="E168" i="6"/>
  <c r="F168" i="6" s="1"/>
  <c r="D166" i="6"/>
  <c r="C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E158" i="6"/>
  <c r="F158" i="6" s="1"/>
  <c r="F157" i="6"/>
  <c r="E157" i="6"/>
  <c r="F156" i="6"/>
  <c r="E156" i="6"/>
  <c r="F155" i="6"/>
  <c r="E155" i="6"/>
  <c r="D153" i="6"/>
  <c r="E153" i="6"/>
  <c r="F153" i="6"/>
  <c r="C153" i="6"/>
  <c r="F152" i="6"/>
  <c r="E152" i="6"/>
  <c r="F151" i="6"/>
  <c r="E151" i="6"/>
  <c r="E150" i="6"/>
  <c r="F150" i="6" s="1"/>
  <c r="F149" i="6"/>
  <c r="E149" i="6"/>
  <c r="F148" i="6"/>
  <c r="E148" i="6"/>
  <c r="F147" i="6"/>
  <c r="E147" i="6"/>
  <c r="E146" i="6"/>
  <c r="F146" i="6" s="1"/>
  <c r="F145" i="6"/>
  <c r="E145" i="6"/>
  <c r="F144" i="6"/>
  <c r="E144" i="6"/>
  <c r="F143" i="6"/>
  <c r="E143" i="6"/>
  <c r="E142" i="6"/>
  <c r="F142" i="6" s="1"/>
  <c r="D137" i="6"/>
  <c r="E137" i="6" s="1"/>
  <c r="F137" i="6"/>
  <c r="C137" i="6"/>
  <c r="F136" i="6"/>
  <c r="E136" i="6"/>
  <c r="F135" i="6"/>
  <c r="E135" i="6"/>
  <c r="F134" i="6"/>
  <c r="E134" i="6"/>
  <c r="F133" i="6"/>
  <c r="E133" i="6"/>
  <c r="F132" i="6"/>
  <c r="E132" i="6"/>
  <c r="E131" i="6"/>
  <c r="F131" i="6" s="1"/>
  <c r="F130" i="6"/>
  <c r="E130" i="6"/>
  <c r="E129" i="6"/>
  <c r="F129" i="6" s="1"/>
  <c r="F128" i="6"/>
  <c r="E128" i="6"/>
  <c r="E127" i="6"/>
  <c r="F127" i="6" s="1"/>
  <c r="F126" i="6"/>
  <c r="E126" i="6"/>
  <c r="D124" i="6"/>
  <c r="E124" i="6"/>
  <c r="F124" i="6"/>
  <c r="C124" i="6"/>
  <c r="F123" i="6"/>
  <c r="E123" i="6"/>
  <c r="F122" i="6"/>
  <c r="E122" i="6"/>
  <c r="E121" i="6"/>
  <c r="F121" i="6" s="1"/>
  <c r="F120" i="6"/>
  <c r="E120" i="6"/>
  <c r="E119" i="6"/>
  <c r="F119" i="6" s="1"/>
  <c r="F118" i="6"/>
  <c r="E118" i="6"/>
  <c r="F117" i="6"/>
  <c r="E117" i="6"/>
  <c r="E116" i="6"/>
  <c r="F116" i="6" s="1"/>
  <c r="E115" i="6"/>
  <c r="F115" i="6" s="1"/>
  <c r="F114" i="6"/>
  <c r="E114" i="6"/>
  <c r="F113" i="6"/>
  <c r="E113" i="6"/>
  <c r="D111" i="6"/>
  <c r="C111" i="6"/>
  <c r="F110" i="6"/>
  <c r="E110" i="6"/>
  <c r="F109" i="6"/>
  <c r="E109" i="6"/>
  <c r="E108" i="6"/>
  <c r="F108" i="6" s="1"/>
  <c r="F107" i="6"/>
  <c r="E107" i="6"/>
  <c r="E106" i="6"/>
  <c r="F106" i="6" s="1"/>
  <c r="F105" i="6"/>
  <c r="E105" i="6"/>
  <c r="E104" i="6"/>
  <c r="F104" i="6" s="1"/>
  <c r="E103" i="6"/>
  <c r="F103" i="6" s="1"/>
  <c r="F102" i="6"/>
  <c r="E102" i="6"/>
  <c r="F101" i="6"/>
  <c r="E101" i="6"/>
  <c r="E100" i="6"/>
  <c r="F100" i="6" s="1"/>
  <c r="D94" i="6"/>
  <c r="C94" i="6"/>
  <c r="F94" i="6" s="1"/>
  <c r="D93" i="6"/>
  <c r="C93" i="6"/>
  <c r="D92" i="6"/>
  <c r="E92" i="6"/>
  <c r="C92" i="6"/>
  <c r="F92" i="6" s="1"/>
  <c r="D91" i="6"/>
  <c r="C91" i="6"/>
  <c r="D90" i="6"/>
  <c r="C90" i="6"/>
  <c r="E90" i="6" s="1"/>
  <c r="D89" i="6"/>
  <c r="C89" i="6"/>
  <c r="D88" i="6"/>
  <c r="E88" i="6"/>
  <c r="F88" i="6" s="1"/>
  <c r="C88" i="6"/>
  <c r="D87" i="6"/>
  <c r="C87" i="6"/>
  <c r="D86" i="6"/>
  <c r="C86" i="6"/>
  <c r="D85" i="6"/>
  <c r="E85" i="6" s="1"/>
  <c r="C85" i="6"/>
  <c r="D84" i="6"/>
  <c r="D95" i="6"/>
  <c r="C84" i="6"/>
  <c r="D81" i="6"/>
  <c r="C81" i="6"/>
  <c r="F80" i="6"/>
  <c r="E80" i="6"/>
  <c r="F79" i="6"/>
  <c r="E79" i="6"/>
  <c r="F78" i="6"/>
  <c r="E78" i="6"/>
  <c r="F77" i="6"/>
  <c r="E77" i="6"/>
  <c r="E76" i="6"/>
  <c r="F76" i="6" s="1"/>
  <c r="E75" i="6"/>
  <c r="F75" i="6" s="1"/>
  <c r="F74" i="6"/>
  <c r="E74" i="6"/>
  <c r="E73" i="6"/>
  <c r="F73" i="6" s="1"/>
  <c r="E72" i="6"/>
  <c r="F72" i="6" s="1"/>
  <c r="F71" i="6"/>
  <c r="E71" i="6"/>
  <c r="F70" i="6"/>
  <c r="E70" i="6"/>
  <c r="D68" i="6"/>
  <c r="C68" i="6"/>
  <c r="F67" i="6"/>
  <c r="E67" i="6"/>
  <c r="F66" i="6"/>
  <c r="E66" i="6"/>
  <c r="E65" i="6"/>
  <c r="F65" i="6" s="1"/>
  <c r="F64" i="6"/>
  <c r="E64" i="6"/>
  <c r="E63" i="6"/>
  <c r="F63" i="6" s="1"/>
  <c r="F62" i="6"/>
  <c r="E62" i="6"/>
  <c r="E61" i="6"/>
  <c r="F61" i="6" s="1"/>
  <c r="E60" i="6"/>
  <c r="F60" i="6" s="1"/>
  <c r="F59" i="6"/>
  <c r="E59" i="6"/>
  <c r="F58" i="6"/>
  <c r="E58" i="6"/>
  <c r="E57" i="6"/>
  <c r="F57" i="6" s="1"/>
  <c r="D51" i="6"/>
  <c r="E51" i="6" s="1"/>
  <c r="C51" i="6"/>
  <c r="F51" i="6" s="1"/>
  <c r="D50" i="6"/>
  <c r="C50" i="6"/>
  <c r="D49" i="6"/>
  <c r="E49" i="6"/>
  <c r="F49" i="6"/>
  <c r="C49" i="6"/>
  <c r="D48" i="6"/>
  <c r="C48" i="6"/>
  <c r="D47" i="6"/>
  <c r="C47" i="6"/>
  <c r="D46" i="6"/>
  <c r="E46" i="6" s="1"/>
  <c r="C46" i="6"/>
  <c r="D45" i="6"/>
  <c r="E45" i="6"/>
  <c r="F45" i="6"/>
  <c r="C45" i="6"/>
  <c r="D44" i="6"/>
  <c r="C44" i="6"/>
  <c r="D43" i="6"/>
  <c r="E43" i="6"/>
  <c r="C43" i="6"/>
  <c r="F43" i="6" s="1"/>
  <c r="D42" i="6"/>
  <c r="E42" i="6" s="1"/>
  <c r="C42" i="6"/>
  <c r="D41" i="6"/>
  <c r="D52" i="6"/>
  <c r="C41" i="6"/>
  <c r="D38" i="6"/>
  <c r="E38" i="6"/>
  <c r="F38" i="6"/>
  <c r="C38" i="6"/>
  <c r="F37" i="6"/>
  <c r="E37" i="6"/>
  <c r="F36" i="6"/>
  <c r="E36" i="6"/>
  <c r="E35" i="6"/>
  <c r="F35" i="6" s="1"/>
  <c r="F34" i="6"/>
  <c r="E34" i="6"/>
  <c r="E33" i="6"/>
  <c r="F33" i="6" s="1"/>
  <c r="F32" i="6"/>
  <c r="E32" i="6"/>
  <c r="E31" i="6"/>
  <c r="F31" i="6" s="1"/>
  <c r="F30" i="6"/>
  <c r="E30" i="6"/>
  <c r="F29" i="6"/>
  <c r="E29" i="6"/>
  <c r="F28" i="6"/>
  <c r="E28" i="6"/>
  <c r="E27" i="6"/>
  <c r="F27" i="6" s="1"/>
  <c r="D25" i="6"/>
  <c r="E25" i="6" s="1"/>
  <c r="C25" i="6"/>
  <c r="F25" i="6" s="1"/>
  <c r="F24" i="6"/>
  <c r="E24" i="6"/>
  <c r="F23" i="6"/>
  <c r="E23" i="6"/>
  <c r="F22" i="6"/>
  <c r="E22" i="6"/>
  <c r="F21" i="6"/>
  <c r="E21" i="6"/>
  <c r="F20" i="6"/>
  <c r="E20" i="6"/>
  <c r="E19" i="6"/>
  <c r="F19" i="6" s="1"/>
  <c r="F18" i="6"/>
  <c r="E18" i="6"/>
  <c r="F17" i="6"/>
  <c r="E17" i="6"/>
  <c r="F16" i="6"/>
  <c r="E16" i="6"/>
  <c r="E15" i="6"/>
  <c r="F15" i="6" s="1"/>
  <c r="F14" i="6"/>
  <c r="E14" i="6"/>
  <c r="F51" i="5"/>
  <c r="E51" i="5"/>
  <c r="D48" i="5"/>
  <c r="E48" i="5" s="1"/>
  <c r="C48" i="5"/>
  <c r="F48" i="5" s="1"/>
  <c r="F47" i="5"/>
  <c r="E47" i="5"/>
  <c r="E46" i="5"/>
  <c r="F46" i="5" s="1"/>
  <c r="D41" i="5"/>
  <c r="E41" i="5" s="1"/>
  <c r="C41" i="5"/>
  <c r="F40" i="5"/>
  <c r="E40" i="5"/>
  <c r="F39" i="5"/>
  <c r="E39" i="5"/>
  <c r="F38" i="5"/>
  <c r="E38" i="5"/>
  <c r="D33" i="5"/>
  <c r="E33" i="5"/>
  <c r="F33" i="5"/>
  <c r="C33" i="5"/>
  <c r="F32" i="5"/>
  <c r="E32" i="5"/>
  <c r="F31" i="5"/>
  <c r="E31" i="5"/>
  <c r="E30" i="5"/>
  <c r="F30" i="5" s="1"/>
  <c r="F29" i="5"/>
  <c r="E29" i="5"/>
  <c r="E28" i="5"/>
  <c r="F28" i="5" s="1"/>
  <c r="F27" i="5"/>
  <c r="E27" i="5"/>
  <c r="E26" i="5"/>
  <c r="F26" i="5" s="1"/>
  <c r="F25" i="5"/>
  <c r="E25" i="5"/>
  <c r="E24" i="5"/>
  <c r="F24" i="5" s="1"/>
  <c r="F20" i="5"/>
  <c r="E20" i="5"/>
  <c r="E19" i="5"/>
  <c r="F19" i="5" s="1"/>
  <c r="F17" i="5"/>
  <c r="E17" i="5"/>
  <c r="D16" i="5"/>
  <c r="D18" i="5" s="1"/>
  <c r="C16" i="5"/>
  <c r="F15" i="5"/>
  <c r="E15" i="5"/>
  <c r="F14" i="5"/>
  <c r="E14" i="5"/>
  <c r="F13" i="5"/>
  <c r="E13" i="5"/>
  <c r="F12" i="5"/>
  <c r="E12" i="5"/>
  <c r="D73" i="4"/>
  <c r="C73" i="4"/>
  <c r="E73" i="4" s="1"/>
  <c r="E72" i="4"/>
  <c r="F72" i="4" s="1"/>
  <c r="E71" i="4"/>
  <c r="F71" i="4" s="1"/>
  <c r="E70" i="4"/>
  <c r="F70" i="4" s="1"/>
  <c r="F67" i="4"/>
  <c r="E67" i="4"/>
  <c r="E64" i="4"/>
  <c r="F64" i="4" s="1"/>
  <c r="E63" i="4"/>
  <c r="F63" i="4" s="1"/>
  <c r="D61" i="4"/>
  <c r="D65" i="4" s="1"/>
  <c r="C61" i="4"/>
  <c r="F60" i="4"/>
  <c r="E60" i="4"/>
  <c r="F59" i="4"/>
  <c r="E59" i="4"/>
  <c r="D56" i="4"/>
  <c r="C56" i="4"/>
  <c r="F55" i="4"/>
  <c r="E55" i="4"/>
  <c r="E54" i="4"/>
  <c r="F54" i="4" s="1"/>
  <c r="F53" i="4"/>
  <c r="E53" i="4"/>
  <c r="E52" i="4"/>
  <c r="F52" i="4"/>
  <c r="F51" i="4"/>
  <c r="E51" i="4"/>
  <c r="E50" i="4"/>
  <c r="F50" i="4"/>
  <c r="A50" i="4"/>
  <c r="A51" i="4" s="1"/>
  <c r="A52" i="4" s="1"/>
  <c r="A53" i="4" s="1"/>
  <c r="A54" i="4" s="1"/>
  <c r="A55" i="4" s="1"/>
  <c r="F49" i="4"/>
  <c r="E49" i="4"/>
  <c r="E40" i="4"/>
  <c r="F40" i="4" s="1"/>
  <c r="D38" i="4"/>
  <c r="D41" i="4"/>
  <c r="C38" i="4"/>
  <c r="C41" i="4"/>
  <c r="E41" i="4" s="1"/>
  <c r="E37" i="4"/>
  <c r="F37" i="4" s="1"/>
  <c r="E36" i="4"/>
  <c r="F36" i="4" s="1"/>
  <c r="E33" i="4"/>
  <c r="F33" i="4" s="1"/>
  <c r="F32" i="4"/>
  <c r="E32" i="4"/>
  <c r="F31" i="4"/>
  <c r="E31" i="4"/>
  <c r="D29" i="4"/>
  <c r="C29" i="4"/>
  <c r="E28" i="4"/>
  <c r="F28" i="4" s="1"/>
  <c r="E27" i="4"/>
  <c r="F27" i="4" s="1"/>
  <c r="F26" i="4"/>
  <c r="E26" i="4"/>
  <c r="E25" i="4"/>
  <c r="F25" i="4" s="1"/>
  <c r="D22" i="4"/>
  <c r="E22" i="4" s="1"/>
  <c r="D43" i="4"/>
  <c r="C22" i="4"/>
  <c r="C43" i="4" s="1"/>
  <c r="E21" i="4"/>
  <c r="F21" i="4" s="1"/>
  <c r="E20" i="4"/>
  <c r="F20" i="4" s="1"/>
  <c r="E19" i="4"/>
  <c r="F19" i="4" s="1"/>
  <c r="F18" i="4"/>
  <c r="E18" i="4"/>
  <c r="E17" i="4"/>
  <c r="F17" i="4" s="1"/>
  <c r="E16" i="4"/>
  <c r="F16" i="4" s="1"/>
  <c r="F15" i="4"/>
  <c r="E15" i="4"/>
  <c r="F14" i="4"/>
  <c r="E14" i="4"/>
  <c r="E13" i="4"/>
  <c r="F13" i="4" s="1"/>
  <c r="D22" i="22"/>
  <c r="C23" i="22"/>
  <c r="C36" i="22" s="1"/>
  <c r="E23" i="22"/>
  <c r="C34" i="22"/>
  <c r="E34" i="22"/>
  <c r="C102" i="22"/>
  <c r="C103" i="22"/>
  <c r="C22" i="22"/>
  <c r="E22" i="22"/>
  <c r="D30" i="22"/>
  <c r="D36" i="22"/>
  <c r="D40" i="22"/>
  <c r="D46" i="22"/>
  <c r="F21" i="21"/>
  <c r="C41" i="20"/>
  <c r="F40" i="20"/>
  <c r="D41" i="20"/>
  <c r="E39" i="20"/>
  <c r="E41" i="20" s="1"/>
  <c r="F41" i="20" s="1"/>
  <c r="E23" i="17"/>
  <c r="F23" i="17" s="1"/>
  <c r="E24" i="17"/>
  <c r="F24" i="17" s="1"/>
  <c r="E29" i="17"/>
  <c r="F29" i="17" s="1"/>
  <c r="E44" i="17"/>
  <c r="E19" i="20"/>
  <c r="F19" i="20"/>
  <c r="E43" i="20"/>
  <c r="C38" i="19"/>
  <c r="C127" i="19"/>
  <c r="C129" i="19"/>
  <c r="C133" i="19" s="1"/>
  <c r="C22" i="19"/>
  <c r="E33" i="18"/>
  <c r="D258" i="18"/>
  <c r="D101" i="18"/>
  <c r="D99" i="18"/>
  <c r="D97" i="18"/>
  <c r="D95" i="18"/>
  <c r="D88" i="18"/>
  <c r="D100" i="18"/>
  <c r="D98" i="18"/>
  <c r="D96" i="18"/>
  <c r="D89" i="18"/>
  <c r="D87" i="18"/>
  <c r="D85" i="18"/>
  <c r="D83" i="18"/>
  <c r="D86" i="18"/>
  <c r="D84" i="18"/>
  <c r="E43" i="18"/>
  <c r="C98" i="18"/>
  <c r="C89" i="18"/>
  <c r="C87" i="18"/>
  <c r="C101" i="18"/>
  <c r="E101" i="18" s="1"/>
  <c r="C88" i="18"/>
  <c r="C84" i="18"/>
  <c r="C90" i="18"/>
  <c r="C85" i="18"/>
  <c r="D181" i="17"/>
  <c r="E181" i="17" s="1"/>
  <c r="E229" i="17"/>
  <c r="E230" i="17"/>
  <c r="F230" i="17" s="1"/>
  <c r="E238" i="17"/>
  <c r="D22" i="18"/>
  <c r="E37" i="18"/>
  <c r="C55" i="18"/>
  <c r="D66" i="18"/>
  <c r="D157" i="18"/>
  <c r="D169" i="18" s="1"/>
  <c r="E17" i="17"/>
  <c r="E53" i="17"/>
  <c r="E58" i="17"/>
  <c r="E67" i="17"/>
  <c r="E32" i="18"/>
  <c r="D295" i="18"/>
  <c r="E36" i="18"/>
  <c r="C289" i="18"/>
  <c r="E289" i="18" s="1"/>
  <c r="C71" i="18"/>
  <c r="C76" i="18" s="1"/>
  <c r="C65" i="18"/>
  <c r="C66" i="18" s="1"/>
  <c r="E60" i="18"/>
  <c r="E70" i="18"/>
  <c r="C144" i="18"/>
  <c r="E144" i="18" s="1"/>
  <c r="D145" i="18"/>
  <c r="E151" i="18"/>
  <c r="D163" i="18"/>
  <c r="C261" i="18"/>
  <c r="C189" i="18"/>
  <c r="D260" i="18"/>
  <c r="E195" i="18"/>
  <c r="D239" i="18"/>
  <c r="E239" i="18" s="1"/>
  <c r="E215" i="18"/>
  <c r="E240" i="18"/>
  <c r="E220" i="18"/>
  <c r="D245" i="18"/>
  <c r="E221" i="18"/>
  <c r="D253" i="18"/>
  <c r="E253" i="18" s="1"/>
  <c r="E302" i="18"/>
  <c r="C303" i="18"/>
  <c r="C306" i="18"/>
  <c r="C310" i="18" s="1"/>
  <c r="C234" i="18"/>
  <c r="E205" i="18"/>
  <c r="C211" i="18"/>
  <c r="C235" i="18" s="1"/>
  <c r="E216" i="18"/>
  <c r="C242" i="18"/>
  <c r="C217" i="18"/>
  <c r="C241" i="18" s="1"/>
  <c r="E218" i="18"/>
  <c r="D243" i="18"/>
  <c r="E243" i="18"/>
  <c r="E219" i="18"/>
  <c r="C222" i="18"/>
  <c r="C246" i="18"/>
  <c r="C229" i="18"/>
  <c r="C253" i="18"/>
  <c r="C254" i="18" s="1"/>
  <c r="E316" i="18"/>
  <c r="E330" i="18"/>
  <c r="D222" i="18"/>
  <c r="D223" i="18" s="1"/>
  <c r="C252" i="18"/>
  <c r="E265" i="18"/>
  <c r="E314" i="18"/>
  <c r="C32" i="17"/>
  <c r="C210" i="17" s="1"/>
  <c r="E60" i="17"/>
  <c r="F60" i="17"/>
  <c r="D61" i="17"/>
  <c r="E68" i="17"/>
  <c r="F68" i="17"/>
  <c r="E77" i="17"/>
  <c r="D103" i="17"/>
  <c r="E102" i="17"/>
  <c r="F172" i="17"/>
  <c r="C173" i="17"/>
  <c r="F173" i="17"/>
  <c r="F31" i="17"/>
  <c r="D32" i="17"/>
  <c r="D160" i="17"/>
  <c r="E48" i="17"/>
  <c r="F48" i="17"/>
  <c r="C207" i="17"/>
  <c r="C138" i="17"/>
  <c r="D173" i="17"/>
  <c r="E173" i="17" s="1"/>
  <c r="E172" i="17"/>
  <c r="F17" i="17"/>
  <c r="D21" i="17"/>
  <c r="F36" i="17"/>
  <c r="F44" i="17"/>
  <c r="F52" i="17"/>
  <c r="F58" i="17"/>
  <c r="F67" i="17"/>
  <c r="E88" i="17"/>
  <c r="F88" i="17" s="1"/>
  <c r="E109" i="17"/>
  <c r="F109" i="17" s="1"/>
  <c r="C124" i="17"/>
  <c r="C125" i="17" s="1"/>
  <c r="E144" i="17"/>
  <c r="F144" i="17" s="1"/>
  <c r="E158" i="17"/>
  <c r="E171" i="17"/>
  <c r="E179" i="17"/>
  <c r="C277" i="17"/>
  <c r="C261" i="17"/>
  <c r="C254" i="17"/>
  <c r="C214" i="17"/>
  <c r="C304" i="17" s="1"/>
  <c r="E188" i="17"/>
  <c r="F188" i="17"/>
  <c r="C190" i="17"/>
  <c r="C280" i="17"/>
  <c r="E280" i="17" s="1"/>
  <c r="C264" i="17"/>
  <c r="E191" i="17"/>
  <c r="F191" i="17" s="1"/>
  <c r="C200" i="17"/>
  <c r="C283" i="17"/>
  <c r="C267" i="17"/>
  <c r="E203" i="17"/>
  <c r="F203" i="17"/>
  <c r="C206" i="17"/>
  <c r="E20" i="17"/>
  <c r="F20" i="17" s="1"/>
  <c r="C21" i="17"/>
  <c r="E30" i="17"/>
  <c r="F30" i="17"/>
  <c r="E35" i="17"/>
  <c r="F35" i="17"/>
  <c r="C37" i="17"/>
  <c r="E47" i="17"/>
  <c r="F47" i="17"/>
  <c r="E59" i="17"/>
  <c r="F59" i="17" s="1"/>
  <c r="E66" i="17"/>
  <c r="F66" i="17"/>
  <c r="E76" i="17"/>
  <c r="F76" i="17" s="1"/>
  <c r="C278" i="17"/>
  <c r="C262" i="17"/>
  <c r="C192" i="17"/>
  <c r="C290" i="17"/>
  <c r="F290" i="17" s="1"/>
  <c r="C274" i="17"/>
  <c r="C300" i="17" s="1"/>
  <c r="E198" i="17"/>
  <c r="F198" i="17" s="1"/>
  <c r="D290" i="17"/>
  <c r="E290" i="17"/>
  <c r="D274" i="17"/>
  <c r="D300" i="17" s="1"/>
  <c r="E300" i="17" s="1"/>
  <c r="D200" i="17"/>
  <c r="D283" i="17"/>
  <c r="D286" i="17" s="1"/>
  <c r="D287" i="17"/>
  <c r="E287" i="17" s="1"/>
  <c r="F287" i="17" s="1"/>
  <c r="D267" i="17"/>
  <c r="D285" i="17"/>
  <c r="D269" i="17"/>
  <c r="D205" i="17"/>
  <c r="D206" i="17"/>
  <c r="D214" i="17"/>
  <c r="E214" i="17" s="1"/>
  <c r="F223" i="17"/>
  <c r="F229" i="17"/>
  <c r="F238" i="17"/>
  <c r="D261" i="17"/>
  <c r="E261" i="17" s="1"/>
  <c r="D264" i="17"/>
  <c r="E277" i="17"/>
  <c r="F277" i="17" s="1"/>
  <c r="E295" i="17"/>
  <c r="F295" i="17"/>
  <c r="E297" i="17"/>
  <c r="F297" i="17" s="1"/>
  <c r="E299" i="17"/>
  <c r="F299" i="17"/>
  <c r="E226" i="17"/>
  <c r="F226" i="17" s="1"/>
  <c r="E250" i="17"/>
  <c r="F250" i="17" s="1"/>
  <c r="E294" i="17"/>
  <c r="F294" i="17" s="1"/>
  <c r="E296" i="17"/>
  <c r="F296" i="17" s="1"/>
  <c r="F36" i="14"/>
  <c r="F38" i="14"/>
  <c r="F40" i="14" s="1"/>
  <c r="I31" i="14"/>
  <c r="I17" i="14"/>
  <c r="D31" i="14"/>
  <c r="F31" i="14"/>
  <c r="H31" i="14" s="1"/>
  <c r="C33" i="14"/>
  <c r="C36" i="14" s="1"/>
  <c r="C38" i="14" s="1"/>
  <c r="C40" i="14" s="1"/>
  <c r="E33" i="14"/>
  <c r="E36" i="14" s="1"/>
  <c r="E38" i="14" s="1"/>
  <c r="E40" i="14" s="1"/>
  <c r="G33" i="14"/>
  <c r="I33" i="14" s="1"/>
  <c r="I36" i="14" s="1"/>
  <c r="I38" i="14" s="1"/>
  <c r="I40" i="14" s="1"/>
  <c r="H17" i="14"/>
  <c r="C21" i="13"/>
  <c r="D15" i="13"/>
  <c r="D24" i="13" s="1"/>
  <c r="E17" i="13"/>
  <c r="E28" i="13" s="1"/>
  <c r="E70" i="13" s="1"/>
  <c r="E72" i="13" s="1"/>
  <c r="E69" i="13" s="1"/>
  <c r="D48" i="13"/>
  <c r="D20" i="12"/>
  <c r="E17" i="12"/>
  <c r="E15" i="12"/>
  <c r="F15" i="12" s="1"/>
  <c r="F73" i="11"/>
  <c r="E22" i="11"/>
  <c r="F22" i="11"/>
  <c r="E56" i="11"/>
  <c r="F56" i="11" s="1"/>
  <c r="E61" i="11"/>
  <c r="F61" i="11" s="1"/>
  <c r="F122" i="10"/>
  <c r="E112" i="10"/>
  <c r="F112" i="10"/>
  <c r="E113" i="10"/>
  <c r="F113" i="10"/>
  <c r="E198" i="9"/>
  <c r="F198" i="9" s="1"/>
  <c r="E199" i="9"/>
  <c r="F199" i="9"/>
  <c r="C136" i="8"/>
  <c r="C139" i="8"/>
  <c r="C135" i="8"/>
  <c r="E157" i="8"/>
  <c r="E152" i="8"/>
  <c r="E21" i="8"/>
  <c r="D15" i="8"/>
  <c r="D24" i="8" s="1"/>
  <c r="E43" i="8"/>
  <c r="E53" i="8"/>
  <c r="D77" i="8"/>
  <c r="E15" i="8"/>
  <c r="D43" i="8"/>
  <c r="E49" i="8"/>
  <c r="C77" i="8"/>
  <c r="C71" i="8"/>
  <c r="E90" i="7"/>
  <c r="F90" i="7" s="1"/>
  <c r="E183" i="7"/>
  <c r="F183" i="7"/>
  <c r="E41" i="6"/>
  <c r="E84" i="6"/>
  <c r="F84" i="6" s="1"/>
  <c r="E16" i="5"/>
  <c r="F73" i="4"/>
  <c r="F22" i="4"/>
  <c r="E38" i="4"/>
  <c r="F38" i="4"/>
  <c r="E56" i="4"/>
  <c r="F56" i="4" s="1"/>
  <c r="D56" i="22"/>
  <c r="D48" i="22"/>
  <c r="D38" i="22"/>
  <c r="C39" i="22"/>
  <c r="C35" i="22"/>
  <c r="C54" i="22"/>
  <c r="C30" i="22"/>
  <c r="C48" i="22" s="1"/>
  <c r="E45" i="22"/>
  <c r="E39" i="22"/>
  <c r="E35" i="22"/>
  <c r="E54" i="22"/>
  <c r="E46" i="22"/>
  <c r="E40" i="22"/>
  <c r="E36" i="22"/>
  <c r="E30" i="22"/>
  <c r="D53" i="22"/>
  <c r="D45" i="22"/>
  <c r="D39" i="22"/>
  <c r="D35" i="22"/>
  <c r="D29" i="22"/>
  <c r="F43" i="20"/>
  <c r="C223" i="18"/>
  <c r="C247" i="18" s="1"/>
  <c r="D252" i="18"/>
  <c r="E252" i="18" s="1"/>
  <c r="E260" i="18"/>
  <c r="C180" i="18"/>
  <c r="C145" i="18"/>
  <c r="E145" i="18" s="1"/>
  <c r="D90" i="18"/>
  <c r="E90" i="18"/>
  <c r="E85" i="18"/>
  <c r="E98" i="18"/>
  <c r="E88" i="18"/>
  <c r="D91" i="18"/>
  <c r="E264" i="17"/>
  <c r="F264" i="17" s="1"/>
  <c r="D271" i="17"/>
  <c r="E271" i="17" s="1"/>
  <c r="F271" i="17" s="1"/>
  <c r="D268" i="17"/>
  <c r="D254" i="17"/>
  <c r="F280" i="17"/>
  <c r="C281" i="17"/>
  <c r="C271" i="17"/>
  <c r="C263" i="17"/>
  <c r="C174" i="17"/>
  <c r="C139" i="17"/>
  <c r="D174" i="17"/>
  <c r="D104" i="17"/>
  <c r="E61" i="17"/>
  <c r="F61" i="17"/>
  <c r="D270" i="17"/>
  <c r="E267" i="17"/>
  <c r="F267" i="17"/>
  <c r="C49" i="17"/>
  <c r="C161" i="17"/>
  <c r="C162" i="17" s="1"/>
  <c r="C126" i="17"/>
  <c r="C91" i="17"/>
  <c r="C287" i="17"/>
  <c r="C284" i="17"/>
  <c r="C279" i="17"/>
  <c r="D161" i="17"/>
  <c r="D162" i="17" s="1"/>
  <c r="E21" i="17"/>
  <c r="F21" i="17"/>
  <c r="D49" i="17"/>
  <c r="D50" i="17" s="1"/>
  <c r="C208" i="17"/>
  <c r="D175" i="17"/>
  <c r="D176" i="17" s="1"/>
  <c r="D105" i="17"/>
  <c r="C140" i="17"/>
  <c r="C141" i="17" s="1"/>
  <c r="G36" i="14"/>
  <c r="G38" i="14"/>
  <c r="G40" i="14"/>
  <c r="D34" i="12"/>
  <c r="E24" i="8"/>
  <c r="E20" i="8"/>
  <c r="E17" i="8"/>
  <c r="E28" i="8" s="1"/>
  <c r="D17" i="8"/>
  <c r="D112" i="8" s="1"/>
  <c r="D55" i="22"/>
  <c r="D47" i="22"/>
  <c r="D37" i="22"/>
  <c r="C56" i="22"/>
  <c r="D254" i="18"/>
  <c r="E254" i="18" s="1"/>
  <c r="E49" i="17"/>
  <c r="F49" i="17" s="1"/>
  <c r="C209" i="17"/>
  <c r="C50" i="17"/>
  <c r="E50" i="17" s="1"/>
  <c r="F50" i="17" s="1"/>
  <c r="D42" i="12"/>
  <c r="D28" i="8"/>
  <c r="D111" i="8"/>
  <c r="C322" i="17"/>
  <c r="D99" i="8"/>
  <c r="D101" i="8" s="1"/>
  <c r="D98" i="8" s="1"/>
  <c r="E99" i="8"/>
  <c r="E101" i="8" s="1"/>
  <c r="E98" i="8" s="1"/>
  <c r="E22" i="8"/>
  <c r="E223" i="18" l="1"/>
  <c r="D247" i="18"/>
  <c r="E247" i="18" s="1"/>
  <c r="D288" i="17"/>
  <c r="D279" i="17"/>
  <c r="E279" i="17" s="1"/>
  <c r="F279" i="17" s="1"/>
  <c r="E278" i="17"/>
  <c r="F278" i="17" s="1"/>
  <c r="D323" i="17"/>
  <c r="E162" i="17"/>
  <c r="D183" i="17"/>
  <c r="C15" i="8"/>
  <c r="C25" i="8"/>
  <c r="C27" i="8" s="1"/>
  <c r="D102" i="22"/>
  <c r="D101" i="22"/>
  <c r="D110" i="22"/>
  <c r="D108" i="22"/>
  <c r="D111" i="22"/>
  <c r="D109" i="22"/>
  <c r="C127" i="17"/>
  <c r="D112" i="22"/>
  <c r="D71" i="8"/>
  <c r="E285" i="17"/>
  <c r="C77" i="18"/>
  <c r="C259" i="18"/>
  <c r="C263" i="18" s="1"/>
  <c r="E97" i="18"/>
  <c r="D303" i="18"/>
  <c r="E301" i="18"/>
  <c r="C60" i="19"/>
  <c r="C64" i="19"/>
  <c r="E161" i="17"/>
  <c r="F161" i="17" s="1"/>
  <c r="F162" i="17"/>
  <c r="D113" i="22"/>
  <c r="F300" i="17"/>
  <c r="F261" i="17"/>
  <c r="E32" i="17"/>
  <c r="F32" i="17" s="1"/>
  <c r="D62" i="17"/>
  <c r="E87" i="18"/>
  <c r="E43" i="4"/>
  <c r="F43" i="4" s="1"/>
  <c r="F91" i="6"/>
  <c r="E91" i="6"/>
  <c r="E94" i="6"/>
  <c r="C255" i="17"/>
  <c r="C215" i="17"/>
  <c r="C285" i="17"/>
  <c r="C205" i="17"/>
  <c r="F204" i="17"/>
  <c r="C269" i="17"/>
  <c r="E269" i="17" s="1"/>
  <c r="E204" i="17"/>
  <c r="C157" i="18"/>
  <c r="E156" i="18"/>
  <c r="D289" i="17"/>
  <c r="D291" i="17"/>
  <c r="F101" i="9"/>
  <c r="F83" i="10"/>
  <c r="E83" i="10"/>
  <c r="C38" i="22"/>
  <c r="E102" i="22"/>
  <c r="E103" i="22" s="1"/>
  <c r="E101" i="9"/>
  <c r="E268" i="17"/>
  <c r="C92" i="17"/>
  <c r="E81" i="6"/>
  <c r="F81" i="6" s="1"/>
  <c r="C57" i="8"/>
  <c r="C62" i="8" s="1"/>
  <c r="C53" i="8"/>
  <c r="D261" i="18"/>
  <c r="E261" i="18" s="1"/>
  <c r="D189" i="18"/>
  <c r="E189" i="18" s="1"/>
  <c r="E188" i="18"/>
  <c r="D49" i="12"/>
  <c r="C154" i="8"/>
  <c r="C152" i="8"/>
  <c r="C157" i="8"/>
  <c r="C155" i="8"/>
  <c r="F128" i="9"/>
  <c r="C20" i="12"/>
  <c r="F17" i="12"/>
  <c r="D21" i="13"/>
  <c r="D20" i="13"/>
  <c r="D137" i="17"/>
  <c r="E136" i="17"/>
  <c r="F136" i="17" s="1"/>
  <c r="D262" i="17"/>
  <c r="D199" i="17"/>
  <c r="E199" i="17" s="1"/>
  <c r="F199" i="17" s="1"/>
  <c r="E189" i="17"/>
  <c r="F189" i="17" s="1"/>
  <c r="D190" i="17"/>
  <c r="E190" i="17" s="1"/>
  <c r="F190" i="17" s="1"/>
  <c r="C22" i="18"/>
  <c r="E21" i="18"/>
  <c r="C283" i="18"/>
  <c r="C43" i="8"/>
  <c r="D215" i="17"/>
  <c r="E112" i="8"/>
  <c r="E111" i="8" s="1"/>
  <c r="D304" i="17"/>
  <c r="F274" i="17"/>
  <c r="D21" i="5"/>
  <c r="C153" i="8"/>
  <c r="C65" i="4"/>
  <c r="E65" i="4" s="1"/>
  <c r="E61" i="4"/>
  <c r="F61" i="4" s="1"/>
  <c r="F22" i="20"/>
  <c r="E25" i="20"/>
  <c r="F25" i="20" s="1"/>
  <c r="D106" i="17"/>
  <c r="E174" i="17"/>
  <c r="F174" i="17" s="1"/>
  <c r="E254" i="17"/>
  <c r="F254" i="17" s="1"/>
  <c r="D102" i="18"/>
  <c r="E113" i="22"/>
  <c r="E38" i="22"/>
  <c r="E56" i="22"/>
  <c r="E48" i="22"/>
  <c r="C49" i="8"/>
  <c r="D246" i="18"/>
  <c r="E246" i="18" s="1"/>
  <c r="E222" i="18"/>
  <c r="D75" i="4"/>
  <c r="F44" i="6"/>
  <c r="E47" i="6"/>
  <c r="F47" i="6" s="1"/>
  <c r="E86" i="6"/>
  <c r="F86" i="6" s="1"/>
  <c r="C95" i="6"/>
  <c r="F59" i="7"/>
  <c r="C95" i="7"/>
  <c r="E88" i="8"/>
  <c r="E90" i="8" s="1"/>
  <c r="E86" i="8" s="1"/>
  <c r="E77" i="8"/>
  <c r="E71" i="8" s="1"/>
  <c r="E206" i="17"/>
  <c r="F206" i="17" s="1"/>
  <c r="C295" i="18"/>
  <c r="E295" i="18" s="1"/>
  <c r="E66" i="18"/>
  <c r="E89" i="18"/>
  <c r="E44" i="6"/>
  <c r="F68" i="6"/>
  <c r="F89" i="6"/>
  <c r="D53" i="8"/>
  <c r="D49" i="8"/>
  <c r="D57" i="8"/>
  <c r="D62" i="8" s="1"/>
  <c r="F202" i="9"/>
  <c r="E202" i="9"/>
  <c r="C90" i="17"/>
  <c r="F89" i="17"/>
  <c r="C103" i="17"/>
  <c r="C105" i="17" s="1"/>
  <c r="F102" i="17"/>
  <c r="F146" i="17"/>
  <c r="F159" i="17"/>
  <c r="C160" i="17"/>
  <c r="F298" i="17"/>
  <c r="E298" i="17"/>
  <c r="D76" i="18"/>
  <c r="C65" i="19"/>
  <c r="C114" i="19" s="1"/>
  <c r="C116" i="19" s="1"/>
  <c r="C119" i="19" s="1"/>
  <c r="C123" i="19" s="1"/>
  <c r="E109" i="22"/>
  <c r="E108" i="22"/>
  <c r="C181" i="18"/>
  <c r="H33" i="14"/>
  <c r="H36" i="14" s="1"/>
  <c r="H38" i="14" s="1"/>
  <c r="H40" i="14" s="1"/>
  <c r="D284" i="17"/>
  <c r="E284" i="17" s="1"/>
  <c r="F284" i="17" s="1"/>
  <c r="F214" i="17"/>
  <c r="C168" i="18"/>
  <c r="F39" i="20"/>
  <c r="E200" i="17"/>
  <c r="F200" i="17" s="1"/>
  <c r="E101" i="17"/>
  <c r="F101" i="17" s="1"/>
  <c r="C194" i="17"/>
  <c r="E324" i="18"/>
  <c r="E326" i="18"/>
  <c r="E29" i="4"/>
  <c r="F29" i="4" s="1"/>
  <c r="F42" i="6"/>
  <c r="F50" i="6"/>
  <c r="E50" i="6"/>
  <c r="E68" i="6"/>
  <c r="E89" i="6"/>
  <c r="F30" i="7"/>
  <c r="C140" i="8"/>
  <c r="C138" i="8"/>
  <c r="C137" i="8"/>
  <c r="C141" i="8" s="1"/>
  <c r="F89" i="9"/>
  <c r="E89" i="9"/>
  <c r="C43" i="11"/>
  <c r="E43" i="11" s="1"/>
  <c r="F29" i="11"/>
  <c r="F87" i="6"/>
  <c r="E123" i="17"/>
  <c r="F123" i="17" s="1"/>
  <c r="D192" i="17"/>
  <c r="E154" i="8"/>
  <c r="C266" i="17"/>
  <c r="E84" i="18"/>
  <c r="E29" i="22"/>
  <c r="E110" i="22"/>
  <c r="E53" i="22"/>
  <c r="C18" i="5"/>
  <c r="E18" i="5" s="1"/>
  <c r="F16" i="5"/>
  <c r="F48" i="6"/>
  <c r="E48" i="6"/>
  <c r="E87" i="6"/>
  <c r="F90" i="6"/>
  <c r="E24" i="7"/>
  <c r="F24" i="7" s="1"/>
  <c r="F49" i="9"/>
  <c r="F53" i="17"/>
  <c r="E120" i="17"/>
  <c r="F120" i="17"/>
  <c r="D210" i="18"/>
  <c r="D175" i="18"/>
  <c r="D229" i="18"/>
  <c r="E229" i="18" s="1"/>
  <c r="E95" i="6"/>
  <c r="F108" i="10"/>
  <c r="D239" i="17"/>
  <c r="E237" i="17"/>
  <c r="F237" i="17" s="1"/>
  <c r="F46" i="20"/>
  <c r="D17" i="13"/>
  <c r="D28" i="13" s="1"/>
  <c r="C175" i="17"/>
  <c r="E175" i="17" s="1"/>
  <c r="D263" i="17"/>
  <c r="E263" i="17" s="1"/>
  <c r="F263" i="17" s="1"/>
  <c r="E65" i="18"/>
  <c r="F41" i="4"/>
  <c r="C62" i="17"/>
  <c r="D91" i="17"/>
  <c r="C268" i="17"/>
  <c r="E283" i="17"/>
  <c r="F283" i="17" s="1"/>
  <c r="E111" i="22"/>
  <c r="E156" i="8"/>
  <c r="D90" i="17"/>
  <c r="C53" i="22"/>
  <c r="C45" i="22"/>
  <c r="C29" i="22"/>
  <c r="F85" i="6"/>
  <c r="F93" i="6"/>
  <c r="E93" i="6"/>
  <c r="E111" i="6"/>
  <c r="F111" i="6" s="1"/>
  <c r="E149" i="8"/>
  <c r="E36" i="9"/>
  <c r="E200" i="9"/>
  <c r="F200" i="9" s="1"/>
  <c r="C41" i="11"/>
  <c r="E38" i="11"/>
  <c r="F38" i="11" s="1"/>
  <c r="C99" i="18"/>
  <c r="E99" i="18" s="1"/>
  <c r="C83" i="18"/>
  <c r="C258" i="18"/>
  <c r="C97" i="18"/>
  <c r="C100" i="18"/>
  <c r="E100" i="18" s="1"/>
  <c r="C95" i="18"/>
  <c r="E44" i="18"/>
  <c r="C96" i="18"/>
  <c r="C86" i="18"/>
  <c r="E86" i="18" s="1"/>
  <c r="C294" i="18"/>
  <c r="E155" i="8"/>
  <c r="E274" i="17"/>
  <c r="D124" i="17"/>
  <c r="C46" i="22"/>
  <c r="C40" i="22"/>
  <c r="F41" i="5"/>
  <c r="C52" i="6"/>
  <c r="F41" i="6"/>
  <c r="F46" i="6"/>
  <c r="D149" i="8"/>
  <c r="F207" i="9"/>
  <c r="C163" i="18"/>
  <c r="E163" i="18" s="1"/>
  <c r="C175" i="18"/>
  <c r="E139" i="18"/>
  <c r="E166" i="6"/>
  <c r="F166" i="6" s="1"/>
  <c r="D166" i="8"/>
  <c r="E49" i="9"/>
  <c r="F76" i="9"/>
  <c r="F32" i="12"/>
  <c r="E27" i="13"/>
  <c r="E85" i="17"/>
  <c r="F85" i="17" s="1"/>
  <c r="E159" i="17"/>
  <c r="D27" i="8"/>
  <c r="E121" i="10"/>
  <c r="F121" i="10" s="1"/>
  <c r="E188" i="7"/>
  <c r="F188" i="7" s="1"/>
  <c r="E24" i="9"/>
  <c r="F24" i="9" s="1"/>
  <c r="F114" i="9"/>
  <c r="E114" i="9"/>
  <c r="F193" i="9"/>
  <c r="E193" i="9"/>
  <c r="E75" i="11"/>
  <c r="F75" i="11" s="1"/>
  <c r="C111" i="17"/>
  <c r="F110" i="17"/>
  <c r="E307" i="17"/>
  <c r="F307" i="17"/>
  <c r="E54" i="18"/>
  <c r="D55" i="18"/>
  <c r="D283" i="18"/>
  <c r="E283" i="18" s="1"/>
  <c r="D46" i="20"/>
  <c r="D95" i="7"/>
  <c r="F60" i="10"/>
  <c r="E60" i="10"/>
  <c r="F100" i="17"/>
  <c r="E36" i="20"/>
  <c r="F36" i="20" s="1"/>
  <c r="F34" i="20"/>
  <c r="F203" i="9"/>
  <c r="F36" i="10"/>
  <c r="F107" i="10"/>
  <c r="C15" i="13"/>
  <c r="E61" i="13"/>
  <c r="E57" i="13" s="1"/>
  <c r="F25" i="16"/>
  <c r="F95" i="17"/>
  <c r="F44" i="20"/>
  <c r="D88" i="22"/>
  <c r="F50" i="9"/>
  <c r="F102" i="9"/>
  <c r="F201" i="9"/>
  <c r="E206" i="9"/>
  <c r="F206" i="9" s="1"/>
  <c r="C61" i="13"/>
  <c r="C57" i="13" s="1"/>
  <c r="D80" i="13"/>
  <c r="D77" i="13" s="1"/>
  <c r="D242" i="18"/>
  <c r="E242" i="18" s="1"/>
  <c r="D217" i="18"/>
  <c r="F75" i="9"/>
  <c r="F127" i="9"/>
  <c r="F204" i="9"/>
  <c r="F40" i="12"/>
  <c r="F45" i="15"/>
  <c r="E100" i="15"/>
  <c r="F100" i="15" s="1"/>
  <c r="F15" i="16"/>
  <c r="D37" i="17"/>
  <c r="E37" i="17" s="1"/>
  <c r="F37" i="17" s="1"/>
  <c r="E135" i="17"/>
  <c r="F135" i="17" s="1"/>
  <c r="C239" i="17"/>
  <c r="E38" i="18"/>
  <c r="E41" i="18"/>
  <c r="D168" i="18"/>
  <c r="E168" i="18" s="1"/>
  <c r="E167" i="18"/>
  <c r="E278" i="18"/>
  <c r="E20" i="20"/>
  <c r="F20" i="20" s="1"/>
  <c r="C77" i="22"/>
  <c r="E108" i="10"/>
  <c r="E65" i="11"/>
  <c r="F65" i="11" s="1"/>
  <c r="F65" i="15"/>
  <c r="D294" i="18"/>
  <c r="E294" i="18" s="1"/>
  <c r="E48" i="13"/>
  <c r="E42" i="13" s="1"/>
  <c r="F158" i="17"/>
  <c r="D71" i="18"/>
  <c r="E71" i="18" s="1"/>
  <c r="F105" i="17" l="1"/>
  <c r="C106" i="17"/>
  <c r="E105" i="17"/>
  <c r="F52" i="6"/>
  <c r="D77" i="18"/>
  <c r="E76" i="18"/>
  <c r="D259" i="18"/>
  <c r="E75" i="4"/>
  <c r="C112" i="18"/>
  <c r="C115" i="18"/>
  <c r="C123" i="18"/>
  <c r="C125" i="18"/>
  <c r="C110" i="18"/>
  <c r="C113" i="18"/>
  <c r="C126" i="18"/>
  <c r="C111" i="18"/>
  <c r="C127" i="18"/>
  <c r="C109" i="18"/>
  <c r="C121" i="18"/>
  <c r="C114" i="18"/>
  <c r="C124" i="18"/>
  <c r="C122" i="18"/>
  <c r="E55" i="22"/>
  <c r="E47" i="22"/>
  <c r="E37" i="22"/>
  <c r="E112" i="22"/>
  <c r="D35" i="5"/>
  <c r="F205" i="17"/>
  <c r="E205" i="17"/>
  <c r="C17" i="8"/>
  <c r="C24" i="8"/>
  <c r="E95" i="7"/>
  <c r="F95" i="7" s="1"/>
  <c r="E111" i="17"/>
  <c r="F111" i="17"/>
  <c r="E41" i="11"/>
  <c r="F41" i="11" s="1"/>
  <c r="F268" i="17"/>
  <c r="D70" i="13"/>
  <c r="D72" i="13" s="1"/>
  <c r="D69" i="13" s="1"/>
  <c r="D22" i="13"/>
  <c r="D234" i="18"/>
  <c r="E234" i="18" s="1"/>
  <c r="D211" i="18"/>
  <c r="E210" i="18"/>
  <c r="D180" i="18"/>
  <c r="E180" i="18" s="1"/>
  <c r="D138" i="17"/>
  <c r="E137" i="17"/>
  <c r="F137" i="17" s="1"/>
  <c r="D207" i="17"/>
  <c r="C158" i="8"/>
  <c r="C286" i="17"/>
  <c r="C288" i="17"/>
  <c r="F285" i="17"/>
  <c r="C197" i="17"/>
  <c r="C148" i="17"/>
  <c r="D305" i="17"/>
  <c r="C21" i="8"/>
  <c r="C20" i="8"/>
  <c r="C176" i="17"/>
  <c r="F175" i="17"/>
  <c r="E95" i="18"/>
  <c r="C55" i="22"/>
  <c r="C47" i="22"/>
  <c r="C37" i="22"/>
  <c r="C112" i="22"/>
  <c r="C265" i="17"/>
  <c r="C196" i="17"/>
  <c r="C195" i="17"/>
  <c r="C216" i="17"/>
  <c r="E303" i="18"/>
  <c r="D306" i="18"/>
  <c r="E52" i="6"/>
  <c r="D126" i="17"/>
  <c r="E124" i="17"/>
  <c r="F124" i="17" s="1"/>
  <c r="D125" i="17"/>
  <c r="E125" i="17" s="1"/>
  <c r="F125" i="17" s="1"/>
  <c r="E304" i="17"/>
  <c r="F304" i="17" s="1"/>
  <c r="C284" i="18"/>
  <c r="E22" i="18"/>
  <c r="E103" i="17"/>
  <c r="F103" i="17" s="1"/>
  <c r="C104" i="17"/>
  <c r="F65" i="4"/>
  <c r="C75" i="4"/>
  <c r="E106" i="17"/>
  <c r="E20" i="13"/>
  <c r="E22" i="13"/>
  <c r="E21" i="13"/>
  <c r="E175" i="18"/>
  <c r="C110" i="22"/>
  <c r="C111" i="22"/>
  <c r="C109" i="22"/>
  <c r="C108" i="22"/>
  <c r="D92" i="17"/>
  <c r="E91" i="17"/>
  <c r="F91" i="17" s="1"/>
  <c r="F43" i="11"/>
  <c r="E160" i="17"/>
  <c r="F160" i="17"/>
  <c r="F95" i="6"/>
  <c r="E102" i="18"/>
  <c r="D103" i="18"/>
  <c r="D241" i="18"/>
  <c r="E241" i="18" s="1"/>
  <c r="E217" i="18"/>
  <c r="E55" i="18"/>
  <c r="D284" i="18"/>
  <c r="D21" i="8"/>
  <c r="D20" i="8"/>
  <c r="D22" i="8"/>
  <c r="D156" i="8"/>
  <c r="D154" i="8"/>
  <c r="D155" i="8"/>
  <c r="D157" i="8"/>
  <c r="D152" i="8"/>
  <c r="D153" i="8"/>
  <c r="D135" i="8"/>
  <c r="D141" i="8" s="1"/>
  <c r="D138" i="8"/>
  <c r="D136" i="8"/>
  <c r="D140" i="8"/>
  <c r="D137" i="8"/>
  <c r="D139" i="8"/>
  <c r="C63" i="17"/>
  <c r="E239" i="17"/>
  <c r="F239" i="17" s="1"/>
  <c r="E158" i="8"/>
  <c r="C169" i="18"/>
  <c r="E169" i="18" s="1"/>
  <c r="E157" i="18"/>
  <c r="D63" i="17"/>
  <c r="E62" i="17"/>
  <c r="F62" i="17" s="1"/>
  <c r="C91" i="18"/>
  <c r="E83" i="18"/>
  <c r="E215" i="17"/>
  <c r="F215" i="17" s="1"/>
  <c r="D216" i="17"/>
  <c r="D255" i="17"/>
  <c r="E255" i="17" s="1"/>
  <c r="F255" i="17" s="1"/>
  <c r="C270" i="17"/>
  <c r="F269" i="17"/>
  <c r="C272" i="17"/>
  <c r="D272" i="17"/>
  <c r="E262" i="17"/>
  <c r="F262" i="17" s="1"/>
  <c r="C24" i="13"/>
  <c r="C20" i="13" s="1"/>
  <c r="C17" i="13"/>
  <c r="C28" i="13" s="1"/>
  <c r="C102" i="18"/>
  <c r="C103" i="18" s="1"/>
  <c r="E96" i="18"/>
  <c r="E258" i="18"/>
  <c r="C264" i="18"/>
  <c r="C266" i="18" s="1"/>
  <c r="C267" i="18" s="1"/>
  <c r="E136" i="8"/>
  <c r="E139" i="8"/>
  <c r="E140" i="8"/>
  <c r="E138" i="8"/>
  <c r="E137" i="8"/>
  <c r="E135" i="8"/>
  <c r="E90" i="17"/>
  <c r="F90" i="17" s="1"/>
  <c r="C21" i="5"/>
  <c r="E21" i="5" s="1"/>
  <c r="F18" i="5"/>
  <c r="D193" i="17"/>
  <c r="E192" i="17"/>
  <c r="F192" i="17" s="1"/>
  <c r="C113" i="22"/>
  <c r="C34" i="12"/>
  <c r="E20" i="12"/>
  <c r="F20" i="12"/>
  <c r="C113" i="17"/>
  <c r="C324" i="17"/>
  <c r="D103" i="22"/>
  <c r="C269" i="18" l="1"/>
  <c r="C268" i="18"/>
  <c r="E272" i="17"/>
  <c r="D273" i="17"/>
  <c r="F63" i="17"/>
  <c r="C70" i="17"/>
  <c r="C289" i="17"/>
  <c r="C291" i="17"/>
  <c r="E286" i="17"/>
  <c r="F286" i="17" s="1"/>
  <c r="D43" i="5"/>
  <c r="C128" i="18"/>
  <c r="C129" i="18" s="1"/>
  <c r="E141" i="8"/>
  <c r="E63" i="17"/>
  <c r="D70" i="17"/>
  <c r="D309" i="17"/>
  <c r="C116" i="18"/>
  <c r="C117" i="18" s="1"/>
  <c r="C131" i="18" s="1"/>
  <c r="D113" i="18"/>
  <c r="E113" i="18" s="1"/>
  <c r="D112" i="18"/>
  <c r="E112" i="18" s="1"/>
  <c r="D111" i="18"/>
  <c r="E111" i="18" s="1"/>
  <c r="D110" i="18"/>
  <c r="D126" i="18"/>
  <c r="E126" i="18" s="1"/>
  <c r="D125" i="18"/>
  <c r="E125" i="18" s="1"/>
  <c r="D124" i="18"/>
  <c r="E124" i="18" s="1"/>
  <c r="D109" i="18"/>
  <c r="D122" i="18"/>
  <c r="D115" i="18"/>
  <c r="E115" i="18" s="1"/>
  <c r="D127" i="18"/>
  <c r="E127" i="18" s="1"/>
  <c r="D123" i="18"/>
  <c r="E123" i="18" s="1"/>
  <c r="D121" i="18"/>
  <c r="E77" i="18"/>
  <c r="D114" i="18"/>
  <c r="E114" i="18" s="1"/>
  <c r="C35" i="5"/>
  <c r="E35" i="5" s="1"/>
  <c r="F21" i="5"/>
  <c r="E284" i="18"/>
  <c r="E207" i="17"/>
  <c r="F207" i="17" s="1"/>
  <c r="D208" i="17"/>
  <c r="E288" i="17"/>
  <c r="F288" i="17" s="1"/>
  <c r="E92" i="17"/>
  <c r="F92" i="17" s="1"/>
  <c r="D324" i="17"/>
  <c r="D113" i="17"/>
  <c r="E113" i="17" s="1"/>
  <c r="F113" i="17" s="1"/>
  <c r="E126" i="17"/>
  <c r="F126" i="17" s="1"/>
  <c r="D127" i="17"/>
  <c r="C105" i="18"/>
  <c r="E91" i="18"/>
  <c r="E104" i="17"/>
  <c r="F104" i="17" s="1"/>
  <c r="D181" i="18"/>
  <c r="E181" i="18" s="1"/>
  <c r="D235" i="18"/>
  <c r="E235" i="18" s="1"/>
  <c r="E211" i="18"/>
  <c r="D263" i="18"/>
  <c r="E259" i="18"/>
  <c r="C273" i="17"/>
  <c r="F272" i="17"/>
  <c r="D158" i="8"/>
  <c r="C42" i="12"/>
  <c r="E34" i="12"/>
  <c r="F34" i="12" s="1"/>
  <c r="E270" i="17"/>
  <c r="F270" i="17" s="1"/>
  <c r="C70" i="13"/>
  <c r="C72" i="13" s="1"/>
  <c r="C69" i="13" s="1"/>
  <c r="C22" i="13"/>
  <c r="E216" i="17"/>
  <c r="F216" i="17" s="1"/>
  <c r="E103" i="18"/>
  <c r="D105" i="18"/>
  <c r="D139" i="17"/>
  <c r="E139" i="17" s="1"/>
  <c r="F139" i="17" s="1"/>
  <c r="E138" i="17"/>
  <c r="F138" i="17" s="1"/>
  <c r="D140" i="17"/>
  <c r="C112" i="8"/>
  <c r="C111" i="8" s="1"/>
  <c r="C28" i="8"/>
  <c r="F106" i="17"/>
  <c r="D194" i="17"/>
  <c r="D266" i="17"/>
  <c r="E193" i="17"/>
  <c r="F193" i="17" s="1"/>
  <c r="D282" i="17"/>
  <c r="F75" i="4"/>
  <c r="E306" i="18"/>
  <c r="D310" i="18"/>
  <c r="E310" i="18" s="1"/>
  <c r="F176" i="17"/>
  <c r="C323" i="17"/>
  <c r="C211" i="17"/>
  <c r="E176" i="17"/>
  <c r="C183" i="17"/>
  <c r="E122" i="18" l="1"/>
  <c r="D128" i="18"/>
  <c r="E128" i="18" s="1"/>
  <c r="E289" i="17"/>
  <c r="F289" i="17" s="1"/>
  <c r="E282" i="17"/>
  <c r="F282" i="17" s="1"/>
  <c r="D281" i="17"/>
  <c r="E281" i="17" s="1"/>
  <c r="F281" i="17" s="1"/>
  <c r="D117" i="18"/>
  <c r="E109" i="18"/>
  <c r="D50" i="5"/>
  <c r="D310" i="17"/>
  <c r="E273" i="17"/>
  <c r="F323" i="17"/>
  <c r="E323" i="17"/>
  <c r="D196" i="17"/>
  <c r="E194" i="17"/>
  <c r="F194" i="17" s="1"/>
  <c r="D195" i="17"/>
  <c r="E195" i="17" s="1"/>
  <c r="F195" i="17" s="1"/>
  <c r="D264" i="18"/>
  <c r="E263" i="18"/>
  <c r="D129" i="18"/>
  <c r="E129" i="18" s="1"/>
  <c r="E121" i="18"/>
  <c r="D141" i="17"/>
  <c r="D148" i="17" s="1"/>
  <c r="E148" i="17" s="1"/>
  <c r="F148" i="17" s="1"/>
  <c r="E140" i="17"/>
  <c r="F140" i="17" s="1"/>
  <c r="D265" i="17"/>
  <c r="E265" i="17" s="1"/>
  <c r="F265" i="17" s="1"/>
  <c r="E266" i="17"/>
  <c r="F266" i="17" s="1"/>
  <c r="E208" i="17"/>
  <c r="F208" i="17" s="1"/>
  <c r="D209" i="17"/>
  <c r="E209" i="17" s="1"/>
  <c r="F209" i="17" s="1"/>
  <c r="D210" i="17"/>
  <c r="D116" i="18"/>
  <c r="E116" i="18" s="1"/>
  <c r="E110" i="18"/>
  <c r="F291" i="17"/>
  <c r="C305" i="17"/>
  <c r="E291" i="17"/>
  <c r="C325" i="17"/>
  <c r="F183" i="17"/>
  <c r="E183" i="17"/>
  <c r="F35" i="5"/>
  <c r="C43" i="5"/>
  <c r="F70" i="17"/>
  <c r="F273" i="17"/>
  <c r="E324" i="17"/>
  <c r="F324" i="17" s="1"/>
  <c r="E70" i="17"/>
  <c r="E105" i="18"/>
  <c r="C49" i="12"/>
  <c r="E42" i="12"/>
  <c r="F42" i="12" s="1"/>
  <c r="C99" i="8"/>
  <c r="C101" i="8" s="1"/>
  <c r="C98" i="8" s="1"/>
  <c r="C22" i="8"/>
  <c r="E127" i="17"/>
  <c r="F127" i="17" s="1"/>
  <c r="C271" i="18"/>
  <c r="D211" i="17" l="1"/>
  <c r="E211" i="17" s="1"/>
  <c r="F211" i="17" s="1"/>
  <c r="E210" i="17"/>
  <c r="F210" i="17" s="1"/>
  <c r="D197" i="17"/>
  <c r="E197" i="17" s="1"/>
  <c r="F197" i="17" s="1"/>
  <c r="E196" i="17"/>
  <c r="F196" i="17" s="1"/>
  <c r="D131" i="18"/>
  <c r="E131" i="18" s="1"/>
  <c r="E117" i="18"/>
  <c r="E264" i="18"/>
  <c r="D266" i="18"/>
  <c r="C309" i="17"/>
  <c r="E305" i="17"/>
  <c r="F305" i="17" s="1"/>
  <c r="E49" i="12"/>
  <c r="F49" i="12" s="1"/>
  <c r="C50" i="5"/>
  <c r="E50" i="5" s="1"/>
  <c r="F43" i="5"/>
  <c r="D322" i="17"/>
  <c r="E141" i="17"/>
  <c r="F141" i="17" s="1"/>
  <c r="D312" i="17"/>
  <c r="E43" i="5"/>
  <c r="D313" i="17" l="1"/>
  <c r="C310" i="17"/>
  <c r="E309" i="17"/>
  <c r="F309" i="17" s="1"/>
  <c r="F50" i="5"/>
  <c r="E322" i="17"/>
  <c r="F322" i="17" s="1"/>
  <c r="D325" i="17"/>
  <c r="E325" i="17" s="1"/>
  <c r="F325" i="17" s="1"/>
  <c r="E266" i="18"/>
  <c r="D267" i="18"/>
  <c r="C312" i="17" l="1"/>
  <c r="E310" i="17"/>
  <c r="F310" i="17" s="1"/>
  <c r="D251" i="17"/>
  <c r="D314" i="17"/>
  <c r="D315" i="17"/>
  <c r="D256" i="17"/>
  <c r="D269" i="18"/>
  <c r="E269" i="18" s="1"/>
  <c r="E267" i="18"/>
  <c r="D268" i="18"/>
  <c r="D257" i="17" l="1"/>
  <c r="E268" i="18"/>
  <c r="D271" i="18"/>
  <c r="E271" i="18" s="1"/>
  <c r="C313" i="17"/>
  <c r="F312" i="17"/>
  <c r="E312" i="17"/>
  <c r="D318" i="17"/>
  <c r="C315" i="17" l="1"/>
  <c r="C256" i="17"/>
  <c r="C314" i="17"/>
  <c r="C251" i="17"/>
  <c r="E313" i="17"/>
  <c r="F313" i="17" s="1"/>
  <c r="E251" i="17" l="1"/>
  <c r="F251" i="17" s="1"/>
  <c r="C257" i="17"/>
  <c r="E256" i="17"/>
  <c r="F256" i="17" s="1"/>
  <c r="C318" i="17"/>
  <c r="E314" i="17"/>
  <c r="F314" i="17" s="1"/>
  <c r="E315" i="17"/>
  <c r="F315" i="17" s="1"/>
  <c r="E257" i="17" l="1"/>
  <c r="F257" i="17" s="1"/>
  <c r="F318" i="17"/>
  <c r="E318" i="17"/>
</calcChain>
</file>

<file path=xl/sharedStrings.xml><?xml version="1.0" encoding="utf-8"?>
<sst xmlns="http://schemas.openxmlformats.org/spreadsheetml/2006/main" count="2337" uniqueCount="1011">
  <si>
    <t>HARTFORD HOSPITAL</t>
  </si>
  <si>
    <t>TWELVE MONTHS ACTUAL FILING</t>
  </si>
  <si>
    <t>FISCAL YEAR 2013</t>
  </si>
  <si>
    <t>REPORT 100 - HOSPITAL BALANCE SHEET INFORMATION</t>
  </si>
  <si>
    <t>FY 2012</t>
  </si>
  <si>
    <t>FY 2013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</si>
  <si>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</si>
  <si>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</si>
  <si>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</si>
  <si>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</si>
  <si>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</si>
  <si>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</si>
  <si>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</si>
  <si>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</si>
  <si>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</si>
  <si>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</si>
  <si>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</si>
  <si>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</si>
  <si>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</si>
  <si>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</si>
  <si>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</si>
  <si>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</si>
  <si>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</si>
  <si>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</si>
  <si>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</si>
  <si>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</si>
  <si>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</si>
  <si>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</si>
  <si>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</si>
  <si>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</si>
  <si>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</si>
  <si>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</si>
  <si>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</si>
  <si>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</si>
  <si>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</si>
  <si>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</si>
  <si>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</si>
  <si>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</si>
  <si>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</si>
  <si>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</si>
  <si>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</si>
  <si>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</si>
  <si>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</si>
  <si>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</si>
  <si>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</si>
  <si>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</si>
  <si>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</si>
  <si>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</si>
  <si>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</si>
  <si>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</si>
  <si>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</si>
  <si>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</si>
  <si>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</si>
  <si>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</si>
  <si>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</si>
  <si>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</si>
  <si>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</si>
  <si>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</si>
  <si>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</si>
  <si>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</si>
  <si>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</si>
  <si>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</si>
  <si>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</si>
  <si>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</si>
  <si>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</si>
  <si>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</si>
  <si>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</si>
  <si>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</si>
  <si>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</si>
  <si>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</si>
  <si>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</si>
  <si>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</si>
  <si>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</si>
  <si>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</si>
  <si>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</si>
  <si>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</si>
  <si>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</si>
  <si>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</si>
  <si>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</si>
  <si>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</si>
  <si>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</si>
  <si>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</si>
  <si>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</si>
  <si>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</si>
  <si>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</si>
  <si>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</si>
  <si>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</si>
  <si>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</si>
  <si>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</si>
  <si>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</si>
  <si>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</si>
  <si>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</si>
  <si>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</si>
  <si>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</si>
  <si>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</si>
  <si>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</si>
  <si>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</si>
  <si>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</si>
  <si>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</si>
  <si>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</si>
  <si>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</si>
  <si>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</si>
  <si>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</si>
  <si>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</si>
  <si>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</si>
  <si>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</si>
  <si>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</si>
  <si>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2012                ACTUAL</t>
  </si>
  <si>
    <t>FY 2013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</si>
  <si>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</si>
  <si>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</si>
  <si>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</si>
  <si>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</si>
  <si>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</si>
  <si>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</si>
  <si>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</si>
  <si>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</si>
  <si>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</si>
  <si>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</si>
  <si>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</si>
  <si>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</si>
  <si>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</si>
  <si>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</si>
  <si>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</si>
  <si>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</si>
  <si>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</si>
  <si>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</si>
  <si>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</si>
  <si>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</si>
  <si>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</si>
  <si>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</si>
  <si>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</si>
  <si>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</si>
  <si>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</si>
  <si>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</si>
  <si>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</si>
  <si>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</si>
  <si>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</si>
  <si>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</si>
  <si>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</si>
  <si>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</si>
  <si>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</si>
  <si>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</si>
  <si>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</si>
  <si>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</si>
  <si>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</si>
  <si>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</si>
  <si>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</si>
  <si>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</si>
  <si>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</si>
  <si>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</si>
  <si>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</si>
  <si>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</si>
  <si>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</si>
  <si>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</si>
  <si>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</si>
  <si>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</si>
  <si>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</si>
  <si>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</si>
  <si>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</si>
  <si>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</si>
  <si>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</si>
  <si>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</si>
  <si>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</si>
  <si>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</si>
  <si>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</si>
  <si>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</si>
  <si>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</si>
  <si>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</si>
  <si>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</si>
  <si>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</si>
  <si>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</si>
  <si>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</si>
  <si>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</si>
  <si>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</si>
  <si>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</si>
  <si>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</si>
  <si>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</si>
  <si>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</si>
  <si>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</si>
  <si>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</si>
  <si>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</si>
  <si>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</si>
  <si>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</si>
  <si>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</si>
  <si>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</si>
  <si>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</si>
  <si>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</si>
  <si>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</si>
  <si>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</si>
  <si>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</si>
  <si>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</si>
  <si>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</si>
  <si>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</si>
  <si>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</si>
  <si>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</si>
  <si>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</si>
  <si>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</si>
  <si>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</si>
  <si>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</si>
  <si>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</si>
  <si>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</si>
  <si>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</si>
  <si>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</si>
  <si>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</si>
  <si>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</si>
  <si>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</si>
  <si>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</si>
  <si>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</si>
  <si>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</si>
  <si>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</si>
  <si>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</si>
  <si>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</si>
  <si>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</si>
  <si>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</si>
  <si>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</si>
  <si>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</si>
  <si>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</si>
  <si>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</si>
  <si>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</si>
  <si>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</si>
  <si>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</si>
  <si>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</si>
  <si>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</si>
  <si>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</si>
  <si>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</si>
  <si>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</si>
  <si>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</si>
  <si>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</si>
  <si>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</si>
  <si>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</si>
  <si>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</si>
  <si>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</si>
  <si>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</si>
  <si>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</si>
  <si>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</si>
  <si>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</si>
  <si>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</si>
  <si>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</si>
  <si>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</si>
  <si>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</si>
  <si>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</si>
  <si>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</si>
  <si>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</si>
  <si>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</si>
  <si>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</si>
  <si>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</si>
  <si>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</si>
  <si>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</si>
  <si>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</si>
  <si>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</si>
  <si>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</si>
  <si>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</si>
  <si>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</si>
  <si>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</si>
  <si>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</si>
  <si>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</si>
  <si>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</si>
  <si>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</si>
  <si>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</si>
  <si>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</si>
  <si>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</si>
  <si>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</si>
  <si>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</si>
  <si>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</si>
  <si>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</si>
  <si>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</si>
  <si>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</si>
  <si>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</si>
  <si>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</si>
  <si>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</si>
  <si>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</si>
  <si>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</si>
  <si>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</si>
  <si>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</si>
  <si>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</si>
  <si>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</si>
  <si>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</si>
  <si>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</si>
  <si>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</si>
  <si>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</si>
  <si>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</si>
  <si>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</si>
  <si>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</si>
  <si>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</si>
  <si>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</si>
  <si>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</si>
  <si>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</si>
  <si>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</si>
  <si>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</si>
  <si>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</si>
  <si>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</si>
  <si>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</si>
  <si>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</si>
  <si>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</si>
  <si>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</si>
  <si>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</si>
  <si>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</si>
  <si>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</si>
  <si>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</si>
  <si>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</si>
  <si>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</si>
  <si>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</si>
  <si>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</si>
  <si>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</si>
  <si>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</si>
  <si>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</si>
  <si>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</si>
  <si>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</si>
  <si>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</si>
  <si>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</si>
  <si>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</si>
  <si>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</si>
  <si>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</si>
  <si>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2013</t>
  </si>
  <si>
    <t>REPORT 185 - HOSPITAL FINANCIAL AND STATISTICAL DATA ANALYSIS</t>
  </si>
  <si>
    <t xml:space="preserve">      FY 2011</t>
  </si>
  <si>
    <t xml:space="preserve">      FY 2012</t>
  </si>
  <si>
    <t xml:space="preserve">      FY 2013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</si>
  <si>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</si>
  <si>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</si>
  <si>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</si>
  <si>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</si>
  <si>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</si>
  <si>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</si>
  <si>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</si>
  <si>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</si>
  <si>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</si>
  <si>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</si>
  <si>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</si>
  <si>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</si>
  <si>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</si>
  <si>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</si>
  <si>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</si>
  <si>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</si>
  <si>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</si>
  <si>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</si>
  <si>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</si>
  <si>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</si>
  <si>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</si>
  <si>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</si>
  <si>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</si>
  <si>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</si>
  <si>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</si>
  <si>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</si>
  <si>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</si>
  <si>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</si>
  <si>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</si>
  <si>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</si>
  <si>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</si>
  <si>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</si>
  <si>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</si>
  <si>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</si>
  <si>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</si>
  <si>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</si>
  <si>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</si>
  <si>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</si>
  <si>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</si>
  <si>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</si>
  <si>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</si>
  <si>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</si>
  <si>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</si>
  <si>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</si>
  <si>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</si>
  <si>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</si>
  <si>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</si>
  <si>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</si>
  <si>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</si>
  <si>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</si>
  <si>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</si>
  <si>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</si>
  <si>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</si>
  <si>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</si>
  <si>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</si>
  <si>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</si>
  <si>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</si>
  <si>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</si>
  <si>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</si>
  <si>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</si>
  <si>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</si>
  <si>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</si>
  <si>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</si>
  <si>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</si>
  <si>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</si>
  <si>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</si>
  <si>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</si>
  <si>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</si>
  <si>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</si>
  <si>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</si>
  <si>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</si>
  <si>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</si>
  <si>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</si>
  <si>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</si>
  <si>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</si>
  <si>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</si>
  <si>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</si>
  <si>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</si>
  <si>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</si>
  <si>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</si>
  <si>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</si>
  <si>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</si>
  <si>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</si>
  <si>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</si>
  <si>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</si>
  <si>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</si>
  <si>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</si>
  <si>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</si>
  <si>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</si>
  <si>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</si>
  <si>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</si>
  <si>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</si>
  <si>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</si>
  <si>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</si>
  <si>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</si>
  <si>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</si>
  <si>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</si>
  <si>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</si>
  <si>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</si>
  <si>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</si>
  <si>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</si>
  <si>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</si>
  <si>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</si>
  <si>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</si>
  <si>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</si>
  <si>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</si>
  <si>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</si>
  <si>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</si>
  <si>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</si>
  <si>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</si>
  <si>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</si>
  <si>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</si>
  <si>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</si>
  <si>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</si>
  <si>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</si>
  <si>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</si>
  <si>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</si>
  <si>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2012 ACTUAL</t>
  </si>
  <si>
    <t>FY 2013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</si>
  <si>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</si>
  <si>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</si>
  <si>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</si>
  <si>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</si>
  <si>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</si>
  <si>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</si>
  <si>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</si>
  <si>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</si>
  <si>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</si>
  <si>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</si>
  <si>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</si>
  <si>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</si>
  <si>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</si>
  <si>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</si>
  <si>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</si>
  <si>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</si>
  <si>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</si>
  <si>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</si>
  <si>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</si>
  <si>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</si>
  <si>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</si>
  <si>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</si>
  <si>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</si>
  <si>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</si>
  <si>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</si>
  <si>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</si>
  <si>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</si>
  <si>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</si>
  <si>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</si>
  <si>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</si>
  <si>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</si>
  <si>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</si>
  <si>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</si>
  <si>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</si>
  <si>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</si>
  <si>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</si>
  <si>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2012 ACTUAL     </t>
  </si>
  <si>
    <t xml:space="preserve">      FY 2013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</si>
  <si>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</si>
  <si>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</si>
  <si>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</si>
  <si>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</si>
  <si>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</si>
  <si>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</si>
  <si>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</si>
  <si>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</si>
  <si>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</si>
  <si>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</si>
  <si>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</si>
  <si>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</si>
  <si>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</si>
  <si>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</si>
  <si>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</si>
  <si>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</si>
  <si>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</si>
  <si>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</si>
  <si>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</si>
  <si>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</si>
  <si>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</si>
  <si>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</si>
  <si>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</si>
  <si>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</si>
  <si>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HARTFORD HEALTH CARE CORPORATION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</si>
  <si>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</si>
  <si>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</si>
  <si>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</si>
  <si>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</si>
  <si>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2011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</si>
  <si>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</si>
  <si>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</si>
  <si>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</si>
  <si>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</si>
  <si>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</si>
  <si>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</si>
  <si>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</si>
  <si>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</si>
  <si>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</si>
  <si>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</si>
  <si>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</si>
  <si>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</si>
  <si>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</si>
  <si>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</si>
  <si>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</si>
  <si>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</si>
  <si>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</si>
  <si>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</si>
  <si>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</si>
  <si>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</si>
  <si>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</si>
  <si>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</si>
  <si>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</si>
  <si>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</si>
  <si>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</si>
  <si>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</si>
  <si>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</si>
  <si>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</si>
  <si>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</si>
  <si>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</si>
  <si>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</si>
  <si>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</si>
  <si>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</si>
  <si>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</si>
  <si>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</si>
  <si>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</si>
  <si>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</si>
  <si>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</si>
  <si>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</si>
  <si>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</si>
  <si>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</si>
  <si>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</si>
  <si>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</si>
  <si>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</si>
  <si>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</si>
  <si>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</si>
  <si>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</si>
  <si>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</si>
  <si>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</si>
  <si>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</si>
  <si>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</si>
  <si>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</si>
  <si>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</si>
  <si>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</si>
  <si>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</si>
  <si>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</si>
  <si>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</si>
  <si>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</si>
  <si>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</si>
  <si>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</si>
  <si>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</si>
  <si>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</si>
  <si>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</si>
  <si>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</si>
  <si>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</si>
  <si>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</si>
  <si>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</si>
  <si>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</si>
  <si>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</si>
  <si>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</si>
  <si>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</si>
  <si>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</si>
  <si>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</si>
  <si>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</si>
  <si>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</si>
  <si>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</si>
  <si>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</si>
  <si>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</si>
  <si>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</si>
  <si>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</si>
  <si>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</si>
  <si>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</si>
  <si>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</si>
  <si>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</si>
  <si>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</si>
  <si>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</si>
  <si>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</si>
  <si>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</si>
  <si>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</si>
  <si>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</si>
  <si>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</si>
  <si>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</si>
  <si>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</si>
  <si>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</si>
  <si>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</si>
  <si>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</si>
  <si>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</si>
  <si>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</si>
  <si>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</si>
  <si>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</si>
  <si>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</si>
  <si>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</si>
  <si>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</si>
  <si>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</si>
  <si>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</si>
  <si>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</si>
  <si>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</si>
  <si>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</si>
  <si>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</si>
  <si>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</si>
  <si>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</si>
  <si>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</si>
  <si>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</si>
  <si>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</si>
  <si>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</si>
  <si>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Eye Surgery Center</t>
  </si>
  <si>
    <t>Hartford Hospital</t>
  </si>
  <si>
    <t>West Hartford Surgery Center</t>
  </si>
  <si>
    <t>Total Outpatient Surgical Procedures(A)</t>
  </si>
  <si>
    <t>Glastonbury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</si>
  <si>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</si>
  <si>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</si>
  <si>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</si>
  <si>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</si>
  <si>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</si>
  <si>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</si>
  <si>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</si>
  <si>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</si>
  <si>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</si>
  <si>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</si>
  <si>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</si>
  <si>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</si>
  <si>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</si>
  <si>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</si>
  <si>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</si>
  <si>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</si>
  <si>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</si>
  <si>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</si>
  <si>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</si>
  <si>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</si>
  <si>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</si>
  <si>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</si>
  <si>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</si>
  <si>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</si>
  <si>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</si>
  <si>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</si>
  <si>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</si>
  <si>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</si>
  <si>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</si>
  <si>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</si>
  <si>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</si>
  <si>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</si>
  <si>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</si>
  <si>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</si>
  <si>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</si>
  <si>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</si>
  <si>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</si>
  <si>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</si>
  <si>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</si>
  <si>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</si>
  <si>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</si>
  <si>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</si>
  <si>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</si>
  <si>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</si>
  <si>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</si>
  <si>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</si>
  <si>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</si>
  <si>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</si>
  <si>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</si>
  <si>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</si>
  <si>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</si>
  <si>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</si>
  <si>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</si>
  <si>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</si>
  <si>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</si>
  <si>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</si>
  <si>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</si>
  <si>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</si>
  <si>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</si>
  <si>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</si>
  <si>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</si>
  <si>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</si>
  <si>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</si>
  <si>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</si>
  <si>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</si>
  <si>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</si>
  <si>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</si>
  <si>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</si>
  <si>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</si>
  <si>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</si>
  <si>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</si>
  <si>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</si>
  <si>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</si>
  <si>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</si>
  <si>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</si>
  <si>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</si>
  <si>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</si>
  <si>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</si>
  <si>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</si>
  <si>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</si>
  <si>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</si>
  <si>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</si>
  <si>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</si>
  <si>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</si>
  <si>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</si>
  <si>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</si>
  <si>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</si>
  <si>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</si>
  <si>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</si>
  <si>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</si>
  <si>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</si>
  <si>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</si>
  <si>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</si>
  <si>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</si>
  <si>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</si>
  <si>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</si>
  <si>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</si>
  <si>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</si>
  <si>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</si>
  <si>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</si>
  <si>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</si>
  <si>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</si>
  <si>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</si>
  <si>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</si>
  <si>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</si>
  <si>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</si>
  <si>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</si>
  <si>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</si>
  <si>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</si>
  <si>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</si>
  <si>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</si>
  <si>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</si>
  <si>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</si>
  <si>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</si>
  <si>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</si>
  <si>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</si>
  <si>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</si>
  <si>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</si>
  <si>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</si>
  <si>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</si>
  <si>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</si>
  <si>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</si>
  <si>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</si>
  <si>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</si>
  <si>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</si>
  <si>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</si>
  <si>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</si>
  <si>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</si>
  <si>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</si>
  <si>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</si>
  <si>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</si>
  <si>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</si>
  <si>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</si>
  <si>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</si>
  <si>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</si>
  <si>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</si>
  <si>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</si>
  <si>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</si>
  <si>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</si>
  <si>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</si>
  <si>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</si>
  <si>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</si>
  <si>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</si>
  <si>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</si>
  <si>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</si>
  <si>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</si>
  <si>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2013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</si>
  <si>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</si>
  <si>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</si>
  <si>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2012</t>
    </r>
  </si>
  <si>
    <r>
      <t xml:space="preserve">ACTUAL            </t>
    </r>
    <r>
      <rPr>
        <b/>
        <u/>
        <sz val="12"/>
        <rFont val="Arial"/>
        <family val="2"/>
      </rPr>
      <t>FY 2013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</si>
  <si>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</si>
  <si>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</si>
  <si>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</si>
  <si>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</si>
  <si>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</si>
  <si>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</si>
  <si>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</si>
  <si>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</si>
  <si>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</si>
  <si>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</si>
  <si>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</si>
  <si>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</si>
  <si>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</si>
  <si>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</si>
  <si>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</si>
  <si>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</si>
  <si>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</si>
  <si>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</si>
  <si>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</si>
  <si>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</si>
  <si>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</si>
  <si>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</si>
  <si>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</si>
  <si>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</si>
  <si>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</si>
  <si>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</si>
  <si>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</si>
  <si>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</si>
  <si>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</si>
  <si>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</si>
  <si>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</si>
  <si>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</si>
  <si>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</si>
  <si>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</si>
  <si>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</si>
  <si>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</si>
  <si>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</si>
  <si>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</si>
  <si>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</si>
  <si>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</si>
  <si>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</si>
  <si>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</si>
  <si>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</si>
  <si>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</si>
  <si>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</si>
  <si>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</si>
  <si>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</si>
  <si>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</si>
  <si>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</si>
  <si>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</si>
  <si>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</si>
  <si>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</si>
  <si>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</si>
  <si>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</si>
  <si>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</si>
  <si>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</si>
  <si>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</si>
  <si>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</si>
  <si>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</si>
  <si>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</si>
  <si>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</si>
  <si>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</si>
  <si>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</si>
  <si>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</si>
  <si>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</si>
  <si>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</si>
  <si>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</si>
  <si>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</si>
  <si>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</si>
  <si>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</si>
  <si>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</si>
  <si>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</si>
  <si>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</si>
  <si>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</si>
  <si>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</si>
  <si>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</si>
  <si>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</si>
  <si>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</si>
  <si>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</si>
  <si>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</si>
  <si>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</si>
  <si>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</si>
  <si>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</si>
  <si>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</si>
  <si>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</si>
  <si>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</si>
  <si>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</si>
  <si>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</si>
  <si>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</si>
  <si>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</si>
  <si>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</si>
  <si>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</si>
  <si>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</si>
  <si>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</si>
  <si>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</si>
  <si>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</si>
  <si>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</si>
  <si>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2013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</si>
  <si>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</si>
  <si>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</si>
  <si>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</si>
  <si>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</si>
  <si>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</si>
  <si>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</si>
  <si>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</si>
  <si>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</si>
  <si>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</si>
  <si>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</si>
  <si>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</si>
  <si>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</si>
  <si>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</si>
  <si>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</si>
  <si>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</si>
  <si>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</si>
  <si>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</si>
  <si>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</si>
  <si>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</si>
  <si>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</si>
  <si>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</si>
  <si>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</si>
  <si>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</si>
  <si>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</si>
  <si>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</si>
  <si>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</si>
  <si>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</si>
  <si>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</si>
  <si>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</si>
  <si>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</si>
  <si>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</si>
  <si>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</si>
  <si>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</si>
  <si>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</si>
  <si>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</si>
  <si>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</si>
  <si>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</si>
  <si>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</si>
  <si>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</si>
  <si>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</si>
  <si>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</si>
  <si>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</si>
  <si>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</si>
  <si>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</si>
  <si>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</si>
  <si>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</si>
  <si>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</si>
  <si>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</si>
  <si>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</si>
  <si>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</si>
  <si>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</si>
  <si>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</si>
  <si>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</si>
  <si>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</si>
  <si>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</si>
  <si>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2011</t>
    </r>
  </si>
  <si>
    <r>
      <t xml:space="preserve">ACTUAL          </t>
    </r>
    <r>
      <rPr>
        <b/>
        <u/>
        <sz val="14"/>
        <rFont val="Arial"/>
        <family val="2"/>
      </rPr>
      <t>FY 2012</t>
    </r>
  </si>
  <si>
    <r>
      <t xml:space="preserve">ACTUAL          </t>
    </r>
    <r>
      <rPr>
        <b/>
        <u/>
        <sz val="14"/>
        <rFont val="Arial"/>
        <family val="2"/>
      </rPr>
      <t>FY 2013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</si>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</sst>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3" width="18.85546875" style="1" customWidth="1"/>
    <col min="4" max="4" width="18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86685189</v>
      </c>
      <c r="D13" s="22">
        <v>13453682</v>
      </c>
      <c r="E13" s="22">
        <f t="shared" ref="E13:E22" si="0">D13-C13</f>
        <v>-73231507</v>
      </c>
      <c r="F13" s="23">
        <f t="shared" ref="F13:F22" si="1">IF(C13=0,0,E13/C13)</f>
        <v>-0.84479837726373297</v>
      </c>
    </row>
    <row r="14" spans="1:8" ht="24" customHeight="1" x14ac:dyDescent="0.2">
      <c r="A14" s="20">
        <v>2</v>
      </c>
      <c r="B14" s="21" t="s">
        <v>17</v>
      </c>
      <c r="C14" s="22">
        <v>0</v>
      </c>
      <c r="D14" s="22">
        <v>0</v>
      </c>
      <c r="E14" s="22">
        <f t="shared" si="0"/>
        <v>0</v>
      </c>
      <c r="F14" s="23">
        <f t="shared" si="1"/>
        <v>0</v>
      </c>
    </row>
    <row r="15" spans="1:8" ht="24" customHeight="1" x14ac:dyDescent="0.2">
      <c r="A15" s="20">
        <v>3</v>
      </c>
      <c r="B15" s="21" t="s">
        <v>18</v>
      </c>
      <c r="C15" s="22">
        <v>149897688</v>
      </c>
      <c r="D15" s="22">
        <v>149495353</v>
      </c>
      <c r="E15" s="22">
        <f t="shared" si="0"/>
        <v>-402335</v>
      </c>
      <c r="F15" s="23">
        <f t="shared" si="1"/>
        <v>-2.6840640797608567E-3</v>
      </c>
    </row>
    <row r="16" spans="1:8" ht="24" customHeight="1" x14ac:dyDescent="0.2">
      <c r="A16" s="20">
        <v>4</v>
      </c>
      <c r="B16" s="21" t="s">
        <v>19</v>
      </c>
      <c r="C16" s="22">
        <v>450405</v>
      </c>
      <c r="D16" s="22">
        <v>450405</v>
      </c>
      <c r="E16" s="22">
        <f t="shared" si="0"/>
        <v>0</v>
      </c>
      <c r="F16" s="23">
        <f t="shared" si="1"/>
        <v>0</v>
      </c>
    </row>
    <row r="17" spans="1:11" ht="24" customHeight="1" x14ac:dyDescent="0.2">
      <c r="A17" s="20">
        <v>5</v>
      </c>
      <c r="B17" s="21" t="s">
        <v>20</v>
      </c>
      <c r="C17" s="22">
        <v>20914526</v>
      </c>
      <c r="D17" s="22">
        <v>20670123</v>
      </c>
      <c r="E17" s="22">
        <f t="shared" si="0"/>
        <v>-244403</v>
      </c>
      <c r="F17" s="23">
        <f t="shared" si="1"/>
        <v>-1.1685801533345771E-2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11444006</v>
      </c>
      <c r="D19" s="22">
        <v>11186533</v>
      </c>
      <c r="E19" s="22">
        <f t="shared" si="0"/>
        <v>-257473</v>
      </c>
      <c r="F19" s="23">
        <f t="shared" si="1"/>
        <v>-2.2498502709628079E-2</v>
      </c>
    </row>
    <row r="20" spans="1:11" ht="24" customHeight="1" x14ac:dyDescent="0.2">
      <c r="A20" s="20">
        <v>8</v>
      </c>
      <c r="B20" s="21" t="s">
        <v>23</v>
      </c>
      <c r="C20" s="22">
        <v>8148253</v>
      </c>
      <c r="D20" s="22">
        <v>11528573</v>
      </c>
      <c r="E20" s="22">
        <f t="shared" si="0"/>
        <v>3380320</v>
      </c>
      <c r="F20" s="23">
        <f t="shared" si="1"/>
        <v>0.41485211615299622</v>
      </c>
    </row>
    <row r="21" spans="1:11" ht="24" customHeight="1" x14ac:dyDescent="0.2">
      <c r="A21" s="20">
        <v>9</v>
      </c>
      <c r="B21" s="21" t="s">
        <v>24</v>
      </c>
      <c r="C21" s="22">
        <v>26338847</v>
      </c>
      <c r="D21" s="22">
        <v>32334078</v>
      </c>
      <c r="E21" s="22">
        <f t="shared" si="0"/>
        <v>5995231</v>
      </c>
      <c r="F21" s="23">
        <f t="shared" si="1"/>
        <v>0.22761934111998144</v>
      </c>
    </row>
    <row r="22" spans="1:11" ht="24" customHeight="1" x14ac:dyDescent="0.25">
      <c r="A22" s="24"/>
      <c r="B22" s="25" t="s">
        <v>25</v>
      </c>
      <c r="C22" s="26">
        <f>SUM(C13:C21)</f>
        <v>303878914</v>
      </c>
      <c r="D22" s="26">
        <f>SUM(D13:D21)</f>
        <v>239118747</v>
      </c>
      <c r="E22" s="26">
        <f t="shared" si="0"/>
        <v>-64760167</v>
      </c>
      <c r="F22" s="27">
        <f t="shared" si="1"/>
        <v>-0.21311174950427789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103637269</v>
      </c>
      <c r="D25" s="22">
        <v>109092405</v>
      </c>
      <c r="E25" s="22">
        <f>D25-C25</f>
        <v>5455136</v>
      </c>
      <c r="F25" s="23">
        <f>IF(C25=0,0,E25/C25)</f>
        <v>5.2636817359592906E-2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23210563</v>
      </c>
      <c r="D27" s="22">
        <v>4538771</v>
      </c>
      <c r="E27" s="22">
        <f>D27-C27</f>
        <v>-18671792</v>
      </c>
      <c r="F27" s="23">
        <f>IF(C27=0,0,E27/C27)</f>
        <v>-0.80445235214673594</v>
      </c>
    </row>
    <row r="28" spans="1:11" ht="24" customHeight="1" x14ac:dyDescent="0.2">
      <c r="A28" s="20">
        <v>4</v>
      </c>
      <c r="B28" s="21" t="s">
        <v>31</v>
      </c>
      <c r="C28" s="22">
        <v>334431789</v>
      </c>
      <c r="D28" s="22">
        <v>381672751</v>
      </c>
      <c r="E28" s="22">
        <f>D28-C28</f>
        <v>47240962</v>
      </c>
      <c r="F28" s="23">
        <f>IF(C28=0,0,E28/C28)</f>
        <v>0.14125739105501123</v>
      </c>
    </row>
    <row r="29" spans="1:11" ht="24" customHeight="1" x14ac:dyDescent="0.25">
      <c r="A29" s="24"/>
      <c r="B29" s="25" t="s">
        <v>32</v>
      </c>
      <c r="C29" s="26">
        <f>SUM(C25:C28)</f>
        <v>461279621</v>
      </c>
      <c r="D29" s="26">
        <f>SUM(D25:D28)</f>
        <v>495303927</v>
      </c>
      <c r="E29" s="26">
        <f>D29-C29</f>
        <v>34024306</v>
      </c>
      <c r="F29" s="27">
        <f>IF(C29=0,0,E29/C29)</f>
        <v>7.3760696226378486E-2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0</v>
      </c>
      <c r="D31" s="22">
        <v>0</v>
      </c>
      <c r="E31" s="22">
        <f>D31-C31</f>
        <v>0</v>
      </c>
      <c r="F31" s="23">
        <f>IF(C31=0,0,E31/C31)</f>
        <v>0</v>
      </c>
    </row>
    <row r="32" spans="1:11" ht="24" customHeight="1" x14ac:dyDescent="0.2">
      <c r="A32" s="20">
        <v>6</v>
      </c>
      <c r="B32" s="21" t="s">
        <v>34</v>
      </c>
      <c r="C32" s="22">
        <v>0</v>
      </c>
      <c r="D32" s="22">
        <v>0</v>
      </c>
      <c r="E32" s="22">
        <f>D32-C32</f>
        <v>0</v>
      </c>
      <c r="F32" s="23">
        <f>IF(C32=0,0,E32/C32)</f>
        <v>0</v>
      </c>
    </row>
    <row r="33" spans="1:8" ht="24" customHeight="1" x14ac:dyDescent="0.2">
      <c r="A33" s="20">
        <v>7</v>
      </c>
      <c r="B33" s="21" t="s">
        <v>35</v>
      </c>
      <c r="C33" s="22">
        <v>93329541</v>
      </c>
      <c r="D33" s="22">
        <v>71120072</v>
      </c>
      <c r="E33" s="22">
        <f>D33-C33</f>
        <v>-22209469</v>
      </c>
      <c r="F33" s="23">
        <f>IF(C33=0,0,E33/C33)</f>
        <v>-0.23796826558913431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928717064</v>
      </c>
      <c r="D36" s="22">
        <v>1012881379</v>
      </c>
      <c r="E36" s="22">
        <f>D36-C36</f>
        <v>84164315</v>
      </c>
      <c r="F36" s="23">
        <f>IF(C36=0,0,E36/C36)</f>
        <v>9.0624279732196236E-2</v>
      </c>
    </row>
    <row r="37" spans="1:8" ht="24" customHeight="1" x14ac:dyDescent="0.2">
      <c r="A37" s="20">
        <v>2</v>
      </c>
      <c r="B37" s="21" t="s">
        <v>39</v>
      </c>
      <c r="C37" s="22">
        <v>638814456</v>
      </c>
      <c r="D37" s="22">
        <v>684226898</v>
      </c>
      <c r="E37" s="22">
        <f>D37-C37</f>
        <v>45412442</v>
      </c>
      <c r="F37" s="23">
        <f>IF(C37=0,0,E37/C37)</f>
        <v>7.1088626084566883E-2</v>
      </c>
    </row>
    <row r="38" spans="1:8" ht="24" customHeight="1" x14ac:dyDescent="0.25">
      <c r="A38" s="24"/>
      <c r="B38" s="25" t="s">
        <v>40</v>
      </c>
      <c r="C38" s="26">
        <f>C36-C37</f>
        <v>289902608</v>
      </c>
      <c r="D38" s="26">
        <f>D36-D37</f>
        <v>328654481</v>
      </c>
      <c r="E38" s="26">
        <f>D38-C38</f>
        <v>38751873</v>
      </c>
      <c r="F38" s="27">
        <f>IF(C38=0,0,E38/C38)</f>
        <v>0.13367203995626006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63169034</v>
      </c>
      <c r="D40" s="22">
        <v>50410603</v>
      </c>
      <c r="E40" s="22">
        <f>D40-C40</f>
        <v>-12758431</v>
      </c>
      <c r="F40" s="23">
        <f>IF(C40=0,0,E40/C40)</f>
        <v>-0.20197286854188715</v>
      </c>
    </row>
    <row r="41" spans="1:8" ht="24" customHeight="1" x14ac:dyDescent="0.25">
      <c r="A41" s="24"/>
      <c r="B41" s="25" t="s">
        <v>42</v>
      </c>
      <c r="C41" s="26">
        <f>+C38+C40</f>
        <v>353071642</v>
      </c>
      <c r="D41" s="26">
        <f>+D38+D40</f>
        <v>379065084</v>
      </c>
      <c r="E41" s="26">
        <f>D41-C41</f>
        <v>25993442</v>
      </c>
      <c r="F41" s="27">
        <f>IF(C41=0,0,E41/C41)</f>
        <v>7.3620871539719981E-2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1211559718</v>
      </c>
      <c r="D43" s="26">
        <f>D22+D29+D31+D32+D33+D41</f>
        <v>1184607830</v>
      </c>
      <c r="E43" s="26">
        <f>D43-C43</f>
        <v>-26951888</v>
      </c>
      <c r="F43" s="27">
        <f>IF(C43=0,0,E43/C43)</f>
        <v>-2.2245612494026481E-2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27045389</v>
      </c>
      <c r="D49" s="22">
        <v>22176748</v>
      </c>
      <c r="E49" s="22">
        <f t="shared" ref="E49:E56" si="2">D49-C49</f>
        <v>-4868641</v>
      </c>
      <c r="F49" s="23">
        <f t="shared" ref="F49:F56" si="3">IF(C49=0,0,E49/C49)</f>
        <v>-0.18001741442875901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21441478</v>
      </c>
      <c r="D50" s="22">
        <v>21047461</v>
      </c>
      <c r="E50" s="22">
        <f t="shared" si="2"/>
        <v>-394017</v>
      </c>
      <c r="F50" s="23">
        <f t="shared" si="3"/>
        <v>-1.8376391776723601E-2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3559672</v>
      </c>
      <c r="D51" s="22">
        <v>13084951</v>
      </c>
      <c r="E51" s="22">
        <f t="shared" si="2"/>
        <v>9525279</v>
      </c>
      <c r="F51" s="23">
        <f t="shared" si="3"/>
        <v>2.6758867109104436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6619179</v>
      </c>
      <c r="D52" s="22">
        <v>24731220</v>
      </c>
      <c r="E52" s="22">
        <f t="shared" si="2"/>
        <v>18112041</v>
      </c>
      <c r="F52" s="23">
        <f t="shared" si="3"/>
        <v>2.7362972054389223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0</v>
      </c>
      <c r="D53" s="22">
        <v>925167</v>
      </c>
      <c r="E53" s="22">
        <f t="shared" si="2"/>
        <v>925167</v>
      </c>
      <c r="F53" s="23">
        <f t="shared" si="3"/>
        <v>0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64503933</v>
      </c>
      <c r="D54" s="22">
        <v>100093854</v>
      </c>
      <c r="E54" s="22">
        <f t="shared" si="2"/>
        <v>35589921</v>
      </c>
      <c r="F54" s="23">
        <f t="shared" si="3"/>
        <v>0.5517480771288783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44702511</v>
      </c>
      <c r="D55" s="22">
        <v>40761348</v>
      </c>
      <c r="E55" s="22">
        <f t="shared" si="2"/>
        <v>-3941163</v>
      </c>
      <c r="F55" s="23">
        <f t="shared" si="3"/>
        <v>-8.8164242048953359E-2</v>
      </c>
    </row>
    <row r="56" spans="1:6" ht="24" customHeight="1" x14ac:dyDescent="0.25">
      <c r="A56" s="24"/>
      <c r="B56" s="25" t="s">
        <v>54</v>
      </c>
      <c r="C56" s="26">
        <f>SUM(C49:C55)</f>
        <v>167872162</v>
      </c>
      <c r="D56" s="26">
        <f>SUM(D49:D55)</f>
        <v>222820749</v>
      </c>
      <c r="E56" s="26">
        <f t="shared" si="2"/>
        <v>54948587</v>
      </c>
      <c r="F56" s="27">
        <f t="shared" si="3"/>
        <v>0.32732399669696277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171569154</v>
      </c>
      <c r="D59" s="22">
        <v>192751207</v>
      </c>
      <c r="E59" s="22">
        <f>D59-C59</f>
        <v>21182053</v>
      </c>
      <c r="F59" s="23">
        <f>IF(C59=0,0,E59/C59)</f>
        <v>0.12346073000977786</v>
      </c>
    </row>
    <row r="60" spans="1:6" ht="24" customHeight="1" x14ac:dyDescent="0.2">
      <c r="A60" s="20">
        <v>2</v>
      </c>
      <c r="B60" s="21" t="s">
        <v>57</v>
      </c>
      <c r="C60" s="22">
        <v>17241725</v>
      </c>
      <c r="D60" s="22">
        <v>18200881</v>
      </c>
      <c r="E60" s="22">
        <f>D60-C60</f>
        <v>959156</v>
      </c>
      <c r="F60" s="23">
        <f>IF(C60=0,0,E60/C60)</f>
        <v>5.5629932619850969E-2</v>
      </c>
    </row>
    <row r="61" spans="1:6" ht="24" customHeight="1" x14ac:dyDescent="0.25">
      <c r="A61" s="24"/>
      <c r="B61" s="25" t="s">
        <v>58</v>
      </c>
      <c r="C61" s="26">
        <f>SUM(C59:C60)</f>
        <v>188810879</v>
      </c>
      <c r="D61" s="26">
        <f>SUM(D59:D60)</f>
        <v>210952088</v>
      </c>
      <c r="E61" s="26">
        <f>D61-C61</f>
        <v>22141209</v>
      </c>
      <c r="F61" s="27">
        <f>IF(C61=0,0,E61/C61)</f>
        <v>0.11726659563933284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372843056</v>
      </c>
      <c r="D63" s="22">
        <v>218856421</v>
      </c>
      <c r="E63" s="22">
        <f>D63-C63</f>
        <v>-153986635</v>
      </c>
      <c r="F63" s="23">
        <f>IF(C63=0,0,E63/C63)</f>
        <v>-0.41300657883246189</v>
      </c>
    </row>
    <row r="64" spans="1:6" ht="24" customHeight="1" x14ac:dyDescent="0.2">
      <c r="A64" s="20">
        <v>4</v>
      </c>
      <c r="B64" s="21" t="s">
        <v>60</v>
      </c>
      <c r="C64" s="22">
        <v>41324516</v>
      </c>
      <c r="D64" s="22">
        <v>37533464</v>
      </c>
      <c r="E64" s="22">
        <f>D64-C64</f>
        <v>-3791052</v>
      </c>
      <c r="F64" s="23">
        <f>IF(C64=0,0,E64/C64)</f>
        <v>-9.1738569908477577E-2</v>
      </c>
    </row>
    <row r="65" spans="1:6" ht="24" customHeight="1" x14ac:dyDescent="0.25">
      <c r="A65" s="24"/>
      <c r="B65" s="25" t="s">
        <v>61</v>
      </c>
      <c r="C65" s="26">
        <f>SUM(C61:C64)</f>
        <v>602978451</v>
      </c>
      <c r="D65" s="26">
        <f>SUM(D61:D64)</f>
        <v>467341973</v>
      </c>
      <c r="E65" s="26">
        <f>D65-C65</f>
        <v>-135636478</v>
      </c>
      <c r="F65" s="27">
        <f>IF(C65=0,0,E65/C65)</f>
        <v>-0.22494415476217408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169620159</v>
      </c>
      <c r="D70" s="22">
        <v>201002168</v>
      </c>
      <c r="E70" s="22">
        <f>D70-C70</f>
        <v>31382009</v>
      </c>
      <c r="F70" s="23">
        <f>IF(C70=0,0,E70/C70)</f>
        <v>0.18501343935186382</v>
      </c>
    </row>
    <row r="71" spans="1:6" ht="24" customHeight="1" x14ac:dyDescent="0.2">
      <c r="A71" s="20">
        <v>2</v>
      </c>
      <c r="B71" s="21" t="s">
        <v>65</v>
      </c>
      <c r="C71" s="22">
        <v>101571787</v>
      </c>
      <c r="D71" s="22">
        <v>112993866</v>
      </c>
      <c r="E71" s="22">
        <f>D71-C71</f>
        <v>11422079</v>
      </c>
      <c r="F71" s="23">
        <f>IF(C71=0,0,E71/C71)</f>
        <v>0.11245326421203951</v>
      </c>
    </row>
    <row r="72" spans="1:6" ht="24" customHeight="1" x14ac:dyDescent="0.2">
      <c r="A72" s="20">
        <v>3</v>
      </c>
      <c r="B72" s="21" t="s">
        <v>66</v>
      </c>
      <c r="C72" s="22">
        <v>169517159</v>
      </c>
      <c r="D72" s="22">
        <v>180449074</v>
      </c>
      <c r="E72" s="22">
        <f>D72-C72</f>
        <v>10931915</v>
      </c>
      <c r="F72" s="23">
        <f>IF(C72=0,0,E72/C72)</f>
        <v>6.4488545374925738E-2</v>
      </c>
    </row>
    <row r="73" spans="1:6" ht="24" customHeight="1" x14ac:dyDescent="0.25">
      <c r="A73" s="20"/>
      <c r="B73" s="25" t="s">
        <v>67</v>
      </c>
      <c r="C73" s="26">
        <f>SUM(C70:C72)</f>
        <v>440709105</v>
      </c>
      <c r="D73" s="26">
        <f>SUM(D70:D72)</f>
        <v>494445108</v>
      </c>
      <c r="E73" s="26">
        <f>D73-C73</f>
        <v>53736003</v>
      </c>
      <c r="F73" s="27">
        <f>IF(C73=0,0,E73/C73)</f>
        <v>0.1219307756303333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1211559718</v>
      </c>
      <c r="D75" s="26">
        <f>D56+D65+D67+D73</f>
        <v>1184607830</v>
      </c>
      <c r="E75" s="26">
        <f>D75-C75</f>
        <v>-26951888</v>
      </c>
      <c r="F75" s="27">
        <f>IF(C75=0,0,E75/C75)</f>
        <v>-2.2245612494026481E-2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69" fitToHeight="0" orientation="portrait" horizontalDpi="1200" verticalDpi="1200" r:id="rId1"/>
  <headerFooter>
    <oddHeader>&amp;LOFFICE OF HEALTH CARE ACCESS&amp;CTWELVE MONTHS ACTUAL FILING&amp;RHARTFORD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sqref="A1:E1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1615988000</v>
      </c>
      <c r="D11" s="76">
        <v>1879748000</v>
      </c>
      <c r="E11" s="76">
        <v>1904184000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187975000</v>
      </c>
      <c r="D12" s="185">
        <v>267538000</v>
      </c>
      <c r="E12" s="185">
        <v>222045000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1803963000</v>
      </c>
      <c r="D13" s="76">
        <f>+D11+D12</f>
        <v>2147286000</v>
      </c>
      <c r="E13" s="76">
        <f>+E11+E12</f>
        <v>2126229000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1760430000</v>
      </c>
      <c r="D14" s="185">
        <v>2086710000</v>
      </c>
      <c r="E14" s="185">
        <v>2160998000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43533000</v>
      </c>
      <c r="D15" s="76">
        <f>+D13-D14</f>
        <v>60576000</v>
      </c>
      <c r="E15" s="76">
        <f>+E13-E14</f>
        <v>-34769000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182626000</v>
      </c>
      <c r="D16" s="185">
        <v>68563000</v>
      </c>
      <c r="E16" s="185">
        <v>381049000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226159000</v>
      </c>
      <c r="D17" s="76">
        <f>D15+D16</f>
        <v>129139000</v>
      </c>
      <c r="E17" s="76">
        <f>E15+E16</f>
        <v>346280000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2.1913440575780898E-2</v>
      </c>
      <c r="D20" s="189">
        <f>IF(+D27=0,0,+D24/+D27)</f>
        <v>2.7337602878174459E-2</v>
      </c>
      <c r="E20" s="189">
        <f>IF(+E27=0,0,+E24/+E27)</f>
        <v>-1.3867229720836699E-2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9.1929432811718975E-2</v>
      </c>
      <c r="D21" s="189">
        <f>IF(+D27=0,0,+D26/+D27)</f>
        <v>3.094209036807111E-2</v>
      </c>
      <c r="E21" s="189">
        <f>IF(+E27=0,0,+E26/+E27)</f>
        <v>0.1519771640799305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0.11384287338749988</v>
      </c>
      <c r="D22" s="189">
        <f>IF(+D27=0,0,+D28/+D27)</f>
        <v>5.8279693246245573E-2</v>
      </c>
      <c r="E22" s="189">
        <f>IF(+E27=0,0,+E28/+E27)</f>
        <v>0.1381099343590938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43533000</v>
      </c>
      <c r="D24" s="76">
        <f>+D15</f>
        <v>60576000</v>
      </c>
      <c r="E24" s="76">
        <f>+E15</f>
        <v>-34769000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1803963000</v>
      </c>
      <c r="D25" s="76">
        <f>+D13</f>
        <v>2147286000</v>
      </c>
      <c r="E25" s="76">
        <f>+E13</f>
        <v>2126229000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182626000</v>
      </c>
      <c r="D26" s="76">
        <f>+D16</f>
        <v>68563000</v>
      </c>
      <c r="E26" s="76">
        <f>+E16</f>
        <v>381049000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1986589000</v>
      </c>
      <c r="D27" s="76">
        <f>SUM(D25:D26)</f>
        <v>2215849000</v>
      </c>
      <c r="E27" s="76">
        <f>SUM(E25:E26)</f>
        <v>2507278000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226159000</v>
      </c>
      <c r="D28" s="76">
        <f>+D17</f>
        <v>129139000</v>
      </c>
      <c r="E28" s="76">
        <f>+E17</f>
        <v>346280000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491087000</v>
      </c>
      <c r="D31" s="76">
        <v>509479000</v>
      </c>
      <c r="E31" s="76">
        <v>1160932000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847957000</v>
      </c>
      <c r="D32" s="76">
        <v>911913000</v>
      </c>
      <c r="E32" s="76">
        <v>1609581000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138808000</v>
      </c>
      <c r="D33" s="76">
        <f>+D32-C32</f>
        <v>63956000</v>
      </c>
      <c r="E33" s="76">
        <f>+E32-D32</f>
        <v>697668000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1.1957</v>
      </c>
      <c r="D34" s="193">
        <f>IF(C32=0,0,+D33/C32)</f>
        <v>7.5423635868328232E-2</v>
      </c>
      <c r="E34" s="193">
        <f>IF(D32=0,0,+E33/D32)</f>
        <v>0.76505982478591705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1.6789739603575593</v>
      </c>
      <c r="D38" s="338">
        <f>IF(+D40=0,0,+D39/+D40)</f>
        <v>1.6742938241340914</v>
      </c>
      <c r="E38" s="338">
        <f>IF(+E40=0,0,+E39/+E40)</f>
        <v>1.7624683110572246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462240000</v>
      </c>
      <c r="D39" s="341">
        <v>596941000</v>
      </c>
      <c r="E39" s="341">
        <v>735545000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275311000</v>
      </c>
      <c r="D40" s="341">
        <v>356533000</v>
      </c>
      <c r="E40" s="341">
        <v>417338000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30.359465405077295</v>
      </c>
      <c r="D42" s="343">
        <f>IF((D48/365)=0,0,+D45/(D48/365))</f>
        <v>37.888895690069532</v>
      </c>
      <c r="E42" s="343">
        <f>IF((E48/365)=0,0,+E45/(E48/365))</f>
        <v>52.044533174008713</v>
      </c>
    </row>
    <row r="43" spans="1:14" ht="24" customHeight="1" x14ac:dyDescent="0.2">
      <c r="A43" s="339">
        <v>5</v>
      </c>
      <c r="B43" s="344" t="s">
        <v>16</v>
      </c>
      <c r="C43" s="345">
        <v>139631000</v>
      </c>
      <c r="D43" s="345">
        <v>206896000</v>
      </c>
      <c r="E43" s="345">
        <v>293544000</v>
      </c>
    </row>
    <row r="44" spans="1:14" ht="24" customHeight="1" x14ac:dyDescent="0.2">
      <c r="A44" s="339">
        <v>6</v>
      </c>
      <c r="B44" s="346" t="s">
        <v>17</v>
      </c>
      <c r="C44" s="345">
        <v>0</v>
      </c>
      <c r="D44" s="345">
        <v>0</v>
      </c>
      <c r="E44" s="345">
        <v>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139631000</v>
      </c>
      <c r="D45" s="341">
        <f>+D43+D44</f>
        <v>206896000</v>
      </c>
      <c r="E45" s="341">
        <f>+E43+E44</f>
        <v>293544000</v>
      </c>
    </row>
    <row r="46" spans="1:14" ht="24" customHeight="1" x14ac:dyDescent="0.2">
      <c r="A46" s="339">
        <v>8</v>
      </c>
      <c r="B46" s="340" t="s">
        <v>334</v>
      </c>
      <c r="C46" s="341">
        <f>+C14</f>
        <v>1760430000</v>
      </c>
      <c r="D46" s="341">
        <f>+D14</f>
        <v>2086710000</v>
      </c>
      <c r="E46" s="341">
        <f>+E14</f>
        <v>2160998000</v>
      </c>
    </row>
    <row r="47" spans="1:14" ht="24" customHeight="1" x14ac:dyDescent="0.2">
      <c r="A47" s="339">
        <v>9</v>
      </c>
      <c r="B47" s="340" t="s">
        <v>356</v>
      </c>
      <c r="C47" s="341">
        <v>81701000</v>
      </c>
      <c r="D47" s="341">
        <v>93592000</v>
      </c>
      <c r="E47" s="341">
        <v>102308000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1678729000</v>
      </c>
      <c r="D48" s="341">
        <f>+D46-D47</f>
        <v>1993118000</v>
      </c>
      <c r="E48" s="341">
        <f>+E46-E47</f>
        <v>2058690000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45.569097666566833</v>
      </c>
      <c r="D50" s="350">
        <f>IF((D55/365)=0,0,+D54/(D55/365))</f>
        <v>47.179856023254182</v>
      </c>
      <c r="E50" s="350">
        <f>IF((E55/365)=0,0,+E54/(E55/365))</f>
        <v>53.732814160816389</v>
      </c>
    </row>
    <row r="51" spans="1:5" ht="24" customHeight="1" x14ac:dyDescent="0.2">
      <c r="A51" s="339">
        <v>12</v>
      </c>
      <c r="B51" s="344" t="s">
        <v>359</v>
      </c>
      <c r="C51" s="351">
        <v>235816000</v>
      </c>
      <c r="D51" s="351">
        <v>272907000</v>
      </c>
      <c r="E51" s="351">
        <v>310228000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34065000</v>
      </c>
      <c r="D53" s="341">
        <v>29931000</v>
      </c>
      <c r="E53" s="341">
        <v>29907000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201751000</v>
      </c>
      <c r="D54" s="352">
        <f>+D51+D52-D53</f>
        <v>242976000</v>
      </c>
      <c r="E54" s="352">
        <f>+E51+E52-E53</f>
        <v>280321000</v>
      </c>
    </row>
    <row r="55" spans="1:5" ht="24" customHeight="1" x14ac:dyDescent="0.2">
      <c r="A55" s="339">
        <v>16</v>
      </c>
      <c r="B55" s="340" t="s">
        <v>75</v>
      </c>
      <c r="C55" s="341">
        <f>+C11</f>
        <v>1615988000</v>
      </c>
      <c r="D55" s="341">
        <f>+D11</f>
        <v>1879748000</v>
      </c>
      <c r="E55" s="341">
        <f>+E11</f>
        <v>1904184000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59.859879110922613</v>
      </c>
      <c r="D57" s="355">
        <f>IF((D61/365)=0,0,+D58/(D61/365))</f>
        <v>65.291942072672072</v>
      </c>
      <c r="E57" s="355">
        <f>IF((E61/365)=0,0,+E58/(E61/365))</f>
        <v>73.992864394347862</v>
      </c>
    </row>
    <row r="58" spans="1:5" ht="24" customHeight="1" x14ac:dyDescent="0.2">
      <c r="A58" s="339">
        <v>18</v>
      </c>
      <c r="B58" s="340" t="s">
        <v>54</v>
      </c>
      <c r="C58" s="353">
        <f>+C40</f>
        <v>275311000</v>
      </c>
      <c r="D58" s="353">
        <f>+D40</f>
        <v>356533000</v>
      </c>
      <c r="E58" s="353">
        <f>+E40</f>
        <v>417338000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1760430000</v>
      </c>
      <c r="D59" s="353">
        <f t="shared" si="0"/>
        <v>2086710000</v>
      </c>
      <c r="E59" s="353">
        <f t="shared" si="0"/>
        <v>2160998000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81701000</v>
      </c>
      <c r="D60" s="356">
        <f t="shared" si="0"/>
        <v>93592000</v>
      </c>
      <c r="E60" s="356">
        <f t="shared" si="0"/>
        <v>102308000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1678729000</v>
      </c>
      <c r="D61" s="353">
        <f>+D59-D60</f>
        <v>1993118000</v>
      </c>
      <c r="E61" s="353">
        <f>+E59-E60</f>
        <v>2058690000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39.930899088841812</v>
      </c>
      <c r="D65" s="357">
        <f>IF(D67=0,0,(D66/D67)*100)</f>
        <v>37.780741418354744</v>
      </c>
      <c r="E65" s="357">
        <f>IF(E67=0,0,(E66/E67)*100)</f>
        <v>52.234600249363453</v>
      </c>
    </row>
    <row r="66" spans="1:5" ht="24" customHeight="1" x14ac:dyDescent="0.2">
      <c r="A66" s="339">
        <v>2</v>
      </c>
      <c r="B66" s="340" t="s">
        <v>67</v>
      </c>
      <c r="C66" s="353">
        <f>+C32</f>
        <v>847957000</v>
      </c>
      <c r="D66" s="353">
        <f>+D32</f>
        <v>911913000</v>
      </c>
      <c r="E66" s="353">
        <f>+E32</f>
        <v>1609581000</v>
      </c>
    </row>
    <row r="67" spans="1:5" ht="24" customHeight="1" x14ac:dyDescent="0.2">
      <c r="A67" s="339">
        <v>3</v>
      </c>
      <c r="B67" s="340" t="s">
        <v>43</v>
      </c>
      <c r="C67" s="353">
        <v>2123561000</v>
      </c>
      <c r="D67" s="353">
        <v>2413698000</v>
      </c>
      <c r="E67" s="353">
        <v>3081446000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44.705636343042357</v>
      </c>
      <c r="D69" s="357">
        <f>IF(D75=0,0,(D72/D75)*100)</f>
        <v>29.286518242685304</v>
      </c>
      <c r="E69" s="357">
        <f>IF(E75=0,0,(E72/E75)*100)</f>
        <v>50.232299807284662</v>
      </c>
    </row>
    <row r="70" spans="1:5" ht="24" customHeight="1" x14ac:dyDescent="0.2">
      <c r="A70" s="339">
        <v>5</v>
      </c>
      <c r="B70" s="340" t="s">
        <v>366</v>
      </c>
      <c r="C70" s="353">
        <f>+C28</f>
        <v>226159000</v>
      </c>
      <c r="D70" s="353">
        <f>+D28</f>
        <v>129139000</v>
      </c>
      <c r="E70" s="353">
        <f>+E28</f>
        <v>346280000</v>
      </c>
    </row>
    <row r="71" spans="1:5" ht="24" customHeight="1" x14ac:dyDescent="0.2">
      <c r="A71" s="339">
        <v>6</v>
      </c>
      <c r="B71" s="340" t="s">
        <v>356</v>
      </c>
      <c r="C71" s="356">
        <f>+C47</f>
        <v>81701000</v>
      </c>
      <c r="D71" s="356">
        <f>+D47</f>
        <v>93592000</v>
      </c>
      <c r="E71" s="356">
        <f>+E47</f>
        <v>102308000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307860000</v>
      </c>
      <c r="D72" s="353">
        <f>+D70+D71</f>
        <v>222731000</v>
      </c>
      <c r="E72" s="353">
        <f>+E70+E71</f>
        <v>448588000</v>
      </c>
    </row>
    <row r="73" spans="1:5" ht="24" customHeight="1" x14ac:dyDescent="0.2">
      <c r="A73" s="339">
        <v>8</v>
      </c>
      <c r="B73" s="340" t="s">
        <v>54</v>
      </c>
      <c r="C73" s="341">
        <f>+C40</f>
        <v>275311000</v>
      </c>
      <c r="D73" s="341">
        <f>+D40</f>
        <v>356533000</v>
      </c>
      <c r="E73" s="341">
        <f>+E40</f>
        <v>417338000</v>
      </c>
    </row>
    <row r="74" spans="1:5" ht="24" customHeight="1" x14ac:dyDescent="0.2">
      <c r="A74" s="339">
        <v>9</v>
      </c>
      <c r="B74" s="340" t="s">
        <v>58</v>
      </c>
      <c r="C74" s="353">
        <v>413327000</v>
      </c>
      <c r="D74" s="353">
        <v>403991000</v>
      </c>
      <c r="E74" s="353">
        <v>475689000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688638000</v>
      </c>
      <c r="D75" s="341">
        <f>+D73+D74</f>
        <v>760524000</v>
      </c>
      <c r="E75" s="341">
        <f>+E73+E74</f>
        <v>893027000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32.770335626234854</v>
      </c>
      <c r="D77" s="359">
        <f>IF(D80=0,0,(D78/D80)*100)</f>
        <v>30.700643815962259</v>
      </c>
      <c r="E77" s="359">
        <f>IF(E80=0,0,(E78/E80)*100)</f>
        <v>22.811866089283402</v>
      </c>
    </row>
    <row r="78" spans="1:5" ht="24" customHeight="1" x14ac:dyDescent="0.2">
      <c r="A78" s="339">
        <v>12</v>
      </c>
      <c r="B78" s="340" t="s">
        <v>58</v>
      </c>
      <c r="C78" s="341">
        <f>+C74</f>
        <v>413327000</v>
      </c>
      <c r="D78" s="341">
        <f>+D74</f>
        <v>403991000</v>
      </c>
      <c r="E78" s="341">
        <f>+E74</f>
        <v>475689000</v>
      </c>
    </row>
    <row r="79" spans="1:5" ht="24" customHeight="1" x14ac:dyDescent="0.2">
      <c r="A79" s="339">
        <v>13</v>
      </c>
      <c r="B79" s="340" t="s">
        <v>67</v>
      </c>
      <c r="C79" s="341">
        <f>+C32</f>
        <v>847957000</v>
      </c>
      <c r="D79" s="341">
        <f>+D32</f>
        <v>911913000</v>
      </c>
      <c r="E79" s="341">
        <f>+E32</f>
        <v>1609581000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1261284000</v>
      </c>
      <c r="D80" s="341">
        <f>+D78+D79</f>
        <v>1315904000</v>
      </c>
      <c r="E80" s="341">
        <f>+E78+E79</f>
        <v>2085270000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78" fitToHeight="0" orientation="portrait" horizontalDpi="1200" verticalDpi="1200" r:id="rId1"/>
  <headerFooter>
    <oddHeader>&amp;LOFFICE OF HEALTH CARE ACCESS&amp;CTWELVE MONTHS ACTUAL FILING&amp;RHARTFORD HOSPITAL</oddHeader>
    <oddFooter>&amp;LREPORT 100&amp;CPAGE &amp;P of &amp;N&amp;R&amp;D, 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/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151347</v>
      </c>
      <c r="D11" s="376">
        <v>30566</v>
      </c>
      <c r="E11" s="376">
        <v>30546</v>
      </c>
      <c r="F11" s="377">
        <v>415</v>
      </c>
      <c r="G11" s="377">
        <v>521</v>
      </c>
      <c r="H11" s="378">
        <f>IF(F11=0,0,$C11/(F11*365))</f>
        <v>0.99915497606865822</v>
      </c>
      <c r="I11" s="378">
        <f>IF(G11=0,0,$C11/(G11*365))</f>
        <v>0.79587200588962215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24010</v>
      </c>
      <c r="D13" s="376">
        <v>616</v>
      </c>
      <c r="E13" s="376">
        <v>0</v>
      </c>
      <c r="F13" s="377">
        <v>66</v>
      </c>
      <c r="G13" s="377">
        <v>74</v>
      </c>
      <c r="H13" s="378">
        <f>IF(F13=0,0,$C13/(F13*365))</f>
        <v>0.99667911996679115</v>
      </c>
      <c r="I13" s="378">
        <f>IF(G13=0,0,$C13/(G13*365))</f>
        <v>0.8889300259163273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9135</v>
      </c>
      <c r="D15" s="376">
        <v>1122</v>
      </c>
      <c r="E15" s="376">
        <v>1119</v>
      </c>
      <c r="F15" s="377">
        <v>26</v>
      </c>
      <c r="G15" s="377">
        <v>29</v>
      </c>
      <c r="H15" s="378">
        <f t="shared" ref="H15:I17" si="0">IF(F15=0,0,$C15/(F15*365))</f>
        <v>0.96259220231822973</v>
      </c>
      <c r="I15" s="378">
        <f t="shared" si="0"/>
        <v>0.86301369863013699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30670</v>
      </c>
      <c r="D16" s="376">
        <v>2922</v>
      </c>
      <c r="E16" s="376">
        <v>2849</v>
      </c>
      <c r="F16" s="377">
        <v>85</v>
      </c>
      <c r="G16" s="377">
        <v>94</v>
      </c>
      <c r="H16" s="378">
        <f t="shared" si="0"/>
        <v>0.98855761482675264</v>
      </c>
      <c r="I16" s="378">
        <f t="shared" si="0"/>
        <v>0.89390848149227631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39805</v>
      </c>
      <c r="D17" s="381">
        <f>SUM(D15:D16)</f>
        <v>4044</v>
      </c>
      <c r="E17" s="381">
        <f>SUM(E15:E16)</f>
        <v>3968</v>
      </c>
      <c r="F17" s="381">
        <f>SUM(F15:F16)</f>
        <v>111</v>
      </c>
      <c r="G17" s="381">
        <f>SUM(G15:G16)</f>
        <v>123</v>
      </c>
      <c r="H17" s="382">
        <f t="shared" si="0"/>
        <v>0.98247562631124274</v>
      </c>
      <c r="I17" s="382">
        <f t="shared" si="0"/>
        <v>0.88662434569551174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10827</v>
      </c>
      <c r="D21" s="376">
        <v>3540</v>
      </c>
      <c r="E21" s="376">
        <v>3728</v>
      </c>
      <c r="F21" s="377">
        <v>30</v>
      </c>
      <c r="G21" s="377">
        <v>43</v>
      </c>
      <c r="H21" s="378">
        <f>IF(F21=0,0,$C21/(F21*365))</f>
        <v>0.98876712328767125</v>
      </c>
      <c r="I21" s="378">
        <f>IF(G21=0,0,$C21/(G21*365))</f>
        <v>0.68983752787511943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9023</v>
      </c>
      <c r="D23" s="376">
        <v>3659</v>
      </c>
      <c r="E23" s="376">
        <v>3666</v>
      </c>
      <c r="F23" s="377">
        <v>25</v>
      </c>
      <c r="G23" s="377">
        <v>48</v>
      </c>
      <c r="H23" s="378">
        <f>IF(F23=0,0,$C23/(F23*365))</f>
        <v>0.98882191780821915</v>
      </c>
      <c r="I23" s="378">
        <f>IF(G23=0,0,$C23/(G23*365))</f>
        <v>0.5150114155251142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0</v>
      </c>
      <c r="D25" s="376">
        <v>0</v>
      </c>
      <c r="E25" s="376">
        <v>0</v>
      </c>
      <c r="F25" s="377">
        <v>0</v>
      </c>
      <c r="G25" s="377">
        <v>0</v>
      </c>
      <c r="H25" s="378">
        <f>IF(F25=0,0,$C25/(F25*365))</f>
        <v>0</v>
      </c>
      <c r="I25" s="378">
        <f>IF(G25=0,0,$C25/(G25*365))</f>
        <v>0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0</v>
      </c>
      <c r="D27" s="376">
        <v>0</v>
      </c>
      <c r="E27" s="376">
        <v>0</v>
      </c>
      <c r="F27" s="377">
        <v>0</v>
      </c>
      <c r="G27" s="377">
        <v>0</v>
      </c>
      <c r="H27" s="378">
        <f>IF(F27=0,0,$C27/(F27*365))</f>
        <v>0</v>
      </c>
      <c r="I27" s="378">
        <f>IF(G27=0,0,$C27/(G27*365))</f>
        <v>0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225989</v>
      </c>
      <c r="D31" s="384">
        <f>SUM(D10:D29)-D13-D17-D23</f>
        <v>38150</v>
      </c>
      <c r="E31" s="384">
        <f>SUM(E10:E29)-E17-E23</f>
        <v>38242</v>
      </c>
      <c r="F31" s="384">
        <f>SUM(F10:F29)-F17-F23</f>
        <v>622</v>
      </c>
      <c r="G31" s="384">
        <f>SUM(G10:G29)-G17-G23</f>
        <v>761</v>
      </c>
      <c r="H31" s="385">
        <f>IF(F31=0,0,$C31/(F31*365))</f>
        <v>0.99541470290270007</v>
      </c>
      <c r="I31" s="385">
        <f>IF(G31=0,0,$C31/(G31*365))</f>
        <v>0.81359782549997295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235012</v>
      </c>
      <c r="D33" s="384">
        <f>SUM(D10:D29)-D13-D17</f>
        <v>41809</v>
      </c>
      <c r="E33" s="384">
        <f>SUM(E10:E29)-E17</f>
        <v>41908</v>
      </c>
      <c r="F33" s="384">
        <f>SUM(F10:F29)-F17</f>
        <v>647</v>
      </c>
      <c r="G33" s="384">
        <f>SUM(G10:G29)-G17</f>
        <v>809</v>
      </c>
      <c r="H33" s="385">
        <f>IF(F33=0,0,$C33/(F33*365))</f>
        <v>0.99515995850183148</v>
      </c>
      <c r="I33" s="385">
        <f>IF(G33=0,0,$C33/(G33*365))</f>
        <v>0.79588194456203332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235012</v>
      </c>
      <c r="D36" s="384">
        <f t="shared" si="1"/>
        <v>41809</v>
      </c>
      <c r="E36" s="384">
        <f t="shared" si="1"/>
        <v>41908</v>
      </c>
      <c r="F36" s="384">
        <f t="shared" si="1"/>
        <v>647</v>
      </c>
      <c r="G36" s="384">
        <f t="shared" si="1"/>
        <v>809</v>
      </c>
      <c r="H36" s="387">
        <f t="shared" si="1"/>
        <v>0.99515995850183148</v>
      </c>
      <c r="I36" s="387">
        <f t="shared" si="1"/>
        <v>0.79588194456203332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233332</v>
      </c>
      <c r="D37" s="384">
        <v>41251</v>
      </c>
      <c r="E37" s="384">
        <v>41332</v>
      </c>
      <c r="F37" s="386">
        <v>667</v>
      </c>
      <c r="G37" s="386">
        <v>802</v>
      </c>
      <c r="H37" s="385">
        <f>IF(F37=0,0,$C37/(F37*365))</f>
        <v>0.95841942042677286</v>
      </c>
      <c r="I37" s="385">
        <f>IF(G37=0,0,$C37/(G37*365))</f>
        <v>0.7970894681105456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1680</v>
      </c>
      <c r="D38" s="384">
        <f t="shared" si="2"/>
        <v>558</v>
      </c>
      <c r="E38" s="384">
        <f t="shared" si="2"/>
        <v>576</v>
      </c>
      <c r="F38" s="384">
        <f t="shared" si="2"/>
        <v>-20</v>
      </c>
      <c r="G38" s="384">
        <f t="shared" si="2"/>
        <v>7</v>
      </c>
      <c r="H38" s="387">
        <f t="shared" si="2"/>
        <v>3.6740538075058615E-2</v>
      </c>
      <c r="I38" s="387">
        <f t="shared" si="2"/>
        <v>-1.2075235485122793E-3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7.2000411430922463E-3</v>
      </c>
      <c r="D40" s="389">
        <f t="shared" si="3"/>
        <v>1.3526944801338149E-2</v>
      </c>
      <c r="E40" s="389">
        <f t="shared" si="3"/>
        <v>1.3935933417207006E-2</v>
      </c>
      <c r="F40" s="389">
        <f t="shared" si="3"/>
        <v>-2.9985007496251874E-2</v>
      </c>
      <c r="G40" s="389">
        <f t="shared" si="3"/>
        <v>8.7281795511221939E-3</v>
      </c>
      <c r="H40" s="389">
        <f t="shared" si="3"/>
        <v>3.8334509184609893E-2</v>
      </c>
      <c r="I40" s="389">
        <f t="shared" si="3"/>
        <v>-1.5149159496168527E-3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867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gridLines="1"/>
  <pageMargins left="0.25" right="0.25" top="0.5" bottom="0.5" header="0.25" footer="0.25"/>
  <pageSetup scale="74" fitToHeight="0" orientation="landscape" horizontalDpi="1200" verticalDpi="1200" r:id="rId1"/>
  <headerFooter>
    <oddHeader>&amp;LOFFICE OF HEALTH CARE ACCESS&amp;CTWELVE MONTHS ACTUAL FILING&amp;RHARTFORD HOSPITAL</oddHeader>
    <oddFooter>&amp;LREPORT 100&amp;CPAGE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3" t="s">
        <v>0</v>
      </c>
      <c r="B1" s="814"/>
      <c r="C1" s="814"/>
      <c r="D1" s="814"/>
      <c r="E1" s="814"/>
      <c r="F1" s="815"/>
    </row>
    <row r="2" spans="1:16" ht="15.75" customHeight="1" x14ac:dyDescent="0.25">
      <c r="A2" s="813" t="s">
        <v>1</v>
      </c>
      <c r="B2" s="814"/>
      <c r="C2" s="814"/>
      <c r="D2" s="814"/>
      <c r="E2" s="814"/>
      <c r="F2" s="815"/>
    </row>
    <row r="3" spans="1:16" ht="15.75" customHeight="1" x14ac:dyDescent="0.25">
      <c r="A3" s="813" t="s">
        <v>2</v>
      </c>
      <c r="B3" s="814"/>
      <c r="C3" s="814"/>
      <c r="D3" s="814"/>
      <c r="E3" s="814"/>
      <c r="F3" s="815"/>
    </row>
    <row r="4" spans="1:16" ht="15.75" customHeight="1" x14ac:dyDescent="0.25">
      <c r="A4" s="813" t="s">
        <v>553</v>
      </c>
      <c r="B4" s="814"/>
      <c r="C4" s="814"/>
      <c r="D4" s="814"/>
      <c r="E4" s="814"/>
      <c r="F4" s="815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22372</v>
      </c>
      <c r="D12" s="409">
        <v>22135</v>
      </c>
      <c r="E12" s="409">
        <f>+D12-C12</f>
        <v>-237</v>
      </c>
      <c r="F12" s="410">
        <f>IF(C12=0,0,+E12/C12)</f>
        <v>-1.0593599141784373E-2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4436</v>
      </c>
      <c r="D13" s="409">
        <v>4249</v>
      </c>
      <c r="E13" s="409">
        <f>+D13-C13</f>
        <v>-187</v>
      </c>
      <c r="F13" s="410">
        <f>IF(C13=0,0,+E13/C13)</f>
        <v>-4.2155094679891793E-2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12414</v>
      </c>
      <c r="D14" s="409">
        <v>12493</v>
      </c>
      <c r="E14" s="409">
        <f>+D14-C14</f>
        <v>79</v>
      </c>
      <c r="F14" s="410">
        <f>IF(C14=0,0,+E14/C14)</f>
        <v>6.3637828258417918E-3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39222</v>
      </c>
      <c r="D16" s="401">
        <f>SUM(D12:D15)</f>
        <v>38877</v>
      </c>
      <c r="E16" s="401">
        <f>+D16-C16</f>
        <v>-345</v>
      </c>
      <c r="F16" s="402">
        <f>IF(C16=0,0,+E16/C16)</f>
        <v>-8.7960838305032891E-3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4942</v>
      </c>
      <c r="D19" s="409">
        <v>4984</v>
      </c>
      <c r="E19" s="409">
        <f>+D19-C19</f>
        <v>42</v>
      </c>
      <c r="F19" s="410">
        <f>IF(C19=0,0,+E19/C19)</f>
        <v>8.4985835694051E-3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4418</v>
      </c>
      <c r="D20" s="409">
        <v>4268</v>
      </c>
      <c r="E20" s="409">
        <f>+D20-C20</f>
        <v>-150</v>
      </c>
      <c r="F20" s="410">
        <f>IF(C20=0,0,+E20/C20)</f>
        <v>-3.3952014486192846E-2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445</v>
      </c>
      <c r="D21" s="409">
        <v>447</v>
      </c>
      <c r="E21" s="409">
        <f>+D21-C21</f>
        <v>2</v>
      </c>
      <c r="F21" s="410">
        <f>IF(C21=0,0,+E21/C21)</f>
        <v>4.4943820224719105E-3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9805</v>
      </c>
      <c r="D23" s="401">
        <f>SUM(D19:D22)</f>
        <v>9699</v>
      </c>
      <c r="E23" s="401">
        <f>+D23-C23</f>
        <v>-106</v>
      </c>
      <c r="F23" s="402">
        <f>IF(C23=0,0,+E23/C23)</f>
        <v>-1.0810810810810811E-2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40</v>
      </c>
      <c r="D26" s="409">
        <v>47</v>
      </c>
      <c r="E26" s="409">
        <f>+D26-C26</f>
        <v>7</v>
      </c>
      <c r="F26" s="410">
        <f>IF(C26=0,0,+E26/C26)</f>
        <v>0.17499999999999999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71</v>
      </c>
      <c r="D27" s="409">
        <v>66</v>
      </c>
      <c r="E27" s="409">
        <f>+D27-C27</f>
        <v>-5</v>
      </c>
      <c r="F27" s="410">
        <f>IF(C27=0,0,+E27/C27)</f>
        <v>-7.0422535211267609E-2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2</v>
      </c>
      <c r="D28" s="409">
        <v>2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113</v>
      </c>
      <c r="D30" s="401">
        <f>SUM(D26:D29)</f>
        <v>115</v>
      </c>
      <c r="E30" s="401">
        <f>+D30-C30</f>
        <v>2</v>
      </c>
      <c r="F30" s="402">
        <f>IF(C30=0,0,+E30/C30)</f>
        <v>1.7699115044247787E-2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55</v>
      </c>
      <c r="D33" s="409">
        <v>47</v>
      </c>
      <c r="E33" s="409">
        <f>+D33-C33</f>
        <v>-8</v>
      </c>
      <c r="F33" s="410">
        <f>IF(C33=0,0,+E33/C33)</f>
        <v>-0.14545454545454545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1162</v>
      </c>
      <c r="D34" s="409">
        <v>1139</v>
      </c>
      <c r="E34" s="409">
        <f>+D34-C34</f>
        <v>-23</v>
      </c>
      <c r="F34" s="410">
        <f>IF(C34=0,0,+E34/C34)</f>
        <v>-1.9793459552495698E-2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1217</v>
      </c>
      <c r="D37" s="401">
        <f>SUM(D33:D36)</f>
        <v>1186</v>
      </c>
      <c r="E37" s="401">
        <f>+D37-C37</f>
        <v>-31</v>
      </c>
      <c r="F37" s="402">
        <f>IF(C37=0,0,+E37/C37)</f>
        <v>-2.5472473294987676E-2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0" t="s">
        <v>566</v>
      </c>
      <c r="C39" s="811"/>
      <c r="D39" s="811"/>
      <c r="E39" s="811"/>
      <c r="F39" s="812"/>
    </row>
    <row r="40" spans="1:16" ht="15.75" customHeight="1" x14ac:dyDescent="0.25">
      <c r="A40" s="136"/>
      <c r="B40" s="810" t="s">
        <v>567</v>
      </c>
      <c r="C40" s="811"/>
      <c r="D40" s="811"/>
      <c r="E40" s="811"/>
      <c r="F40" s="812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1401</v>
      </c>
      <c r="D43" s="409">
        <v>1407</v>
      </c>
      <c r="E43" s="409">
        <f>+D43-C43</f>
        <v>6</v>
      </c>
      <c r="F43" s="410">
        <f>IF(C43=0,0,+E43/C43)</f>
        <v>4.2826552462526769E-3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27135</v>
      </c>
      <c r="D44" s="409">
        <v>33200</v>
      </c>
      <c r="E44" s="409">
        <f>+D44-C44</f>
        <v>6065</v>
      </c>
      <c r="F44" s="410">
        <f>IF(C44=0,0,+E44/C44)</f>
        <v>0.22351206928321357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28536</v>
      </c>
      <c r="D45" s="401">
        <f>SUM(D43:D44)</f>
        <v>34607</v>
      </c>
      <c r="E45" s="401">
        <f>+D45-C45</f>
        <v>6071</v>
      </c>
      <c r="F45" s="402">
        <f>IF(C45=0,0,+E45/C45)</f>
        <v>0.21274880852256797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2018</v>
      </c>
      <c r="D48" s="409">
        <v>2104</v>
      </c>
      <c r="E48" s="409">
        <f>+D48-C48</f>
        <v>86</v>
      </c>
      <c r="F48" s="410">
        <f>IF(C48=0,0,+E48/C48)</f>
        <v>4.261645193260654E-2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1121</v>
      </c>
      <c r="D49" s="409">
        <v>1064</v>
      </c>
      <c r="E49" s="409">
        <f>+D49-C49</f>
        <v>-57</v>
      </c>
      <c r="F49" s="410">
        <f>IF(C49=0,0,+E49/C49)</f>
        <v>-5.0847457627118647E-2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3139</v>
      </c>
      <c r="D50" s="401">
        <f>SUM(D48:D49)</f>
        <v>3168</v>
      </c>
      <c r="E50" s="401">
        <f>+D50-C50</f>
        <v>29</v>
      </c>
      <c r="F50" s="402">
        <f>IF(C50=0,0,+E50/C50)</f>
        <v>9.2386110226186681E-3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427</v>
      </c>
      <c r="D53" s="409">
        <v>436</v>
      </c>
      <c r="E53" s="409">
        <f>+D53-C53</f>
        <v>9</v>
      </c>
      <c r="F53" s="410">
        <f>IF(C53=0,0,+E53/C53)</f>
        <v>2.1077283372365339E-2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745</v>
      </c>
      <c r="D54" s="409">
        <v>760</v>
      </c>
      <c r="E54" s="409">
        <f>+D54-C54</f>
        <v>15</v>
      </c>
      <c r="F54" s="410">
        <f>IF(C54=0,0,+E54/C54)</f>
        <v>2.0134228187919462E-2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1172</v>
      </c>
      <c r="D55" s="401">
        <f>SUM(D53:D54)</f>
        <v>1196</v>
      </c>
      <c r="E55" s="401">
        <f>+D55-C55</f>
        <v>24</v>
      </c>
      <c r="F55" s="402">
        <f>IF(C55=0,0,+E55/C55)</f>
        <v>2.0477815699658702E-2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260</v>
      </c>
      <c r="D58" s="409">
        <v>219</v>
      </c>
      <c r="E58" s="409">
        <f>+D58-C58</f>
        <v>-41</v>
      </c>
      <c r="F58" s="410">
        <f>IF(C58=0,0,+E58/C58)</f>
        <v>-0.15769230769230769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356</v>
      </c>
      <c r="D59" s="409">
        <v>284</v>
      </c>
      <c r="E59" s="409">
        <f>+D59-C59</f>
        <v>-72</v>
      </c>
      <c r="F59" s="410">
        <f>IF(C59=0,0,+E59/C59)</f>
        <v>-0.20224719101123595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616</v>
      </c>
      <c r="D60" s="401">
        <f>SUM(D58:D59)</f>
        <v>503</v>
      </c>
      <c r="E60" s="401">
        <f>SUM(E58:E59)</f>
        <v>-113</v>
      </c>
      <c r="F60" s="402">
        <f>IF(C60=0,0,+E60/C60)</f>
        <v>-0.18344155844155843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15781</v>
      </c>
      <c r="D63" s="409">
        <v>16191</v>
      </c>
      <c r="E63" s="409">
        <f>+D63-C63</f>
        <v>410</v>
      </c>
      <c r="F63" s="410">
        <f>IF(C63=0,0,+E63/C63)</f>
        <v>2.5980609593815346E-2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24679</v>
      </c>
      <c r="D64" s="409">
        <v>24464</v>
      </c>
      <c r="E64" s="409">
        <f>+D64-C64</f>
        <v>-215</v>
      </c>
      <c r="F64" s="410">
        <f>IF(C64=0,0,+E64/C64)</f>
        <v>-8.7118602860731791E-3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40460</v>
      </c>
      <c r="D65" s="401">
        <f>SUM(D63:D64)</f>
        <v>40655</v>
      </c>
      <c r="E65" s="401">
        <f>+D65-C65</f>
        <v>195</v>
      </c>
      <c r="F65" s="402">
        <f>IF(C65=0,0,+E65/C65)</f>
        <v>4.8195748887790409E-3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3565</v>
      </c>
      <c r="D68" s="409">
        <v>3414</v>
      </c>
      <c r="E68" s="409">
        <f>+D68-C68</f>
        <v>-151</v>
      </c>
      <c r="F68" s="410">
        <f>IF(C68=0,0,+E68/C68)</f>
        <v>-4.2356241234221596E-2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17060</v>
      </c>
      <c r="D69" s="409">
        <v>17343</v>
      </c>
      <c r="E69" s="409">
        <f>+D69-C69</f>
        <v>283</v>
      </c>
      <c r="F69" s="412">
        <f>IF(C69=0,0,+E69/C69)</f>
        <v>1.6588511137162955E-2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20625</v>
      </c>
      <c r="D70" s="401">
        <f>SUM(D68:D69)</f>
        <v>20757</v>
      </c>
      <c r="E70" s="401">
        <f>+D70-C70</f>
        <v>132</v>
      </c>
      <c r="F70" s="402">
        <f>IF(C70=0,0,+E70/C70)</f>
        <v>6.4000000000000003E-3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20588</v>
      </c>
      <c r="D73" s="376">
        <v>22296</v>
      </c>
      <c r="E73" s="409">
        <f>+D73-C73</f>
        <v>1708</v>
      </c>
      <c r="F73" s="410">
        <f>IF(C73=0,0,+E73/C73)</f>
        <v>8.2960948125121434E-2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79223</v>
      </c>
      <c r="D74" s="376">
        <v>78503</v>
      </c>
      <c r="E74" s="409">
        <f>+D74-C74</f>
        <v>-720</v>
      </c>
      <c r="F74" s="410">
        <f>IF(C74=0,0,+E74/C74)</f>
        <v>-9.0882698206328962E-3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99811</v>
      </c>
      <c r="D75" s="401">
        <f>SUM(D73:D74)</f>
        <v>100799</v>
      </c>
      <c r="E75" s="401">
        <f>SUM(E73:E74)</f>
        <v>988</v>
      </c>
      <c r="F75" s="402">
        <f>IF(C75=0,0,+E75/C75)</f>
        <v>9.8987085591768446E-3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13681</v>
      </c>
      <c r="D80" s="376">
        <v>14030</v>
      </c>
      <c r="E80" s="409">
        <f t="shared" si="0"/>
        <v>349</v>
      </c>
      <c r="F80" s="410">
        <f t="shared" si="1"/>
        <v>2.5509831152693518E-2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13739</v>
      </c>
      <c r="D81" s="376">
        <v>12832</v>
      </c>
      <c r="E81" s="409">
        <f t="shared" si="0"/>
        <v>-907</v>
      </c>
      <c r="F81" s="410">
        <f t="shared" si="1"/>
        <v>-6.6016449523254972E-2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10069</v>
      </c>
      <c r="D82" s="376">
        <v>0</v>
      </c>
      <c r="E82" s="409">
        <f t="shared" si="0"/>
        <v>-10069</v>
      </c>
      <c r="F82" s="410">
        <f t="shared" si="1"/>
        <v>-1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10983</v>
      </c>
      <c r="E85" s="409">
        <f t="shared" si="0"/>
        <v>10983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38287</v>
      </c>
      <c r="D87" s="376">
        <v>0</v>
      </c>
      <c r="E87" s="409">
        <f t="shared" si="0"/>
        <v>-38287</v>
      </c>
      <c r="F87" s="410">
        <f t="shared" si="1"/>
        <v>-1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18341</v>
      </c>
      <c r="E90" s="409">
        <f t="shared" si="0"/>
        <v>18341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0</v>
      </c>
      <c r="D91" s="376">
        <v>19385</v>
      </c>
      <c r="E91" s="409">
        <f t="shared" si="0"/>
        <v>19385</v>
      </c>
      <c r="F91" s="410">
        <f t="shared" si="1"/>
        <v>0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75776</v>
      </c>
      <c r="D92" s="381">
        <f>SUM(D79:D91)</f>
        <v>75571</v>
      </c>
      <c r="E92" s="401">
        <f t="shared" si="0"/>
        <v>-205</v>
      </c>
      <c r="F92" s="402">
        <f t="shared" si="1"/>
        <v>-2.7053420608108107E-3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124728</v>
      </c>
      <c r="D95" s="414">
        <v>141717</v>
      </c>
      <c r="E95" s="415">
        <f t="shared" ref="E95:E100" si="2">+D95-C95</f>
        <v>16989</v>
      </c>
      <c r="F95" s="412">
        <f t="shared" ref="F95:F100" si="3">IF(C95=0,0,+E95/C95)</f>
        <v>0.13620838945545508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11963</v>
      </c>
      <c r="D96" s="414">
        <v>11379</v>
      </c>
      <c r="E96" s="409">
        <f t="shared" si="2"/>
        <v>-584</v>
      </c>
      <c r="F96" s="410">
        <f t="shared" si="3"/>
        <v>-4.8817186324500543E-2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1462</v>
      </c>
      <c r="D97" s="414">
        <v>1375</v>
      </c>
      <c r="E97" s="409">
        <f t="shared" si="2"/>
        <v>-87</v>
      </c>
      <c r="F97" s="410">
        <f t="shared" si="3"/>
        <v>-5.9507523939808481E-2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10696</v>
      </c>
      <c r="D98" s="414">
        <v>15766</v>
      </c>
      <c r="E98" s="409">
        <f t="shared" si="2"/>
        <v>5070</v>
      </c>
      <c r="F98" s="410">
        <f t="shared" si="3"/>
        <v>0.47400897531787584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42344</v>
      </c>
      <c r="D99" s="414">
        <v>51499</v>
      </c>
      <c r="E99" s="409">
        <f t="shared" si="2"/>
        <v>9155</v>
      </c>
      <c r="F99" s="410">
        <f t="shared" si="3"/>
        <v>0.2162053655771774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191193</v>
      </c>
      <c r="D100" s="381">
        <f>SUM(D95:D99)</f>
        <v>221736</v>
      </c>
      <c r="E100" s="401">
        <f t="shared" si="2"/>
        <v>30543</v>
      </c>
      <c r="F100" s="402">
        <f t="shared" si="3"/>
        <v>0.15974957242158447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1573.5</v>
      </c>
      <c r="D104" s="416">
        <v>1562</v>
      </c>
      <c r="E104" s="417">
        <f>+D104-C104</f>
        <v>-11.5</v>
      </c>
      <c r="F104" s="410">
        <f>IF(C104=0,0,+E104/C104)</f>
        <v>-7.3085478233238001E-3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222</v>
      </c>
      <c r="D105" s="416">
        <v>230.2</v>
      </c>
      <c r="E105" s="417">
        <f>+D105-C105</f>
        <v>8.1999999999999886</v>
      </c>
      <c r="F105" s="410">
        <f>IF(C105=0,0,+E105/C105)</f>
        <v>3.6936936936936886E-2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4238</v>
      </c>
      <c r="D106" s="416">
        <v>4332.7</v>
      </c>
      <c r="E106" s="417">
        <f>+D106-C106</f>
        <v>94.699999999999818</v>
      </c>
      <c r="F106" s="410">
        <f>IF(C106=0,0,+E106/C106)</f>
        <v>2.2345445965077825E-2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6033.5</v>
      </c>
      <c r="D107" s="418">
        <f>SUM(D104:D106)</f>
        <v>6124.9</v>
      </c>
      <c r="E107" s="418">
        <f>+D107-C107</f>
        <v>91.399999999999636</v>
      </c>
      <c r="F107" s="402">
        <f>IF(C107=0,0,+E107/C107)</f>
        <v>1.5148752796884003E-2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FILING&amp;RHARTFORD HOSPITAL</oddHeader>
    <oddFooter>&amp;LREPORT 100&amp;CPAGE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zoomScale="75" zoomScaleSheetLayoutView="90" workbookViewId="0">
      <selection sqref="A1:F1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3" t="s">
        <v>0</v>
      </c>
      <c r="B1" s="814"/>
      <c r="C1" s="814"/>
      <c r="D1" s="814"/>
      <c r="E1" s="814"/>
      <c r="F1" s="815"/>
    </row>
    <row r="2" spans="1:6" ht="15.75" customHeight="1" x14ac:dyDescent="0.25">
      <c r="A2" s="813" t="s">
        <v>1</v>
      </c>
      <c r="B2" s="814"/>
      <c r="C2" s="814"/>
      <c r="D2" s="814"/>
      <c r="E2" s="814"/>
      <c r="F2" s="815"/>
    </row>
    <row r="3" spans="1:6" ht="15.75" customHeight="1" x14ac:dyDescent="0.25">
      <c r="A3" s="813" t="s">
        <v>2</v>
      </c>
      <c r="B3" s="814"/>
      <c r="C3" s="814"/>
      <c r="D3" s="814"/>
      <c r="E3" s="814"/>
      <c r="F3" s="815"/>
    </row>
    <row r="4" spans="1:6" ht="15.75" customHeight="1" x14ac:dyDescent="0.25">
      <c r="A4" s="813" t="s">
        <v>620</v>
      </c>
      <c r="B4" s="814"/>
      <c r="C4" s="814"/>
      <c r="D4" s="814"/>
      <c r="E4" s="814"/>
      <c r="F4" s="815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9874</v>
      </c>
      <c r="D12" s="409">
        <v>9719</v>
      </c>
      <c r="E12" s="409">
        <f>+D12-C12</f>
        <v>-155</v>
      </c>
      <c r="F12" s="410">
        <f>IF(C12=0,0,+E12/C12)</f>
        <v>-1.5697792181486734E-2</v>
      </c>
    </row>
    <row r="13" spans="1:6" ht="15.75" customHeight="1" x14ac:dyDescent="0.2">
      <c r="A13" s="374">
        <v>2</v>
      </c>
      <c r="B13" s="408" t="s">
        <v>622</v>
      </c>
      <c r="C13" s="409">
        <v>12528</v>
      </c>
      <c r="D13" s="409">
        <v>12590</v>
      </c>
      <c r="E13" s="409">
        <f>+D13-C13</f>
        <v>62</v>
      </c>
      <c r="F13" s="410">
        <f>IF(C13=0,0,+E13/C13)</f>
        <v>4.9489144316730528E-3</v>
      </c>
    </row>
    <row r="14" spans="1:6" ht="15.75" customHeight="1" x14ac:dyDescent="0.2">
      <c r="A14" s="374">
        <v>3</v>
      </c>
      <c r="B14" s="408" t="s">
        <v>623</v>
      </c>
      <c r="C14" s="409">
        <v>2277</v>
      </c>
      <c r="D14" s="409">
        <v>2155</v>
      </c>
      <c r="E14" s="409">
        <f>+D14-C14</f>
        <v>-122</v>
      </c>
      <c r="F14" s="410">
        <f>IF(C14=0,0,+E14/C14)</f>
        <v>-5.357927097057532E-2</v>
      </c>
    </row>
    <row r="15" spans="1:6" ht="15.75" customHeight="1" x14ac:dyDescent="0.25">
      <c r="A15" s="374"/>
      <c r="B15" s="399" t="s">
        <v>624</v>
      </c>
      <c r="C15" s="401">
        <f>SUM(C11:C14)</f>
        <v>24679</v>
      </c>
      <c r="D15" s="401">
        <f>SUM(D11:D14)</f>
        <v>24464</v>
      </c>
      <c r="E15" s="401">
        <f>+D15-C15</f>
        <v>-215</v>
      </c>
      <c r="F15" s="402">
        <f>IF(C15=0,0,+E15/C15)</f>
        <v>-8.7118602860731791E-3</v>
      </c>
    </row>
    <row r="16" spans="1:6" ht="15.75" customHeight="1" x14ac:dyDescent="0.25">
      <c r="A16" s="136"/>
      <c r="B16" s="399"/>
      <c r="C16" s="401"/>
      <c r="D16" s="401"/>
      <c r="E16" s="401"/>
      <c r="F16" s="402"/>
    </row>
    <row r="17" spans="1:6" ht="15.75" customHeight="1" x14ac:dyDescent="0.25">
      <c r="A17" s="136" t="s">
        <v>26</v>
      </c>
      <c r="B17" s="406" t="s">
        <v>588</v>
      </c>
      <c r="C17" s="409"/>
      <c r="D17" s="409"/>
      <c r="E17" s="409"/>
      <c r="F17" s="410"/>
    </row>
    <row r="18" spans="1:6" ht="15.75" customHeight="1" x14ac:dyDescent="0.2">
      <c r="A18" s="374">
        <v>1</v>
      </c>
      <c r="B18" s="408" t="s">
        <v>622</v>
      </c>
      <c r="C18" s="409">
        <v>10290</v>
      </c>
      <c r="D18" s="409">
        <v>10375</v>
      </c>
      <c r="E18" s="409">
        <f>+D18-C18</f>
        <v>85</v>
      </c>
      <c r="F18" s="410">
        <f>IF(C18=0,0,+E18/C18)</f>
        <v>8.2604470359572395E-3</v>
      </c>
    </row>
    <row r="19" spans="1:6" ht="15.75" customHeight="1" x14ac:dyDescent="0.2">
      <c r="A19" s="374">
        <v>2</v>
      </c>
      <c r="B19" s="408" t="s">
        <v>623</v>
      </c>
      <c r="C19" s="409">
        <v>1476</v>
      </c>
      <c r="D19" s="409">
        <v>1522</v>
      </c>
      <c r="E19" s="409">
        <f>+D19-C19</f>
        <v>46</v>
      </c>
      <c r="F19" s="410">
        <f>IF(C19=0,0,+E19/C19)</f>
        <v>3.1165311653116531E-2</v>
      </c>
    </row>
    <row r="20" spans="1:6" ht="15.75" customHeight="1" x14ac:dyDescent="0.2">
      <c r="A20" s="374">
        <v>3</v>
      </c>
      <c r="B20" s="408" t="s">
        <v>625</v>
      </c>
      <c r="C20" s="409">
        <v>5294</v>
      </c>
      <c r="D20" s="409">
        <v>5446</v>
      </c>
      <c r="E20" s="409">
        <f>+D20-C20</f>
        <v>152</v>
      </c>
      <c r="F20" s="410">
        <f>IF(C20=0,0,+E20/C20)</f>
        <v>2.8711749149981109E-2</v>
      </c>
    </row>
    <row r="21" spans="1:6" ht="15.75" customHeight="1" x14ac:dyDescent="0.25">
      <c r="A21" s="374"/>
      <c r="B21" s="399" t="s">
        <v>626</v>
      </c>
      <c r="C21" s="401">
        <f>SUM(C17:C20)</f>
        <v>17060</v>
      </c>
      <c r="D21" s="401">
        <f>SUM(D17:D20)</f>
        <v>17343</v>
      </c>
      <c r="E21" s="401">
        <f>+D21-C21</f>
        <v>283</v>
      </c>
      <c r="F21" s="402">
        <f>IF(C21=0,0,+E21/C21)</f>
        <v>1.6588511137162955E-2</v>
      </c>
    </row>
    <row r="22" spans="1:6" ht="15.75" customHeight="1" x14ac:dyDescent="0.25">
      <c r="A22" s="136"/>
      <c r="B22" s="399"/>
      <c r="C22" s="401"/>
      <c r="D22" s="401"/>
      <c r="E22" s="401"/>
      <c r="F22" s="402"/>
    </row>
    <row r="23" spans="1:6" ht="15.75" customHeight="1" x14ac:dyDescent="0.25">
      <c r="A23" s="136" t="s">
        <v>36</v>
      </c>
      <c r="B23" s="406" t="s">
        <v>627</v>
      </c>
      <c r="C23" s="409"/>
      <c r="D23" s="409"/>
      <c r="E23" s="409"/>
      <c r="F23" s="410"/>
    </row>
    <row r="24" spans="1:6" ht="15.75" customHeight="1" x14ac:dyDescent="0.2">
      <c r="A24" s="374">
        <v>1</v>
      </c>
      <c r="B24" s="408" t="s">
        <v>622</v>
      </c>
      <c r="C24" s="409">
        <v>79223</v>
      </c>
      <c r="D24" s="409">
        <v>78503</v>
      </c>
      <c r="E24" s="409">
        <f>+D24-C24</f>
        <v>-720</v>
      </c>
      <c r="F24" s="410">
        <f>IF(C24=0,0,+E24/C24)</f>
        <v>-9.0882698206328962E-3</v>
      </c>
    </row>
    <row r="25" spans="1:6" ht="15.75" customHeight="1" x14ac:dyDescent="0.25">
      <c r="A25" s="374"/>
      <c r="B25" s="399" t="s">
        <v>628</v>
      </c>
      <c r="C25" s="401">
        <f>SUM(C23:C24)</f>
        <v>79223</v>
      </c>
      <c r="D25" s="401">
        <f>SUM(D23:D24)</f>
        <v>78503</v>
      </c>
      <c r="E25" s="401">
        <f>+D25-C25</f>
        <v>-720</v>
      </c>
      <c r="F25" s="402">
        <f>IF(C25=0,0,+E25/C25)</f>
        <v>-9.0882698206328962E-3</v>
      </c>
    </row>
    <row r="26" spans="1:6" ht="15.75" customHeight="1" x14ac:dyDescent="0.25">
      <c r="A26" s="136"/>
      <c r="B26" s="399"/>
      <c r="C26" s="401"/>
      <c r="D26" s="401"/>
      <c r="E26" s="401"/>
      <c r="F26" s="402"/>
    </row>
    <row r="27" spans="1:6" ht="15.75" customHeight="1" x14ac:dyDescent="0.25">
      <c r="B27" s="810" t="s">
        <v>629</v>
      </c>
      <c r="C27" s="811"/>
      <c r="D27" s="811"/>
      <c r="E27" s="811"/>
      <c r="F27" s="812"/>
    </row>
    <row r="28" spans="1:6" ht="15.75" customHeight="1" x14ac:dyDescent="0.25">
      <c r="A28" s="392"/>
    </row>
    <row r="29" spans="1:6" ht="15.75" customHeight="1" x14ac:dyDescent="0.25">
      <c r="B29" s="810" t="s">
        <v>630</v>
      </c>
      <c r="C29" s="811"/>
      <c r="D29" s="811"/>
      <c r="E29" s="811"/>
      <c r="F29" s="812"/>
    </row>
    <row r="30" spans="1:6" ht="15.75" customHeight="1" x14ac:dyDescent="0.25">
      <c r="A30" s="392"/>
    </row>
    <row r="31" spans="1:6" ht="15.75" customHeight="1" x14ac:dyDescent="0.25">
      <c r="B31" s="810" t="s">
        <v>631</v>
      </c>
      <c r="C31" s="811"/>
      <c r="D31" s="811"/>
      <c r="E31" s="811"/>
      <c r="F31" s="812"/>
    </row>
    <row r="32" spans="1:6" ht="15.75" customHeight="1" x14ac:dyDescent="0.25">
      <c r="A32" s="392"/>
    </row>
  </sheetData>
  <mergeCells count="7">
    <mergeCell ref="B31:F31"/>
    <mergeCell ref="A1:F1"/>
    <mergeCell ref="A2:F2"/>
    <mergeCell ref="A3:F3"/>
    <mergeCell ref="A4:F4"/>
    <mergeCell ref="B27:F27"/>
    <mergeCell ref="B29:F29"/>
  </mergeCells>
  <printOptions gridLines="1"/>
  <pageMargins left="0.25" right="0.25" top="0.5" bottom="0.5" header="0.25" footer="0.25"/>
  <pageSetup scale="82" fitToHeight="0" orientation="portrait" horizontalDpi="1200" verticalDpi="1200" r:id="rId1"/>
  <headerFooter>
    <oddHeader>&amp;LOFFICE OF HEALTH CARE ACCESS&amp;CTWELVE MONTHS ACTUAL FILING&amp;RHARTFORD HOSPITAL</oddHeader>
    <oddFooter>&amp;LREPORT 100&amp;CPAGE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zoomScale="85" zoomScaleSheetLayoutView="80" workbookViewId="0">
      <selection sqref="A1:F1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632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633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634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635</v>
      </c>
      <c r="D7" s="426" t="s">
        <v>635</v>
      </c>
      <c r="E7" s="426" t="s">
        <v>636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637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638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639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640</v>
      </c>
      <c r="C15" s="448">
        <v>730035304</v>
      </c>
      <c r="D15" s="448">
        <v>789518832</v>
      </c>
      <c r="E15" s="448">
        <f t="shared" ref="E15:E24" si="0">D15-C15</f>
        <v>59483528</v>
      </c>
      <c r="F15" s="449">
        <f t="shared" ref="F15:F24" si="1">IF(C15=0,0,E15/C15)</f>
        <v>8.1480344408110986E-2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641</v>
      </c>
      <c r="C16" s="448">
        <v>283217747</v>
      </c>
      <c r="D16" s="448">
        <v>272818286</v>
      </c>
      <c r="E16" s="448">
        <f t="shared" si="0"/>
        <v>-10399461</v>
      </c>
      <c r="F16" s="449">
        <f t="shared" si="1"/>
        <v>-3.6718959564352442E-2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642</v>
      </c>
      <c r="C17" s="453">
        <f>IF(C15=0,0,C16/C15)</f>
        <v>0.38795075450214117</v>
      </c>
      <c r="D17" s="453">
        <f>IF(LN_IA1=0,0,LN_IA2/LN_IA1)</f>
        <v>0.34555006789249076</v>
      </c>
      <c r="E17" s="454">
        <f t="shared" si="0"/>
        <v>-4.2400686609650406E-2</v>
      </c>
      <c r="F17" s="449">
        <f t="shared" si="1"/>
        <v>-0.10929399187292053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16556</v>
      </c>
      <c r="D18" s="456">
        <v>17247</v>
      </c>
      <c r="E18" s="456">
        <f t="shared" si="0"/>
        <v>691</v>
      </c>
      <c r="F18" s="449">
        <f t="shared" si="1"/>
        <v>4.1737134573568493E-2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643</v>
      </c>
      <c r="C19" s="459">
        <v>1.8946000000000001</v>
      </c>
      <c r="D19" s="459">
        <v>1.8692200000000001</v>
      </c>
      <c r="E19" s="460">
        <f t="shared" si="0"/>
        <v>-2.5379999999999958E-2</v>
      </c>
      <c r="F19" s="449">
        <f t="shared" si="1"/>
        <v>-1.3395967486540672E-2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644</v>
      </c>
      <c r="C20" s="463">
        <f>C18*C19</f>
        <v>31366.997600000002</v>
      </c>
      <c r="D20" s="463">
        <f>LN_IA4*LN_IA5</f>
        <v>32238.43734</v>
      </c>
      <c r="E20" s="463">
        <f t="shared" si="0"/>
        <v>871.43973999999798</v>
      </c>
      <c r="F20" s="449">
        <f t="shared" si="1"/>
        <v>2.7782057789298837E-2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645</v>
      </c>
      <c r="C21" s="465">
        <f>IF(C20=0,0,C16/C20)</f>
        <v>9029.1634096340786</v>
      </c>
      <c r="D21" s="465">
        <f>IF(LN_IA6=0,0,LN_IA2/LN_IA6)</f>
        <v>8462.5158199432753</v>
      </c>
      <c r="E21" s="465">
        <f t="shared" si="0"/>
        <v>-566.64758969080322</v>
      </c>
      <c r="F21" s="449">
        <f t="shared" si="1"/>
        <v>-6.2757485271137378E-2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110148</v>
      </c>
      <c r="D22" s="456">
        <v>112217</v>
      </c>
      <c r="E22" s="456">
        <f t="shared" si="0"/>
        <v>2069</v>
      </c>
      <c r="F22" s="449">
        <f t="shared" si="1"/>
        <v>1.8783818135599376E-2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646</v>
      </c>
      <c r="C23" s="465">
        <f>IF(C22=0,0,C16/C22)</f>
        <v>2571.2472945491522</v>
      </c>
      <c r="D23" s="465">
        <f>IF(LN_IA8=0,0,LN_IA2/LN_IA8)</f>
        <v>2431.1671671850077</v>
      </c>
      <c r="E23" s="465">
        <f t="shared" si="0"/>
        <v>-140.08012736414457</v>
      </c>
      <c r="F23" s="449">
        <f t="shared" si="1"/>
        <v>-5.4479445699798588E-2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647</v>
      </c>
      <c r="C24" s="466">
        <f>IF(C18=0,0,C22/C18)</f>
        <v>6.6530562937907707</v>
      </c>
      <c r="D24" s="466">
        <f>IF(LN_IA4=0,0,LN_IA8/LN_IA4)</f>
        <v>6.506464892445063</v>
      </c>
      <c r="E24" s="466">
        <f t="shared" si="0"/>
        <v>-0.14659140134570769</v>
      </c>
      <c r="F24" s="449">
        <f t="shared" si="1"/>
        <v>-2.203369321893758E-2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648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649</v>
      </c>
      <c r="C27" s="448">
        <v>270501652</v>
      </c>
      <c r="D27" s="448">
        <v>306136212</v>
      </c>
      <c r="E27" s="448">
        <f t="shared" ref="E27:E32" si="2">D27-C27</f>
        <v>35634560</v>
      </c>
      <c r="F27" s="449">
        <f t="shared" ref="F27:F32" si="3">IF(C27=0,0,E27/C27)</f>
        <v>0.13173509195426281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650</v>
      </c>
      <c r="C28" s="448">
        <v>98708326</v>
      </c>
      <c r="D28" s="448">
        <v>87993210</v>
      </c>
      <c r="E28" s="448">
        <f t="shared" si="2"/>
        <v>-10715116</v>
      </c>
      <c r="F28" s="449">
        <f t="shared" si="3"/>
        <v>-0.10855331494528637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651</v>
      </c>
      <c r="C29" s="453">
        <f>IF(C27=0,0,C28/C27)</f>
        <v>0.36490840359082172</v>
      </c>
      <c r="D29" s="453">
        <f>IF(LN_IA11=0,0,LN_IA12/LN_IA11)</f>
        <v>0.28743156330685898</v>
      </c>
      <c r="E29" s="454">
        <f t="shared" si="2"/>
        <v>-7.7476840283962733E-2</v>
      </c>
      <c r="F29" s="449">
        <f t="shared" si="3"/>
        <v>-0.21231859700013622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652</v>
      </c>
      <c r="C30" s="453">
        <f>IF(C15=0,0,C27/C15)</f>
        <v>0.37053228866860388</v>
      </c>
      <c r="D30" s="453">
        <f>IF(LN_IA1=0,0,LN_IA11/LN_IA1)</f>
        <v>0.38775036084256442</v>
      </c>
      <c r="E30" s="454">
        <f t="shared" si="2"/>
        <v>1.7218072173960541E-2</v>
      </c>
      <c r="F30" s="449">
        <f t="shared" si="3"/>
        <v>4.6468479807329328E-2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653</v>
      </c>
      <c r="C31" s="463">
        <f>C30*C18</f>
        <v>6134.5325711974056</v>
      </c>
      <c r="D31" s="463">
        <f>LN_IA14*LN_IA4</f>
        <v>6687.5304734517085</v>
      </c>
      <c r="E31" s="463">
        <f t="shared" si="2"/>
        <v>552.99790225430297</v>
      </c>
      <c r="F31" s="449">
        <f t="shared" si="3"/>
        <v>9.0145075576045522E-2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654</v>
      </c>
      <c r="C32" s="465">
        <f>IF(C31=0,0,C28/C31)</f>
        <v>16090.602642400352</v>
      </c>
      <c r="D32" s="465">
        <f>IF(LN_IA15=0,0,LN_IA12/LN_IA15)</f>
        <v>13157.803220384145</v>
      </c>
      <c r="E32" s="465">
        <f t="shared" si="2"/>
        <v>-2932.7994220162072</v>
      </c>
      <c r="F32" s="449">
        <f t="shared" si="3"/>
        <v>-0.18226784211847893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655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656</v>
      </c>
      <c r="C35" s="448">
        <f>C15+C27</f>
        <v>1000536956</v>
      </c>
      <c r="D35" s="448">
        <f>LN_IA1+LN_IA11</f>
        <v>1095655044</v>
      </c>
      <c r="E35" s="448">
        <f>D35-C35</f>
        <v>95118088</v>
      </c>
      <c r="F35" s="449">
        <f>IF(C35=0,0,E35/C35)</f>
        <v>9.5067041181835163E-2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657</v>
      </c>
      <c r="C36" s="448">
        <f>C16+C28</f>
        <v>381926073</v>
      </c>
      <c r="D36" s="448">
        <f>LN_IA2+LN_IA12</f>
        <v>360811496</v>
      </c>
      <c r="E36" s="448">
        <f>D36-C36</f>
        <v>-21114577</v>
      </c>
      <c r="F36" s="449">
        <f>IF(C36=0,0,E36/C36)</f>
        <v>-5.5284460770500997E-2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658</v>
      </c>
      <c r="C37" s="448">
        <f>C35-C36</f>
        <v>618610883</v>
      </c>
      <c r="D37" s="448">
        <f>LN_IA17-LN_IA18</f>
        <v>734843548</v>
      </c>
      <c r="E37" s="448">
        <f>D37-C37</f>
        <v>116232665</v>
      </c>
      <c r="F37" s="449">
        <f>IF(C37=0,0,E37/C37)</f>
        <v>0.18789301674797726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659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660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640</v>
      </c>
      <c r="C42" s="448">
        <v>482196213</v>
      </c>
      <c r="D42" s="448">
        <v>467725563</v>
      </c>
      <c r="E42" s="448">
        <f t="shared" ref="E42:E53" si="4">D42-C42</f>
        <v>-14470650</v>
      </c>
      <c r="F42" s="449">
        <f t="shared" ref="F42:F53" si="5">IF(C42=0,0,E42/C42)</f>
        <v>-3.0009878986751809E-2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641</v>
      </c>
      <c r="C43" s="448">
        <v>272267415</v>
      </c>
      <c r="D43" s="448">
        <v>284495340</v>
      </c>
      <c r="E43" s="448">
        <f t="shared" si="4"/>
        <v>12227925</v>
      </c>
      <c r="F43" s="449">
        <f t="shared" si="5"/>
        <v>4.4911452220604511E-2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642</v>
      </c>
      <c r="C44" s="453">
        <f>IF(C42=0,0,C43/C42)</f>
        <v>0.5646403013123622</v>
      </c>
      <c r="D44" s="453">
        <f>IF(LN_IB1=0,0,LN_IB2/LN_IB1)</f>
        <v>0.60825270736805981</v>
      </c>
      <c r="E44" s="454">
        <f t="shared" si="4"/>
        <v>4.3612406055697606E-2</v>
      </c>
      <c r="F44" s="449">
        <f t="shared" si="5"/>
        <v>7.7239272425881939E-2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15151</v>
      </c>
      <c r="D45" s="456">
        <v>14784</v>
      </c>
      <c r="E45" s="456">
        <f t="shared" si="4"/>
        <v>-367</v>
      </c>
      <c r="F45" s="449">
        <f t="shared" si="5"/>
        <v>-2.4222823576001584E-2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643</v>
      </c>
      <c r="C46" s="459">
        <v>1.4435</v>
      </c>
      <c r="D46" s="459">
        <v>1.45099</v>
      </c>
      <c r="E46" s="460">
        <f t="shared" si="4"/>
        <v>7.4899999999999967E-3</v>
      </c>
      <c r="F46" s="449">
        <f t="shared" si="5"/>
        <v>5.1887772774506383E-3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644</v>
      </c>
      <c r="C47" s="463">
        <f>C45*C46</f>
        <v>21870.468499999999</v>
      </c>
      <c r="D47" s="463">
        <f>LN_IB4*LN_IB5</f>
        <v>21451.436160000001</v>
      </c>
      <c r="E47" s="463">
        <f t="shared" si="4"/>
        <v>-419.03233999999793</v>
      </c>
      <c r="F47" s="449">
        <f t="shared" si="5"/>
        <v>-1.9159733135117703E-2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645</v>
      </c>
      <c r="C48" s="465">
        <f>IF(C47=0,0,C43/C47)</f>
        <v>12449.089282198047</v>
      </c>
      <c r="D48" s="465">
        <f>IF(LN_IB6=0,0,LN_IB2/LN_IB6)</f>
        <v>13262.298052122585</v>
      </c>
      <c r="E48" s="465">
        <f t="shared" si="4"/>
        <v>813.2087699245385</v>
      </c>
      <c r="F48" s="449">
        <f t="shared" si="5"/>
        <v>6.5322751848796767E-2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661</v>
      </c>
      <c r="C49" s="465">
        <f>C21-C48</f>
        <v>-3419.9258725639684</v>
      </c>
      <c r="D49" s="465">
        <f>LN_IA7-LN_IB7</f>
        <v>-4799.7822321793101</v>
      </c>
      <c r="E49" s="465">
        <f t="shared" si="4"/>
        <v>-1379.8563596153417</v>
      </c>
      <c r="F49" s="449">
        <f t="shared" si="5"/>
        <v>0.40347551702366086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662</v>
      </c>
      <c r="C50" s="479">
        <f>C49*C47</f>
        <v>-74795381.068245277</v>
      </c>
      <c r="D50" s="479">
        <f>LN_IB8*LN_IB6</f>
        <v>-102962222.13549678</v>
      </c>
      <c r="E50" s="479">
        <f t="shared" si="4"/>
        <v>-28166841.067251503</v>
      </c>
      <c r="F50" s="449">
        <f t="shared" si="5"/>
        <v>0.37658530065581636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70824</v>
      </c>
      <c r="D51" s="456">
        <v>68328</v>
      </c>
      <c r="E51" s="456">
        <f t="shared" si="4"/>
        <v>-2496</v>
      </c>
      <c r="F51" s="449">
        <f t="shared" si="5"/>
        <v>-3.5242290748898682E-2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646</v>
      </c>
      <c r="C52" s="465">
        <f>IF(C51=0,0,C43/C51)</f>
        <v>3844.2818112504237</v>
      </c>
      <c r="D52" s="465">
        <f>IF(LN_IB10=0,0,LN_IB2/LN_IB10)</f>
        <v>4163.6714085001759</v>
      </c>
      <c r="E52" s="465">
        <f t="shared" si="4"/>
        <v>319.38959724975211</v>
      </c>
      <c r="F52" s="449">
        <f t="shared" si="5"/>
        <v>8.3081733580261316E-2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647</v>
      </c>
      <c r="C53" s="466">
        <f>IF(C45=0,0,C51/C45)</f>
        <v>4.6745429344597715</v>
      </c>
      <c r="D53" s="466">
        <f>IF(LN_IB4=0,0,LN_IB10/LN_IB4)</f>
        <v>4.6217532467532472</v>
      </c>
      <c r="E53" s="466">
        <f t="shared" si="4"/>
        <v>-5.2789687706524369E-2</v>
      </c>
      <c r="F53" s="449">
        <f t="shared" si="5"/>
        <v>-1.1293015904799936E-2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663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649</v>
      </c>
      <c r="C56" s="448">
        <v>346707240</v>
      </c>
      <c r="D56" s="448">
        <v>379093668</v>
      </c>
      <c r="E56" s="448">
        <f t="shared" ref="E56:E63" si="6">D56-C56</f>
        <v>32386428</v>
      </c>
      <c r="F56" s="449">
        <f t="shared" ref="F56:F63" si="7">IF(C56=0,0,E56/C56)</f>
        <v>9.3411455728469928E-2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650</v>
      </c>
      <c r="C57" s="448">
        <v>169001396</v>
      </c>
      <c r="D57" s="448">
        <v>177880331</v>
      </c>
      <c r="E57" s="448">
        <f t="shared" si="6"/>
        <v>8878935</v>
      </c>
      <c r="F57" s="449">
        <f t="shared" si="7"/>
        <v>5.2537642943493792E-2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651</v>
      </c>
      <c r="C58" s="453">
        <f>IF(C56=0,0,C57/C56)</f>
        <v>0.48744697687882144</v>
      </c>
      <c r="D58" s="453">
        <f>IF(LN_IB13=0,0,LN_IB14/LN_IB13)</f>
        <v>0.46922527600751168</v>
      </c>
      <c r="E58" s="454">
        <f t="shared" si="6"/>
        <v>-1.8221700871309754E-2</v>
      </c>
      <c r="F58" s="449">
        <f t="shared" si="7"/>
        <v>-3.7381913799087202E-2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652</v>
      </c>
      <c r="C59" s="453">
        <f>IF(C42=0,0,C56/C42)</f>
        <v>0.71901692848840348</v>
      </c>
      <c r="D59" s="453">
        <f>IF(LN_IB1=0,0,LN_IB13/LN_IB1)</f>
        <v>0.81050448807733866</v>
      </c>
      <c r="E59" s="454">
        <f t="shared" si="6"/>
        <v>9.1487559588935174E-2</v>
      </c>
      <c r="F59" s="449">
        <f t="shared" si="7"/>
        <v>0.12723978527358235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653</v>
      </c>
      <c r="C60" s="463">
        <f>C59*C45</f>
        <v>10893.8254835278</v>
      </c>
      <c r="D60" s="463">
        <f>LN_IB16*LN_IB4</f>
        <v>11982.498351735374</v>
      </c>
      <c r="E60" s="463">
        <f t="shared" si="6"/>
        <v>1088.6728682075736</v>
      </c>
      <c r="F60" s="449">
        <f t="shared" si="7"/>
        <v>9.9934854827050473E-2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654</v>
      </c>
      <c r="C61" s="465">
        <f>IF(C60=0,0,C57/C60)</f>
        <v>15513.503154198819</v>
      </c>
      <c r="D61" s="465">
        <f>IF(LN_IB17=0,0,LN_IB14/LN_IB17)</f>
        <v>14845.011931442357</v>
      </c>
      <c r="E61" s="465">
        <f t="shared" si="6"/>
        <v>-668.49122275646187</v>
      </c>
      <c r="F61" s="449">
        <f t="shared" si="7"/>
        <v>-4.3090926408554657E-2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664</v>
      </c>
      <c r="C62" s="465">
        <f>C32-C61</f>
        <v>577.09948820153295</v>
      </c>
      <c r="D62" s="465">
        <f>LN_IA16-LN_IB18</f>
        <v>-1687.2087110582124</v>
      </c>
      <c r="E62" s="465">
        <f t="shared" si="6"/>
        <v>-2264.3081992597454</v>
      </c>
      <c r="F62" s="449">
        <f t="shared" si="7"/>
        <v>-3.923601121734162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665</v>
      </c>
      <c r="C63" s="448">
        <f>C62*C60</f>
        <v>6286821.1111007109</v>
      </c>
      <c r="D63" s="448">
        <f>LN_IB19*LN_IB17</f>
        <v>-20216975.599288594</v>
      </c>
      <c r="E63" s="448">
        <f t="shared" si="6"/>
        <v>-26503796.710389305</v>
      </c>
      <c r="F63" s="449">
        <f t="shared" si="7"/>
        <v>-4.2157707754068667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666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656</v>
      </c>
      <c r="C66" s="448">
        <f>C42+C56</f>
        <v>828903453</v>
      </c>
      <c r="D66" s="448">
        <f>LN_IB1+LN_IB13</f>
        <v>846819231</v>
      </c>
      <c r="E66" s="448">
        <f>D66-C66</f>
        <v>17915778</v>
      </c>
      <c r="F66" s="449">
        <f>IF(C66=0,0,E66/C66)</f>
        <v>2.1613829614484669E-2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657</v>
      </c>
      <c r="C67" s="448">
        <f>C43+C57</f>
        <v>441268811</v>
      </c>
      <c r="D67" s="448">
        <f>LN_IB2+LN_IB14</f>
        <v>462375671</v>
      </c>
      <c r="E67" s="448">
        <f>D67-C67</f>
        <v>21106860</v>
      </c>
      <c r="F67" s="449">
        <f>IF(C67=0,0,E67/C67)</f>
        <v>4.7832204483629369E-2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658</v>
      </c>
      <c r="C68" s="448">
        <f>C66-C67</f>
        <v>387634642</v>
      </c>
      <c r="D68" s="448">
        <f>LN_IB21-LN_IB22</f>
        <v>384443560</v>
      </c>
      <c r="E68" s="448">
        <f>D68-C68</f>
        <v>-3191082</v>
      </c>
      <c r="F68" s="449">
        <f>IF(C68=0,0,E68/C68)</f>
        <v>-8.2321899393088815E-3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667</v>
      </c>
      <c r="C70" s="441">
        <f>C50+C63</f>
        <v>-68508559.957144558</v>
      </c>
      <c r="D70" s="441">
        <f>LN_IB9+LN_IB20</f>
        <v>-123179197.73478538</v>
      </c>
      <c r="E70" s="448">
        <f>D70-C70</f>
        <v>-54670637.77764082</v>
      </c>
      <c r="F70" s="449">
        <f>IF(C70=0,0,E70/C70)</f>
        <v>0.7980117785549713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668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669</v>
      </c>
      <c r="C73" s="488">
        <v>755770258</v>
      </c>
      <c r="D73" s="488">
        <v>774051584</v>
      </c>
      <c r="E73" s="488">
        <f>D73-C73</f>
        <v>18281326</v>
      </c>
      <c r="F73" s="489">
        <f>IF(C73=0,0,E73/C73)</f>
        <v>2.4188998980163624E-2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670</v>
      </c>
      <c r="C74" s="488">
        <v>414620694</v>
      </c>
      <c r="D74" s="488">
        <v>437029600</v>
      </c>
      <c r="E74" s="488">
        <f>D74-C74</f>
        <v>22408906</v>
      </c>
      <c r="F74" s="489">
        <f>IF(C74=0,0,E74/C74)</f>
        <v>5.4046762075025616E-2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671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672</v>
      </c>
      <c r="C76" s="441">
        <f>C73-C74</f>
        <v>341149564</v>
      </c>
      <c r="D76" s="441">
        <f>LN_IB32-LN_IB33</f>
        <v>337021984</v>
      </c>
      <c r="E76" s="488">
        <f>D76-C76</f>
        <v>-4127580</v>
      </c>
      <c r="F76" s="489">
        <f>IF(E76=0,0,E76/C76)</f>
        <v>-1.2099033490190831E-2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673</v>
      </c>
      <c r="C77" s="453">
        <f>IF(C73=0,0,C76/C73)</f>
        <v>0.45139321161272794</v>
      </c>
      <c r="D77" s="453">
        <f>IF(LN_IB32=0,0,LN_IB34/LN_IB32)</f>
        <v>0.43539990223700648</v>
      </c>
      <c r="E77" s="493">
        <f>D77-C77</f>
        <v>-1.5993309375721465E-2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674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675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640</v>
      </c>
      <c r="C83" s="448">
        <v>15632401</v>
      </c>
      <c r="D83" s="448">
        <v>10885059</v>
      </c>
      <c r="E83" s="448">
        <f t="shared" ref="E83:E95" si="8">D83-C83</f>
        <v>-4747342</v>
      </c>
      <c r="F83" s="449">
        <f t="shared" ref="F83:F95" si="9">IF(C83=0,0,E83/C83)</f>
        <v>-0.30368604285419754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641</v>
      </c>
      <c r="C84" s="448">
        <v>1953495</v>
      </c>
      <c r="D84" s="448">
        <v>254829</v>
      </c>
      <c r="E84" s="448">
        <f t="shared" si="8"/>
        <v>-1698666</v>
      </c>
      <c r="F84" s="449">
        <f t="shared" si="9"/>
        <v>-0.86955226401910424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642</v>
      </c>
      <c r="C85" s="453">
        <f>IF(C83=0,0,C84/C83)</f>
        <v>0.12496448882036738</v>
      </c>
      <c r="D85" s="453">
        <f>IF(LN_IC1=0,0,LN_IC2/LN_IC1)</f>
        <v>2.3410897451267836E-2</v>
      </c>
      <c r="E85" s="454">
        <f t="shared" si="8"/>
        <v>-0.10155359136909956</v>
      </c>
      <c r="F85" s="449">
        <f t="shared" si="9"/>
        <v>-0.81265959896078732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453</v>
      </c>
      <c r="D86" s="456">
        <v>357</v>
      </c>
      <c r="E86" s="456">
        <f t="shared" si="8"/>
        <v>-96</v>
      </c>
      <c r="F86" s="449">
        <f t="shared" si="9"/>
        <v>-0.2119205298013245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643</v>
      </c>
      <c r="C87" s="459">
        <v>1.3722000000000001</v>
      </c>
      <c r="D87" s="459">
        <v>1.3452500000000001</v>
      </c>
      <c r="E87" s="460">
        <f t="shared" si="8"/>
        <v>-2.6950000000000029E-2</v>
      </c>
      <c r="F87" s="449">
        <f t="shared" si="9"/>
        <v>-1.9639994169946093E-2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644</v>
      </c>
      <c r="C88" s="463">
        <f>C86*C87</f>
        <v>621.60660000000007</v>
      </c>
      <c r="D88" s="463">
        <f>LN_IC4*LN_IC5</f>
        <v>480.25425000000001</v>
      </c>
      <c r="E88" s="463">
        <f t="shared" si="8"/>
        <v>-141.35235000000006</v>
      </c>
      <c r="F88" s="449">
        <f t="shared" si="9"/>
        <v>-0.22739840600148076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645</v>
      </c>
      <c r="C89" s="465">
        <f>IF(C88=0,0,C84/C88)</f>
        <v>3142.6548559812586</v>
      </c>
      <c r="D89" s="465">
        <f>IF(LN_IC6=0,0,LN_IC2/LN_IC6)</f>
        <v>530.61269109018815</v>
      </c>
      <c r="E89" s="465">
        <f t="shared" si="8"/>
        <v>-2612.0421648910706</v>
      </c>
      <c r="F89" s="449">
        <f t="shared" si="9"/>
        <v>-0.83115782183961462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676</v>
      </c>
      <c r="C90" s="465">
        <f>C48-C89</f>
        <v>9306.4344262167888</v>
      </c>
      <c r="D90" s="465">
        <f>LN_IB7-LN_IC7</f>
        <v>12731.685361032398</v>
      </c>
      <c r="E90" s="465">
        <f t="shared" si="8"/>
        <v>3425.2509348156091</v>
      </c>
      <c r="F90" s="449">
        <f t="shared" si="9"/>
        <v>0.36805190666432569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677</v>
      </c>
      <c r="C91" s="465">
        <f>C21-C89</f>
        <v>5886.5085536528204</v>
      </c>
      <c r="D91" s="465">
        <f>LN_IA7-LN_IC7</f>
        <v>7931.9031288530869</v>
      </c>
      <c r="E91" s="465">
        <f t="shared" si="8"/>
        <v>2045.3945752002664</v>
      </c>
      <c r="F91" s="449">
        <f t="shared" si="9"/>
        <v>0.34747160503674374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662</v>
      </c>
      <c r="C92" s="441">
        <f>C91*C88</f>
        <v>3659092.5679070479</v>
      </c>
      <c r="D92" s="441">
        <f>LN_IC9*LN_IC6</f>
        <v>3809330.1882199929</v>
      </c>
      <c r="E92" s="441">
        <f t="shared" si="8"/>
        <v>150237.62031294499</v>
      </c>
      <c r="F92" s="449">
        <f t="shared" si="9"/>
        <v>4.1058709919131367E-2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2477</v>
      </c>
      <c r="D93" s="456">
        <v>1576</v>
      </c>
      <c r="E93" s="456">
        <f t="shared" si="8"/>
        <v>-901</v>
      </c>
      <c r="F93" s="449">
        <f t="shared" si="9"/>
        <v>-0.36374646750100931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646</v>
      </c>
      <c r="C94" s="499">
        <f>IF(C93=0,0,C84/C93)</f>
        <v>788.65361324182481</v>
      </c>
      <c r="D94" s="499">
        <f>IF(LN_IC11=0,0,LN_IC2/LN_IC11)</f>
        <v>161.69352791878174</v>
      </c>
      <c r="E94" s="499">
        <f t="shared" si="8"/>
        <v>-626.96008532304313</v>
      </c>
      <c r="F94" s="449">
        <f t="shared" si="9"/>
        <v>-0.79497522714170132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647</v>
      </c>
      <c r="C95" s="466">
        <f>IF(C86=0,0,C93/C86)</f>
        <v>5.4679911699779247</v>
      </c>
      <c r="D95" s="466">
        <f>IF(LN_IC4=0,0,LN_IC11/LN_IC4)</f>
        <v>4.4145658263305325</v>
      </c>
      <c r="E95" s="466">
        <f t="shared" si="8"/>
        <v>-1.0534253436473922</v>
      </c>
      <c r="F95" s="449">
        <f t="shared" si="9"/>
        <v>-0.1926530806105243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678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649</v>
      </c>
      <c r="C98" s="448">
        <v>33772596</v>
      </c>
      <c r="D98" s="448">
        <v>37249513</v>
      </c>
      <c r="E98" s="448">
        <f t="shared" ref="E98:E106" si="10">D98-C98</f>
        <v>3476917</v>
      </c>
      <c r="F98" s="449">
        <f t="shared" ref="F98:F106" si="11">IF(C98=0,0,E98/C98)</f>
        <v>0.10295083623420598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650</v>
      </c>
      <c r="C99" s="448">
        <v>4220376</v>
      </c>
      <c r="D99" s="448">
        <v>3868350</v>
      </c>
      <c r="E99" s="448">
        <f t="shared" si="10"/>
        <v>-352026</v>
      </c>
      <c r="F99" s="449">
        <f t="shared" si="11"/>
        <v>-8.3411051527162508E-2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651</v>
      </c>
      <c r="C100" s="453">
        <f>IF(C98=0,0,C99/C98)</f>
        <v>0.12496451264806531</v>
      </c>
      <c r="D100" s="453">
        <f>IF(LN_IC14=0,0,LN_IC15/LN_IC14)</f>
        <v>0.10384967986024408</v>
      </c>
      <c r="E100" s="454">
        <f t="shared" si="10"/>
        <v>-2.1114832787821225E-2</v>
      </c>
      <c r="F100" s="449">
        <f t="shared" si="11"/>
        <v>-0.16896663172917295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652</v>
      </c>
      <c r="C101" s="453">
        <f>IF(C83=0,0,C98/C83)</f>
        <v>2.1604228294808969</v>
      </c>
      <c r="D101" s="453">
        <f>IF(LN_IC1=0,0,LN_IC14/LN_IC1)</f>
        <v>3.4220772712394116</v>
      </c>
      <c r="E101" s="454">
        <f t="shared" si="10"/>
        <v>1.2616544417585147</v>
      </c>
      <c r="F101" s="449">
        <f t="shared" si="11"/>
        <v>0.58398496097250696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653</v>
      </c>
      <c r="C102" s="463">
        <f>C101*C86</f>
        <v>978.67154175484632</v>
      </c>
      <c r="D102" s="463">
        <f>LN_IC17*LN_IC4</f>
        <v>1221.6815858324699</v>
      </c>
      <c r="E102" s="463">
        <f t="shared" si="10"/>
        <v>243.01004407762355</v>
      </c>
      <c r="F102" s="449">
        <f t="shared" si="11"/>
        <v>0.24830602884588288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654</v>
      </c>
      <c r="C103" s="465">
        <f>IF(C102=0,0,C99/C102)</f>
        <v>4312.3518156382534</v>
      </c>
      <c r="D103" s="465">
        <f>IF(LN_IC18=0,0,LN_IC15/LN_IC18)</f>
        <v>3166.4142644534136</v>
      </c>
      <c r="E103" s="465">
        <f t="shared" si="10"/>
        <v>-1145.9375511848398</v>
      </c>
      <c r="F103" s="449">
        <f t="shared" si="11"/>
        <v>-0.26573378058562558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679</v>
      </c>
      <c r="C104" s="465">
        <f>C61-C103</f>
        <v>11201.151338560565</v>
      </c>
      <c r="D104" s="465">
        <f>LN_IB18-LN_IC19</f>
        <v>11678.597666988944</v>
      </c>
      <c r="E104" s="465">
        <f t="shared" si="10"/>
        <v>477.44632842837927</v>
      </c>
      <c r="F104" s="449">
        <f t="shared" si="11"/>
        <v>4.2624754723627797E-2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680</v>
      </c>
      <c r="C105" s="465">
        <f>C32-C103</f>
        <v>11778.250826762098</v>
      </c>
      <c r="D105" s="465">
        <f>LN_IA16-LN_IC19</f>
        <v>9991.3889559307318</v>
      </c>
      <c r="E105" s="465">
        <f t="shared" si="10"/>
        <v>-1786.8618708313661</v>
      </c>
      <c r="F105" s="449">
        <f t="shared" si="11"/>
        <v>-0.15170859384071919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665</v>
      </c>
      <c r="C106" s="448">
        <f>C105*C102</f>
        <v>11527038.895802556</v>
      </c>
      <c r="D106" s="448">
        <f>LN_IC21*LN_IC18</f>
        <v>12206295.904350482</v>
      </c>
      <c r="E106" s="448">
        <f t="shared" si="10"/>
        <v>679257.00854792632</v>
      </c>
      <c r="F106" s="449">
        <f t="shared" si="11"/>
        <v>5.8927276526781765E-2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681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656</v>
      </c>
      <c r="C109" s="448">
        <f>C83+C98</f>
        <v>49404997</v>
      </c>
      <c r="D109" s="448">
        <f>LN_IC1+LN_IC14</f>
        <v>48134572</v>
      </c>
      <c r="E109" s="448">
        <f>D109-C109</f>
        <v>-1270425</v>
      </c>
      <c r="F109" s="449">
        <f>IF(C109=0,0,E109/C109)</f>
        <v>-2.5714504142161976E-2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657</v>
      </c>
      <c r="C110" s="448">
        <f>C84+C99</f>
        <v>6173871</v>
      </c>
      <c r="D110" s="448">
        <f>LN_IC2+LN_IC15</f>
        <v>4123179</v>
      </c>
      <c r="E110" s="448">
        <f>D110-C110</f>
        <v>-2050692</v>
      </c>
      <c r="F110" s="449">
        <f>IF(C110=0,0,E110/C110)</f>
        <v>-0.3321565999678322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658</v>
      </c>
      <c r="C111" s="448">
        <f>C109-C110</f>
        <v>43231126</v>
      </c>
      <c r="D111" s="448">
        <f>LN_IC23-LN_IC24</f>
        <v>44011393</v>
      </c>
      <c r="E111" s="448">
        <f>D111-C111</f>
        <v>780267</v>
      </c>
      <c r="F111" s="449">
        <f>IF(C111=0,0,E111/C111)</f>
        <v>1.8048731832707759E-2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667</v>
      </c>
      <c r="C113" s="448">
        <f>C92+C106</f>
        <v>15186131.463709604</v>
      </c>
      <c r="D113" s="448">
        <f>LN_IC10+LN_IC22</f>
        <v>16015626.092570474</v>
      </c>
      <c r="E113" s="448">
        <f>D113-C113</f>
        <v>829494.62886087038</v>
      </c>
      <c r="F113" s="449">
        <f>IF(C113=0,0,E113/C113)</f>
        <v>5.462185223689911E-2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682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683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640</v>
      </c>
      <c r="C118" s="448">
        <v>263906213</v>
      </c>
      <c r="D118" s="448">
        <v>284428877</v>
      </c>
      <c r="E118" s="448">
        <f t="shared" ref="E118:E130" si="12">D118-C118</f>
        <v>20522664</v>
      </c>
      <c r="F118" s="449">
        <f t="shared" ref="F118:F130" si="13">IF(C118=0,0,E118/C118)</f>
        <v>7.7764989943605464E-2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641</v>
      </c>
      <c r="C119" s="448">
        <v>77348496</v>
      </c>
      <c r="D119" s="448">
        <v>74878980</v>
      </c>
      <c r="E119" s="448">
        <f t="shared" si="12"/>
        <v>-2469516</v>
      </c>
      <c r="F119" s="449">
        <f t="shared" si="13"/>
        <v>-3.1927136631072953E-2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642</v>
      </c>
      <c r="C120" s="453">
        <f>IF(C118=0,0,C119/C118)</f>
        <v>0.29309084890699411</v>
      </c>
      <c r="D120" s="453">
        <f>IF(LN_ID1=0,0,LN_1D2/LN_ID1)</f>
        <v>0.2632608221421906</v>
      </c>
      <c r="E120" s="454">
        <f t="shared" si="12"/>
        <v>-2.9830026764803508E-2</v>
      </c>
      <c r="F120" s="449">
        <f t="shared" si="13"/>
        <v>-0.1017774075036693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9311</v>
      </c>
      <c r="D121" s="456">
        <v>9578</v>
      </c>
      <c r="E121" s="456">
        <f t="shared" si="12"/>
        <v>267</v>
      </c>
      <c r="F121" s="449">
        <f t="shared" si="13"/>
        <v>2.8675759853936205E-2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643</v>
      </c>
      <c r="C122" s="459">
        <v>1.2188000000000001</v>
      </c>
      <c r="D122" s="459">
        <v>1.23159</v>
      </c>
      <c r="E122" s="460">
        <f t="shared" si="12"/>
        <v>1.2789999999999857E-2</v>
      </c>
      <c r="F122" s="449">
        <f t="shared" si="13"/>
        <v>1.0493928454217144E-2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644</v>
      </c>
      <c r="C123" s="463">
        <f>C121*C122</f>
        <v>11348.246800000001</v>
      </c>
      <c r="D123" s="463">
        <f>LN_ID4*LN_ID5</f>
        <v>11796.169019999999</v>
      </c>
      <c r="E123" s="463">
        <f t="shared" si="12"/>
        <v>447.92221999999856</v>
      </c>
      <c r="F123" s="449">
        <f t="shared" si="13"/>
        <v>3.9470609680430861E-2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645</v>
      </c>
      <c r="C124" s="465">
        <f>IF(C123=0,0,C119/C123)</f>
        <v>6815.8982936465563</v>
      </c>
      <c r="D124" s="465">
        <f>IF(LN_ID6=0,0,LN_1D2/LN_ID6)</f>
        <v>6347.7371232173145</v>
      </c>
      <c r="E124" s="465">
        <f t="shared" si="12"/>
        <v>-468.16117042924179</v>
      </c>
      <c r="F124" s="449">
        <f t="shared" si="13"/>
        <v>-6.868664264923649E-2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684</v>
      </c>
      <c r="C125" s="465">
        <f>C48-C124</f>
        <v>5633.1909885514906</v>
      </c>
      <c r="D125" s="465">
        <f>LN_IB7-LN_ID7</f>
        <v>6914.5609289052709</v>
      </c>
      <c r="E125" s="465">
        <f t="shared" si="12"/>
        <v>1281.3699403537803</v>
      </c>
      <c r="F125" s="449">
        <f t="shared" si="13"/>
        <v>0.22746786731675675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685</v>
      </c>
      <c r="C126" s="465">
        <f>C21-C124</f>
        <v>2213.2651159875222</v>
      </c>
      <c r="D126" s="465">
        <f>LN_IA7-LN_ID7</f>
        <v>2114.7786967259608</v>
      </c>
      <c r="E126" s="465">
        <f t="shared" si="12"/>
        <v>-98.486419261561423</v>
      </c>
      <c r="F126" s="449">
        <f t="shared" si="13"/>
        <v>-4.4498247656886966E-2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662</v>
      </c>
      <c r="C127" s="479">
        <f>C126*C123</f>
        <v>25116678.77005703</v>
      </c>
      <c r="D127" s="479">
        <f>LN_ID9*LN_ID6</f>
        <v>24946286.946474753</v>
      </c>
      <c r="E127" s="479">
        <f t="shared" si="12"/>
        <v>-170391.8235822767</v>
      </c>
      <c r="F127" s="449">
        <f t="shared" si="13"/>
        <v>-6.7840109411842356E-3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50907</v>
      </c>
      <c r="D128" s="456">
        <v>53180</v>
      </c>
      <c r="E128" s="456">
        <f t="shared" si="12"/>
        <v>2273</v>
      </c>
      <c r="F128" s="449">
        <f t="shared" si="13"/>
        <v>4.4650048126976642E-2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646</v>
      </c>
      <c r="C129" s="465">
        <f>IF(C128=0,0,C119/C128)</f>
        <v>1519.4078613943072</v>
      </c>
      <c r="D129" s="465">
        <f>IF(LN_ID11=0,0,LN_1D2/LN_ID11)</f>
        <v>1408.0289582549831</v>
      </c>
      <c r="E129" s="465">
        <f t="shared" si="12"/>
        <v>-111.37890313932417</v>
      </c>
      <c r="F129" s="449">
        <f t="shared" si="13"/>
        <v>-7.3304150892779807E-2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647</v>
      </c>
      <c r="C130" s="466">
        <f>IF(C121=0,0,C128/C121)</f>
        <v>5.4674041456341964</v>
      </c>
      <c r="D130" s="466">
        <f>IF(LN_ID4=0,0,LN_ID11/LN_ID4)</f>
        <v>5.5523073710586761</v>
      </c>
      <c r="E130" s="466">
        <f t="shared" si="12"/>
        <v>8.49032254244797E-2</v>
      </c>
      <c r="F130" s="449">
        <f t="shared" si="13"/>
        <v>1.5528982888941216E-2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686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649</v>
      </c>
      <c r="C133" s="448">
        <v>151822082</v>
      </c>
      <c r="D133" s="448">
        <v>173414462</v>
      </c>
      <c r="E133" s="448">
        <f t="shared" ref="E133:E141" si="14">D133-C133</f>
        <v>21592380</v>
      </c>
      <c r="F133" s="449">
        <f t="shared" ref="F133:F141" si="15">IF(C133=0,0,E133/C133)</f>
        <v>0.14222160383757615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650</v>
      </c>
      <c r="C134" s="448">
        <v>39715207</v>
      </c>
      <c r="D134" s="448">
        <v>37297983</v>
      </c>
      <c r="E134" s="448">
        <f t="shared" si="14"/>
        <v>-2417224</v>
      </c>
      <c r="F134" s="449">
        <f t="shared" si="15"/>
        <v>-6.086394060592458E-2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651</v>
      </c>
      <c r="C135" s="453">
        <f>IF(C133=0,0,C134/C133)</f>
        <v>0.26159045164457695</v>
      </c>
      <c r="D135" s="453">
        <f>IF(LN_ID14=0,0,LN_ID15/LN_ID14)</f>
        <v>0.21508000295846144</v>
      </c>
      <c r="E135" s="454">
        <f t="shared" si="14"/>
        <v>-4.6510448686115508E-2</v>
      </c>
      <c r="F135" s="449">
        <f t="shared" si="15"/>
        <v>-0.17779872466182089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652</v>
      </c>
      <c r="C136" s="453">
        <f>IF(C118=0,0,C133/C118)</f>
        <v>0.57528801718662081</v>
      </c>
      <c r="D136" s="453">
        <f>IF(LN_ID1=0,0,LN_ID14/LN_ID1)</f>
        <v>0.60969358607002477</v>
      </c>
      <c r="E136" s="454">
        <f t="shared" si="14"/>
        <v>3.4405568883403959E-2</v>
      </c>
      <c r="F136" s="449">
        <f t="shared" si="15"/>
        <v>5.9805815270862747E-2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653</v>
      </c>
      <c r="C137" s="463">
        <f>C136*C121</f>
        <v>5356.5067280246267</v>
      </c>
      <c r="D137" s="463">
        <f>LN_ID17*LN_ID4</f>
        <v>5839.6451673786969</v>
      </c>
      <c r="E137" s="463">
        <f t="shared" si="14"/>
        <v>483.13843935407021</v>
      </c>
      <c r="F137" s="449">
        <f t="shared" si="15"/>
        <v>9.0196552321374954E-2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654</v>
      </c>
      <c r="C138" s="465">
        <f>IF(C137=0,0,C134/C137)</f>
        <v>7414.3857212415342</v>
      </c>
      <c r="D138" s="465">
        <f>IF(LN_ID18=0,0,LN_ID15/LN_ID18)</f>
        <v>6387.0289942192394</v>
      </c>
      <c r="E138" s="465">
        <f t="shared" si="14"/>
        <v>-1027.3567270222948</v>
      </c>
      <c r="F138" s="449">
        <f t="shared" si="15"/>
        <v>-0.13856262213051745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687</v>
      </c>
      <c r="C139" s="465">
        <f>C61-C138</f>
        <v>8099.117432957285</v>
      </c>
      <c r="D139" s="465">
        <f>LN_IB18-LN_ID19</f>
        <v>8457.9829372231179</v>
      </c>
      <c r="E139" s="465">
        <f t="shared" si="14"/>
        <v>358.8655042658329</v>
      </c>
      <c r="F139" s="449">
        <f t="shared" si="15"/>
        <v>4.4309211125340843E-2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688</v>
      </c>
      <c r="C140" s="465">
        <f>C32-C138</f>
        <v>8676.2169211588189</v>
      </c>
      <c r="D140" s="465">
        <f>LN_IA16-LN_ID19</f>
        <v>6770.7742261649055</v>
      </c>
      <c r="E140" s="465">
        <f t="shared" si="14"/>
        <v>-1905.4426949939134</v>
      </c>
      <c r="F140" s="449">
        <f t="shared" si="15"/>
        <v>-0.21961676526863708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665</v>
      </c>
      <c r="C141" s="441">
        <f>C140*C137</f>
        <v>46474214.311988324</v>
      </c>
      <c r="D141" s="441">
        <f>LN_ID21*LN_ID18</f>
        <v>39538918.989236124</v>
      </c>
      <c r="E141" s="441">
        <f t="shared" si="14"/>
        <v>-6935295.3227522001</v>
      </c>
      <c r="F141" s="449">
        <f t="shared" si="15"/>
        <v>-0.14922888800646589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689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656</v>
      </c>
      <c r="C144" s="448">
        <f>C118+C133</f>
        <v>415728295</v>
      </c>
      <c r="D144" s="448">
        <f>LN_ID1+LN_ID14</f>
        <v>457843339</v>
      </c>
      <c r="E144" s="448">
        <f>D144-C144</f>
        <v>42115044</v>
      </c>
      <c r="F144" s="449">
        <f>IF(C144=0,0,E144/C144)</f>
        <v>0.10130425209571073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657</v>
      </c>
      <c r="C145" s="448">
        <f>C119+C134</f>
        <v>117063703</v>
      </c>
      <c r="D145" s="448">
        <f>LN_1D2+LN_ID15</f>
        <v>112176963</v>
      </c>
      <c r="E145" s="448">
        <f>D145-C145</f>
        <v>-4886740</v>
      </c>
      <c r="F145" s="449">
        <f>IF(C145=0,0,E145/C145)</f>
        <v>-4.1744280035289842E-2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658</v>
      </c>
      <c r="C146" s="448">
        <f>C144-C145</f>
        <v>298664592</v>
      </c>
      <c r="D146" s="448">
        <f>LN_ID23-LN_ID24</f>
        <v>345666376</v>
      </c>
      <c r="E146" s="448">
        <f>D146-C146</f>
        <v>47001784</v>
      </c>
      <c r="F146" s="449">
        <f>IF(C146=0,0,E146/C146)</f>
        <v>0.1573731378241181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667</v>
      </c>
      <c r="C148" s="448">
        <f>C127+C141</f>
        <v>71590893.082045346</v>
      </c>
      <c r="D148" s="448">
        <f>LN_ID10+LN_ID22</f>
        <v>64485205.935710877</v>
      </c>
      <c r="E148" s="448">
        <f>D148-C148</f>
        <v>-7105687.1463344693</v>
      </c>
      <c r="F148" s="503">
        <f>IF(C148=0,0,E148/C148)</f>
        <v>-9.9254064873742179E-2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690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691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640</v>
      </c>
      <c r="C153" s="448">
        <v>0</v>
      </c>
      <c r="D153" s="448">
        <v>0</v>
      </c>
      <c r="E153" s="448">
        <f t="shared" ref="E153:E165" si="16">D153-C153</f>
        <v>0</v>
      </c>
      <c r="F153" s="449">
        <f t="shared" ref="F153:F165" si="17">IF(C153=0,0,E153/C153)</f>
        <v>0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641</v>
      </c>
      <c r="C154" s="448">
        <v>0</v>
      </c>
      <c r="D154" s="448">
        <v>0</v>
      </c>
      <c r="E154" s="448">
        <f t="shared" si="16"/>
        <v>0</v>
      </c>
      <c r="F154" s="449">
        <f t="shared" si="17"/>
        <v>0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642</v>
      </c>
      <c r="C155" s="453">
        <f>IF(C153=0,0,C154/C153)</f>
        <v>0</v>
      </c>
      <c r="D155" s="453">
        <f>IF(LN_IE1=0,0,LN_IE2/LN_IE1)</f>
        <v>0</v>
      </c>
      <c r="E155" s="454">
        <f t="shared" si="16"/>
        <v>0</v>
      </c>
      <c r="F155" s="449">
        <f t="shared" si="17"/>
        <v>0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0</v>
      </c>
      <c r="D156" s="506">
        <v>0</v>
      </c>
      <c r="E156" s="506">
        <f t="shared" si="16"/>
        <v>0</v>
      </c>
      <c r="F156" s="449">
        <f t="shared" si="17"/>
        <v>0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643</v>
      </c>
      <c r="C157" s="459">
        <v>0</v>
      </c>
      <c r="D157" s="459">
        <v>0</v>
      </c>
      <c r="E157" s="460">
        <f t="shared" si="16"/>
        <v>0</v>
      </c>
      <c r="F157" s="449">
        <f t="shared" si="17"/>
        <v>0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644</v>
      </c>
      <c r="C158" s="463">
        <f>C156*C157</f>
        <v>0</v>
      </c>
      <c r="D158" s="463">
        <f>LN_IE4*LN_IE5</f>
        <v>0</v>
      </c>
      <c r="E158" s="463">
        <f t="shared" si="16"/>
        <v>0</v>
      </c>
      <c r="F158" s="449">
        <f t="shared" si="17"/>
        <v>0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645</v>
      </c>
      <c r="C159" s="465">
        <f>IF(C158=0,0,C154/C158)</f>
        <v>0</v>
      </c>
      <c r="D159" s="465">
        <f>IF(LN_IE6=0,0,LN_IE2/LN_IE6)</f>
        <v>0</v>
      </c>
      <c r="E159" s="465">
        <f t="shared" si="16"/>
        <v>0</v>
      </c>
      <c r="F159" s="449">
        <f t="shared" si="17"/>
        <v>0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692</v>
      </c>
      <c r="C160" s="465">
        <f>C48-C159</f>
        <v>12449.089282198047</v>
      </c>
      <c r="D160" s="465">
        <f>LN_IB7-LN_IE7</f>
        <v>13262.298052122585</v>
      </c>
      <c r="E160" s="465">
        <f t="shared" si="16"/>
        <v>813.2087699245385</v>
      </c>
      <c r="F160" s="449">
        <f t="shared" si="17"/>
        <v>6.5322751848796767E-2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693</v>
      </c>
      <c r="C161" s="465">
        <f>C21-C159</f>
        <v>9029.1634096340786</v>
      </c>
      <c r="D161" s="465">
        <f>LN_IA7-LN_IE7</f>
        <v>8462.5158199432753</v>
      </c>
      <c r="E161" s="465">
        <f t="shared" si="16"/>
        <v>-566.64758969080322</v>
      </c>
      <c r="F161" s="449">
        <f t="shared" si="17"/>
        <v>-6.2757485271137378E-2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662</v>
      </c>
      <c r="C162" s="479">
        <f>C161*C158</f>
        <v>0</v>
      </c>
      <c r="D162" s="479">
        <f>LN_IE9*LN_IE6</f>
        <v>0</v>
      </c>
      <c r="E162" s="479">
        <f t="shared" si="16"/>
        <v>0</v>
      </c>
      <c r="F162" s="449">
        <f t="shared" si="17"/>
        <v>0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0</v>
      </c>
      <c r="D163" s="456">
        <v>0</v>
      </c>
      <c r="E163" s="506">
        <f t="shared" si="16"/>
        <v>0</v>
      </c>
      <c r="F163" s="449">
        <f t="shared" si="17"/>
        <v>0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646</v>
      </c>
      <c r="C164" s="465">
        <f>IF(C163=0,0,C154/C163)</f>
        <v>0</v>
      </c>
      <c r="D164" s="465">
        <f>IF(LN_IE11=0,0,LN_IE2/LN_IE11)</f>
        <v>0</v>
      </c>
      <c r="E164" s="465">
        <f t="shared" si="16"/>
        <v>0</v>
      </c>
      <c r="F164" s="449">
        <f t="shared" si="17"/>
        <v>0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647</v>
      </c>
      <c r="C165" s="466">
        <f>IF(C156=0,0,C163/C156)</f>
        <v>0</v>
      </c>
      <c r="D165" s="466">
        <f>IF(LN_IE4=0,0,LN_IE11/LN_IE4)</f>
        <v>0</v>
      </c>
      <c r="E165" s="466">
        <f t="shared" si="16"/>
        <v>0</v>
      </c>
      <c r="F165" s="449">
        <f t="shared" si="17"/>
        <v>0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694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649</v>
      </c>
      <c r="C168" s="511">
        <v>0</v>
      </c>
      <c r="D168" s="511">
        <v>0</v>
      </c>
      <c r="E168" s="511">
        <f t="shared" ref="E168:E176" si="18">D168-C168</f>
        <v>0</v>
      </c>
      <c r="F168" s="449">
        <f t="shared" ref="F168:F176" si="19">IF(C168=0,0,E168/C168)</f>
        <v>0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650</v>
      </c>
      <c r="C169" s="511">
        <v>0</v>
      </c>
      <c r="D169" s="511">
        <v>0</v>
      </c>
      <c r="E169" s="511">
        <f t="shared" si="18"/>
        <v>0</v>
      </c>
      <c r="F169" s="449">
        <f t="shared" si="19"/>
        <v>0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651</v>
      </c>
      <c r="C170" s="453">
        <f>IF(C168=0,0,C169/C168)</f>
        <v>0</v>
      </c>
      <c r="D170" s="453">
        <f>IF(LN_IE14=0,0,LN_IE15/LN_IE14)</f>
        <v>0</v>
      </c>
      <c r="E170" s="454">
        <f t="shared" si="18"/>
        <v>0</v>
      </c>
      <c r="F170" s="449">
        <f t="shared" si="19"/>
        <v>0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652</v>
      </c>
      <c r="C171" s="453">
        <f>IF(C153=0,0,C168/C153)</f>
        <v>0</v>
      </c>
      <c r="D171" s="453">
        <f>IF(LN_IE1=0,0,LN_IE14/LN_IE1)</f>
        <v>0</v>
      </c>
      <c r="E171" s="454">
        <f t="shared" si="18"/>
        <v>0</v>
      </c>
      <c r="F171" s="449">
        <f t="shared" si="19"/>
        <v>0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653</v>
      </c>
      <c r="C172" s="463">
        <f>C171*C156</f>
        <v>0</v>
      </c>
      <c r="D172" s="463">
        <f>LN_IE17*LN_IE4</f>
        <v>0</v>
      </c>
      <c r="E172" s="463">
        <f t="shared" si="18"/>
        <v>0</v>
      </c>
      <c r="F172" s="449">
        <f t="shared" si="19"/>
        <v>0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654</v>
      </c>
      <c r="C173" s="465">
        <f>IF(C172=0,0,C169/C172)</f>
        <v>0</v>
      </c>
      <c r="D173" s="465">
        <f>IF(LN_IE18=0,0,LN_IE15/LN_IE18)</f>
        <v>0</v>
      </c>
      <c r="E173" s="465">
        <f t="shared" si="18"/>
        <v>0</v>
      </c>
      <c r="F173" s="449">
        <f t="shared" si="19"/>
        <v>0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695</v>
      </c>
      <c r="C174" s="465">
        <f>C61-C173</f>
        <v>15513.503154198819</v>
      </c>
      <c r="D174" s="465">
        <f>LN_IB18-LN_IE19</f>
        <v>14845.011931442357</v>
      </c>
      <c r="E174" s="465">
        <f t="shared" si="18"/>
        <v>-668.49122275646187</v>
      </c>
      <c r="F174" s="449">
        <f t="shared" si="19"/>
        <v>-4.3090926408554657E-2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696</v>
      </c>
      <c r="C175" s="465">
        <f>C32-C173</f>
        <v>16090.602642400352</v>
      </c>
      <c r="D175" s="465">
        <f>LN_IA16-LN_IE19</f>
        <v>13157.803220384145</v>
      </c>
      <c r="E175" s="465">
        <f t="shared" si="18"/>
        <v>-2932.7994220162072</v>
      </c>
      <c r="F175" s="449">
        <f t="shared" si="19"/>
        <v>-0.18226784211847893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665</v>
      </c>
      <c r="C176" s="441">
        <f>C175*C172</f>
        <v>0</v>
      </c>
      <c r="D176" s="441">
        <f>LN_IE21*LN_IE18</f>
        <v>0</v>
      </c>
      <c r="E176" s="441">
        <f t="shared" si="18"/>
        <v>0</v>
      </c>
      <c r="F176" s="449">
        <f t="shared" si="19"/>
        <v>0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697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656</v>
      </c>
      <c r="C179" s="448">
        <f>C153+C168</f>
        <v>0</v>
      </c>
      <c r="D179" s="448">
        <f>LN_IE1+LN_IE14</f>
        <v>0</v>
      </c>
      <c r="E179" s="448">
        <f>D179-C179</f>
        <v>0</v>
      </c>
      <c r="F179" s="449">
        <f>IF(C179=0,0,E179/C179)</f>
        <v>0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657</v>
      </c>
      <c r="C180" s="448">
        <f>C154+C169</f>
        <v>0</v>
      </c>
      <c r="D180" s="448">
        <f>LN_IE15+LN_IE2</f>
        <v>0</v>
      </c>
      <c r="E180" s="448">
        <f>D180-C180</f>
        <v>0</v>
      </c>
      <c r="F180" s="449">
        <f>IF(C180=0,0,E180/C180)</f>
        <v>0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658</v>
      </c>
      <c r="C181" s="448">
        <f>C179-C180</f>
        <v>0</v>
      </c>
      <c r="D181" s="448">
        <f>LN_IE23-LN_IE24</f>
        <v>0</v>
      </c>
      <c r="E181" s="448">
        <f>D181-C181</f>
        <v>0</v>
      </c>
      <c r="F181" s="449">
        <f>IF(C181=0,0,E181/C181)</f>
        <v>0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698</v>
      </c>
      <c r="C183" s="448">
        <f>C162+C176</f>
        <v>0</v>
      </c>
      <c r="D183" s="448">
        <f>LN_IE10+LN_IE22</f>
        <v>0</v>
      </c>
      <c r="E183" s="441">
        <f>D183-C183</f>
        <v>0</v>
      </c>
      <c r="F183" s="449">
        <f>IF(C183=0,0,E183/C183)</f>
        <v>0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699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700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640</v>
      </c>
      <c r="C188" s="448">
        <f>C118+C153</f>
        <v>263906213</v>
      </c>
      <c r="D188" s="448">
        <f>LN_ID1+LN_IE1</f>
        <v>284428877</v>
      </c>
      <c r="E188" s="448">
        <f t="shared" ref="E188:E200" si="20">D188-C188</f>
        <v>20522664</v>
      </c>
      <c r="F188" s="449">
        <f t="shared" ref="F188:F200" si="21">IF(C188=0,0,E188/C188)</f>
        <v>7.7764989943605464E-2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641</v>
      </c>
      <c r="C189" s="448">
        <f>C119+C154</f>
        <v>77348496</v>
      </c>
      <c r="D189" s="448">
        <f>LN_1D2+LN_IE2</f>
        <v>74878980</v>
      </c>
      <c r="E189" s="448">
        <f t="shared" si="20"/>
        <v>-2469516</v>
      </c>
      <c r="F189" s="449">
        <f t="shared" si="21"/>
        <v>-3.1927136631072953E-2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642</v>
      </c>
      <c r="C190" s="453">
        <f>IF(C188=0,0,C189/C188)</f>
        <v>0.29309084890699411</v>
      </c>
      <c r="D190" s="453">
        <f>IF(LN_IF1=0,0,LN_IF2/LN_IF1)</f>
        <v>0.2632608221421906</v>
      </c>
      <c r="E190" s="454">
        <f t="shared" si="20"/>
        <v>-2.9830026764803508E-2</v>
      </c>
      <c r="F190" s="449">
        <f t="shared" si="21"/>
        <v>-0.1017774075036693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9311</v>
      </c>
      <c r="D191" s="456">
        <f>LN_ID4+LN_IE4</f>
        <v>9578</v>
      </c>
      <c r="E191" s="456">
        <f t="shared" si="20"/>
        <v>267</v>
      </c>
      <c r="F191" s="449">
        <f t="shared" si="21"/>
        <v>2.8675759853936205E-2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643</v>
      </c>
      <c r="C192" s="459">
        <f>IF((C121+C156)=0,0,(C123+C158)/(C121+C156))</f>
        <v>1.2188000000000001</v>
      </c>
      <c r="D192" s="459">
        <f>IF((LN_ID4+LN_IE4)=0,0,(LN_ID6+LN_IE6)/(LN_ID4+LN_IE4))</f>
        <v>1.23159</v>
      </c>
      <c r="E192" s="460">
        <f t="shared" si="20"/>
        <v>1.2789999999999857E-2</v>
      </c>
      <c r="F192" s="449">
        <f t="shared" si="21"/>
        <v>1.0493928454217144E-2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644</v>
      </c>
      <c r="C193" s="463">
        <f>C123+C158</f>
        <v>11348.246800000001</v>
      </c>
      <c r="D193" s="463">
        <f>LN_IF4*LN_IF5</f>
        <v>11796.169019999999</v>
      </c>
      <c r="E193" s="463">
        <f t="shared" si="20"/>
        <v>447.92221999999856</v>
      </c>
      <c r="F193" s="449">
        <f t="shared" si="21"/>
        <v>3.9470609680430861E-2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645</v>
      </c>
      <c r="C194" s="465">
        <f>IF(C193=0,0,C189/C193)</f>
        <v>6815.8982936465563</v>
      </c>
      <c r="D194" s="465">
        <f>IF(LN_IF6=0,0,LN_IF2/LN_IF6)</f>
        <v>6347.7371232173145</v>
      </c>
      <c r="E194" s="465">
        <f t="shared" si="20"/>
        <v>-468.16117042924179</v>
      </c>
      <c r="F194" s="449">
        <f t="shared" si="21"/>
        <v>-6.868664264923649E-2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701</v>
      </c>
      <c r="C195" s="465">
        <f>C48-C194</f>
        <v>5633.1909885514906</v>
      </c>
      <c r="D195" s="465">
        <f>LN_IB7-LN_IF7</f>
        <v>6914.5609289052709</v>
      </c>
      <c r="E195" s="465">
        <f t="shared" si="20"/>
        <v>1281.3699403537803</v>
      </c>
      <c r="F195" s="449">
        <f t="shared" si="21"/>
        <v>0.22746786731675675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702</v>
      </c>
      <c r="C196" s="465">
        <f>C21-C194</f>
        <v>2213.2651159875222</v>
      </c>
      <c r="D196" s="465">
        <f>LN_IA7-LN_IF7</f>
        <v>2114.7786967259608</v>
      </c>
      <c r="E196" s="465">
        <f t="shared" si="20"/>
        <v>-98.486419261561423</v>
      </c>
      <c r="F196" s="449">
        <f t="shared" si="21"/>
        <v>-4.4498247656886966E-2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662</v>
      </c>
      <c r="C197" s="479">
        <f>C127+C162</f>
        <v>25116678.77005703</v>
      </c>
      <c r="D197" s="479">
        <f>LN_IF9*LN_IF6</f>
        <v>24946286.946474753</v>
      </c>
      <c r="E197" s="479">
        <f t="shared" si="20"/>
        <v>-170391.8235822767</v>
      </c>
      <c r="F197" s="449">
        <f t="shared" si="21"/>
        <v>-6.7840109411842356E-3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50907</v>
      </c>
      <c r="D198" s="456">
        <f>LN_ID11+LN_IE11</f>
        <v>53180</v>
      </c>
      <c r="E198" s="456">
        <f t="shared" si="20"/>
        <v>2273</v>
      </c>
      <c r="F198" s="449">
        <f t="shared" si="21"/>
        <v>4.4650048126976642E-2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646</v>
      </c>
      <c r="C199" s="519">
        <f>IF(C198=0,0,C189/C198)</f>
        <v>1519.4078613943072</v>
      </c>
      <c r="D199" s="519">
        <f>IF(LN_IF11=0,0,LN_IF2/LN_IF11)</f>
        <v>1408.0289582549831</v>
      </c>
      <c r="E199" s="519">
        <f t="shared" si="20"/>
        <v>-111.37890313932417</v>
      </c>
      <c r="F199" s="449">
        <f t="shared" si="21"/>
        <v>-7.3304150892779807E-2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647</v>
      </c>
      <c r="C200" s="466">
        <f>IF(C191=0,0,C198/C191)</f>
        <v>5.4674041456341964</v>
      </c>
      <c r="D200" s="466">
        <f>IF(LN_IF4=0,0,LN_IF11/LN_IF4)</f>
        <v>5.5523073710586761</v>
      </c>
      <c r="E200" s="466">
        <f t="shared" si="20"/>
        <v>8.49032254244797E-2</v>
      </c>
      <c r="F200" s="449">
        <f t="shared" si="21"/>
        <v>1.5528982888941216E-2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703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649</v>
      </c>
      <c r="C203" s="448">
        <f>C133+C168</f>
        <v>151822082</v>
      </c>
      <c r="D203" s="448">
        <f>LN_ID14+LN_IE14</f>
        <v>173414462</v>
      </c>
      <c r="E203" s="448">
        <f t="shared" ref="E203:E211" si="22">D203-C203</f>
        <v>21592380</v>
      </c>
      <c r="F203" s="449">
        <f t="shared" ref="F203:F211" si="23">IF(C203=0,0,E203/C203)</f>
        <v>0.14222160383757615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650</v>
      </c>
      <c r="C204" s="448">
        <f>C134+C169</f>
        <v>39715207</v>
      </c>
      <c r="D204" s="448">
        <f>LN_ID15+LN_IE15</f>
        <v>37297983</v>
      </c>
      <c r="E204" s="448">
        <f t="shared" si="22"/>
        <v>-2417224</v>
      </c>
      <c r="F204" s="449">
        <f t="shared" si="23"/>
        <v>-6.086394060592458E-2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651</v>
      </c>
      <c r="C205" s="453">
        <f>IF(C203=0,0,C204/C203)</f>
        <v>0.26159045164457695</v>
      </c>
      <c r="D205" s="453">
        <f>IF(LN_IF14=0,0,LN_IF15/LN_IF14)</f>
        <v>0.21508000295846144</v>
      </c>
      <c r="E205" s="454">
        <f t="shared" si="22"/>
        <v>-4.6510448686115508E-2</v>
      </c>
      <c r="F205" s="449">
        <f t="shared" si="23"/>
        <v>-0.17779872466182089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652</v>
      </c>
      <c r="C206" s="453">
        <f>IF(C188=0,0,C203/C188)</f>
        <v>0.57528801718662081</v>
      </c>
      <c r="D206" s="453">
        <f>IF(LN_IF1=0,0,LN_IF14/LN_IF1)</f>
        <v>0.60969358607002477</v>
      </c>
      <c r="E206" s="454">
        <f t="shared" si="22"/>
        <v>3.4405568883403959E-2</v>
      </c>
      <c r="F206" s="449">
        <f t="shared" si="23"/>
        <v>5.9805815270862747E-2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653</v>
      </c>
      <c r="C207" s="463">
        <f>C137+C172</f>
        <v>5356.5067280246267</v>
      </c>
      <c r="D207" s="463">
        <f>LN_ID18+LN_IE18</f>
        <v>5839.6451673786969</v>
      </c>
      <c r="E207" s="463">
        <f t="shared" si="22"/>
        <v>483.13843935407021</v>
      </c>
      <c r="F207" s="449">
        <f t="shared" si="23"/>
        <v>9.0196552321374954E-2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654</v>
      </c>
      <c r="C208" s="465">
        <f>IF(C207=0,0,C204/C207)</f>
        <v>7414.3857212415342</v>
      </c>
      <c r="D208" s="465">
        <f>IF(LN_IF18=0,0,LN_IF15/LN_IF18)</f>
        <v>6387.0289942192394</v>
      </c>
      <c r="E208" s="465">
        <f t="shared" si="22"/>
        <v>-1027.3567270222948</v>
      </c>
      <c r="F208" s="449">
        <f t="shared" si="23"/>
        <v>-0.13856262213051745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704</v>
      </c>
      <c r="C209" s="465">
        <f>C61-C208</f>
        <v>8099.117432957285</v>
      </c>
      <c r="D209" s="465">
        <f>LN_IB18-LN_IF19</f>
        <v>8457.9829372231179</v>
      </c>
      <c r="E209" s="465">
        <f t="shared" si="22"/>
        <v>358.8655042658329</v>
      </c>
      <c r="F209" s="449">
        <f t="shared" si="23"/>
        <v>4.4309211125340843E-2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705</v>
      </c>
      <c r="C210" s="465">
        <f>C32-C208</f>
        <v>8676.2169211588189</v>
      </c>
      <c r="D210" s="465">
        <f>LN_IA16-LN_IF19</f>
        <v>6770.7742261649055</v>
      </c>
      <c r="E210" s="465">
        <f t="shared" si="22"/>
        <v>-1905.4426949939134</v>
      </c>
      <c r="F210" s="449">
        <f t="shared" si="23"/>
        <v>-0.21961676526863708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665</v>
      </c>
      <c r="C211" s="479">
        <f>C141+C176</f>
        <v>46474214.311988324</v>
      </c>
      <c r="D211" s="441">
        <f>LN_IF21*LN_IF18</f>
        <v>39538918.989236124</v>
      </c>
      <c r="E211" s="441">
        <f t="shared" si="22"/>
        <v>-6935295.3227522001</v>
      </c>
      <c r="F211" s="449">
        <f t="shared" si="23"/>
        <v>-0.14922888800646589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706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656</v>
      </c>
      <c r="C214" s="448">
        <f>C188+C203</f>
        <v>415728295</v>
      </c>
      <c r="D214" s="448">
        <f>LN_IF1+LN_IF14</f>
        <v>457843339</v>
      </c>
      <c r="E214" s="448">
        <f>D214-C214</f>
        <v>42115044</v>
      </c>
      <c r="F214" s="449">
        <f>IF(C214=0,0,E214/C214)</f>
        <v>0.10130425209571073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657</v>
      </c>
      <c r="C215" s="448">
        <f>C189+C204</f>
        <v>117063703</v>
      </c>
      <c r="D215" s="448">
        <f>LN_IF2+LN_IF15</f>
        <v>112176963</v>
      </c>
      <c r="E215" s="448">
        <f>D215-C215</f>
        <v>-4886740</v>
      </c>
      <c r="F215" s="449">
        <f>IF(C215=0,0,E215/C215)</f>
        <v>-4.1744280035289842E-2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658</v>
      </c>
      <c r="C216" s="448">
        <f>C214-C215</f>
        <v>298664592</v>
      </c>
      <c r="D216" s="448">
        <f>LN_IF23-LN_IF24</f>
        <v>345666376</v>
      </c>
      <c r="E216" s="448">
        <f>D216-C216</f>
        <v>47001784</v>
      </c>
      <c r="F216" s="449">
        <f>IF(C216=0,0,E216/C216)</f>
        <v>0.1573731378241181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707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708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640</v>
      </c>
      <c r="C221" s="448">
        <v>7034673</v>
      </c>
      <c r="D221" s="448">
        <v>7342494</v>
      </c>
      <c r="E221" s="448">
        <f t="shared" ref="E221:E230" si="24">D221-C221</f>
        <v>307821</v>
      </c>
      <c r="F221" s="449">
        <f t="shared" ref="F221:F230" si="25">IF(C221=0,0,E221/C221)</f>
        <v>4.3757684259097755E-2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641</v>
      </c>
      <c r="C222" s="448">
        <v>1293910</v>
      </c>
      <c r="D222" s="448">
        <v>2502106</v>
      </c>
      <c r="E222" s="448">
        <f t="shared" si="24"/>
        <v>1208196</v>
      </c>
      <c r="F222" s="449">
        <f t="shared" si="25"/>
        <v>0.93375582536652468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642</v>
      </c>
      <c r="C223" s="453">
        <f>IF(C221=0,0,C222/C221)</f>
        <v>0.18393321196308626</v>
      </c>
      <c r="D223" s="453">
        <f>IF(LN_IG1=0,0,LN_IG2/LN_IG1)</f>
        <v>0.34077058830419199</v>
      </c>
      <c r="E223" s="454">
        <f t="shared" si="24"/>
        <v>0.15683737634110573</v>
      </c>
      <c r="F223" s="449">
        <f t="shared" si="25"/>
        <v>0.85268655218493972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233</v>
      </c>
      <c r="D224" s="456">
        <v>200</v>
      </c>
      <c r="E224" s="456">
        <f t="shared" si="24"/>
        <v>-33</v>
      </c>
      <c r="F224" s="449">
        <f t="shared" si="25"/>
        <v>-0.14163090128755365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643</v>
      </c>
      <c r="C225" s="459">
        <v>1.0606</v>
      </c>
      <c r="D225" s="459">
        <v>1.1076299999999999</v>
      </c>
      <c r="E225" s="460">
        <f t="shared" si="24"/>
        <v>4.7029999999999905E-2</v>
      </c>
      <c r="F225" s="449">
        <f t="shared" si="25"/>
        <v>4.434282481614172E-2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644</v>
      </c>
      <c r="C226" s="463">
        <f>C224*C225</f>
        <v>247.1198</v>
      </c>
      <c r="D226" s="463">
        <f>LN_IG3*LN_IG4</f>
        <v>221.52599999999998</v>
      </c>
      <c r="E226" s="463">
        <f t="shared" si="24"/>
        <v>-25.593800000000016</v>
      </c>
      <c r="F226" s="449">
        <f t="shared" si="25"/>
        <v>-0.10356839071575817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645</v>
      </c>
      <c r="C227" s="465">
        <f>IF(C226=0,0,C222/C226)</f>
        <v>5235.9624764992523</v>
      </c>
      <c r="D227" s="465">
        <f>IF(LN_IG5=0,0,LN_IG2/LN_IG5)</f>
        <v>11294.86380831144</v>
      </c>
      <c r="E227" s="465">
        <f t="shared" si="24"/>
        <v>6058.9013318121879</v>
      </c>
      <c r="F227" s="449">
        <f t="shared" si="25"/>
        <v>1.1571705028457633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1453</v>
      </c>
      <c r="D228" s="456">
        <v>1287</v>
      </c>
      <c r="E228" s="456">
        <f t="shared" si="24"/>
        <v>-166</v>
      </c>
      <c r="F228" s="449">
        <f t="shared" si="25"/>
        <v>-0.11424638678596008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646</v>
      </c>
      <c r="C229" s="465">
        <f>IF(C228=0,0,C222/C228)</f>
        <v>890.50929112181689</v>
      </c>
      <c r="D229" s="465">
        <f>IF(LN_IG6=0,0,LN_IG2/LN_IG6)</f>
        <v>1944.1383061383062</v>
      </c>
      <c r="E229" s="465">
        <f t="shared" si="24"/>
        <v>1053.6290150164893</v>
      </c>
      <c r="F229" s="449">
        <f t="shared" si="25"/>
        <v>1.1831757686538933</v>
      </c>
      <c r="Q229" s="421"/>
      <c r="U229" s="462"/>
    </row>
    <row r="230" spans="1:21" ht="15.75" customHeight="1" x14ac:dyDescent="0.2">
      <c r="A230" s="451">
        <v>10</v>
      </c>
      <c r="B230" s="447" t="s">
        <v>647</v>
      </c>
      <c r="C230" s="466">
        <f>IF(C224=0,0,C228/C224)</f>
        <v>6.2360515021459229</v>
      </c>
      <c r="D230" s="466">
        <f>IF(LN_IG3=0,0,LN_IG6/LN_IG3)</f>
        <v>6.4349999999999996</v>
      </c>
      <c r="E230" s="466">
        <f t="shared" si="24"/>
        <v>0.19894849785407676</v>
      </c>
      <c r="F230" s="449">
        <f t="shared" si="25"/>
        <v>3.1902959394356424E-2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709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649</v>
      </c>
      <c r="C233" s="448">
        <v>3557811</v>
      </c>
      <c r="D233" s="448">
        <v>4276924</v>
      </c>
      <c r="E233" s="448">
        <f>D233-C233</f>
        <v>719113</v>
      </c>
      <c r="F233" s="449">
        <f>IF(C233=0,0,E233/C233)</f>
        <v>0.20212231622196908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650</v>
      </c>
      <c r="C234" s="448">
        <v>1974865</v>
      </c>
      <c r="D234" s="448">
        <v>1697294</v>
      </c>
      <c r="E234" s="448">
        <f>D234-C234</f>
        <v>-277571</v>
      </c>
      <c r="F234" s="449">
        <f>IF(C234=0,0,E234/C234)</f>
        <v>-0.14055188582510703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710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656</v>
      </c>
      <c r="C237" s="448">
        <f>C221+C233</f>
        <v>10592484</v>
      </c>
      <c r="D237" s="448">
        <f>LN_IG1+LN_IG9</f>
        <v>11619418</v>
      </c>
      <c r="E237" s="448">
        <f>D237-C237</f>
        <v>1026934</v>
      </c>
      <c r="F237" s="449">
        <f>IF(C237=0,0,E237/C237)</f>
        <v>9.6949308585219482E-2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657</v>
      </c>
      <c r="C238" s="448">
        <f>C222+C234</f>
        <v>3268775</v>
      </c>
      <c r="D238" s="448">
        <f>LN_IG2+LN_IG10</f>
        <v>4199400</v>
      </c>
      <c r="E238" s="448">
        <f>D238-C238</f>
        <v>930625</v>
      </c>
      <c r="F238" s="449">
        <f>IF(C238=0,0,E238/C238)</f>
        <v>0.2847014554381993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658</v>
      </c>
      <c r="C239" s="448">
        <f>C237-C238</f>
        <v>7323709</v>
      </c>
      <c r="D239" s="448">
        <f>LN_IG13-LN_IG14</f>
        <v>7420018</v>
      </c>
      <c r="E239" s="448">
        <f>D239-C239</f>
        <v>96309</v>
      </c>
      <c r="F239" s="449">
        <f>IF(C239=0,0,E239/C239)</f>
        <v>1.3150304033106722E-2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711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712</v>
      </c>
      <c r="C243" s="448">
        <v>164600638</v>
      </c>
      <c r="D243" s="448">
        <v>159284016</v>
      </c>
      <c r="E243" s="441">
        <f>D243-C243</f>
        <v>-5316622</v>
      </c>
      <c r="F243" s="503">
        <f>IF(C243=0,0,E243/C243)</f>
        <v>-3.2300129966689434E-2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713</v>
      </c>
      <c r="C244" s="448">
        <v>1046001610</v>
      </c>
      <c r="D244" s="448">
        <v>1075242367</v>
      </c>
      <c r="E244" s="441">
        <f>D244-C244</f>
        <v>29240757</v>
      </c>
      <c r="F244" s="503">
        <f>IF(C244=0,0,E244/C244)</f>
        <v>2.7954791580100915E-2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714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715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716</v>
      </c>
      <c r="C248" s="441">
        <v>23839114</v>
      </c>
      <c r="D248" s="441">
        <v>26543780</v>
      </c>
      <c r="E248" s="441">
        <f>D248-C248</f>
        <v>2704666</v>
      </c>
      <c r="F248" s="449">
        <f>IF(C248=0,0,E248/C248)</f>
        <v>0.11345497152285106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717</v>
      </c>
      <c r="C249" s="441">
        <v>22645965</v>
      </c>
      <c r="D249" s="441">
        <v>17467613</v>
      </c>
      <c r="E249" s="441">
        <f>D249-C249</f>
        <v>-5178352</v>
      </c>
      <c r="F249" s="449">
        <f>IF(C249=0,0,E249/C249)</f>
        <v>-0.22866554814511106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718</v>
      </c>
      <c r="C250" s="441">
        <f>C248+C249</f>
        <v>46485079</v>
      </c>
      <c r="D250" s="441">
        <f>LN_IH4+LN_IH5</f>
        <v>44011393</v>
      </c>
      <c r="E250" s="441">
        <f>D250-C250</f>
        <v>-2473686</v>
      </c>
      <c r="F250" s="449">
        <f>IF(C250=0,0,E250/C250)</f>
        <v>-5.3214623987193829E-2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719</v>
      </c>
      <c r="C251" s="441">
        <f>C250*C313</f>
        <v>19140856.231639218</v>
      </c>
      <c r="D251" s="441">
        <f>LN_IH6*LN_III10</f>
        <v>16908866.918703694</v>
      </c>
      <c r="E251" s="441">
        <f>D251-C251</f>
        <v>-2231989.3129355237</v>
      </c>
      <c r="F251" s="449">
        <f>IF(C251=0,0,E251/C251)</f>
        <v>-0.11660864518934724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720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656</v>
      </c>
      <c r="C254" s="441">
        <f>C188+C203</f>
        <v>415728295</v>
      </c>
      <c r="D254" s="441">
        <f>LN_IF23</f>
        <v>457843339</v>
      </c>
      <c r="E254" s="441">
        <f>D254-C254</f>
        <v>42115044</v>
      </c>
      <c r="F254" s="449">
        <f>IF(C254=0,0,E254/C254)</f>
        <v>0.10130425209571073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657</v>
      </c>
      <c r="C255" s="441">
        <f>C189+C204</f>
        <v>117063703</v>
      </c>
      <c r="D255" s="441">
        <f>LN_IF24</f>
        <v>112176963</v>
      </c>
      <c r="E255" s="441">
        <f>D255-C255</f>
        <v>-4886740</v>
      </c>
      <c r="F255" s="449">
        <f>IF(C255=0,0,E255/C255)</f>
        <v>-4.1744280035289842E-2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721</v>
      </c>
      <c r="C256" s="441">
        <f>C254*C313</f>
        <v>171181714.58887908</v>
      </c>
      <c r="D256" s="441">
        <f>LN_IH8*LN_III10</f>
        <v>175900183.13589713</v>
      </c>
      <c r="E256" s="441">
        <f>D256-C256</f>
        <v>4718468.5470180511</v>
      </c>
      <c r="F256" s="449">
        <f>IF(C256=0,0,E256/C256)</f>
        <v>2.7564092101485409E-2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722</v>
      </c>
      <c r="C257" s="441">
        <f>C256-C255</f>
        <v>54118011.588879079</v>
      </c>
      <c r="D257" s="441">
        <f>LN_IH10-LN_IH9</f>
        <v>63723220.13589713</v>
      </c>
      <c r="E257" s="441">
        <f>D257-C257</f>
        <v>9605208.5470180511</v>
      </c>
      <c r="F257" s="449">
        <f>IF(C257=0,0,E257/C257)</f>
        <v>0.17748635371133745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723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724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1483172403</v>
      </c>
      <c r="D261" s="448">
        <f>LN_IA1+LN_IB1+LN_IF1+LN_IG1</f>
        <v>1549015766</v>
      </c>
      <c r="E261" s="448">
        <f t="shared" ref="E261:E274" si="26">D261-C261</f>
        <v>65843363</v>
      </c>
      <c r="F261" s="503">
        <f t="shared" ref="F261:F274" si="27">IF(C261=0,0,E261/C261)</f>
        <v>4.4393600411401397E-2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634127568</v>
      </c>
      <c r="D262" s="448">
        <f>+LN_IA2+LN_IB2+LN_IF2+LN_IG2</f>
        <v>634694712</v>
      </c>
      <c r="E262" s="448">
        <f t="shared" si="26"/>
        <v>567144</v>
      </c>
      <c r="F262" s="503">
        <f t="shared" si="27"/>
        <v>8.943689387117136E-4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725</v>
      </c>
      <c r="C263" s="453">
        <f>IF(C261=0,0,C262/C261)</f>
        <v>0.42754811693998329</v>
      </c>
      <c r="D263" s="453">
        <f>IF(LN_IIA1=0,0,LN_IIA2/LN_IIA1)</f>
        <v>0.4097406404319322</v>
      </c>
      <c r="E263" s="454">
        <f t="shared" si="26"/>
        <v>-1.780747650805109E-2</v>
      </c>
      <c r="F263" s="458">
        <f t="shared" si="27"/>
        <v>-4.1650227898327521E-2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41251</v>
      </c>
      <c r="D264" s="456">
        <f>LN_IA4+LN_IB4+LN_IF4+LN_IG3</f>
        <v>41809</v>
      </c>
      <c r="E264" s="456">
        <f t="shared" si="26"/>
        <v>558</v>
      </c>
      <c r="F264" s="503">
        <f t="shared" si="27"/>
        <v>1.3526944801338149E-2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726</v>
      </c>
      <c r="C265" s="525">
        <f>IF(C264=0,0,C266/C264)</f>
        <v>1.5716669341349303</v>
      </c>
      <c r="D265" s="525">
        <f>IF(LN_IIA4=0,0,LN_IIA6/LN_IIA4)</f>
        <v>1.571613014422732</v>
      </c>
      <c r="E265" s="525">
        <f t="shared" si="26"/>
        <v>-5.3919712198258196E-5</v>
      </c>
      <c r="F265" s="503">
        <f t="shared" si="27"/>
        <v>-3.4307340204962978E-5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727</v>
      </c>
      <c r="C266" s="463">
        <f>C20+C47+C193+C226</f>
        <v>64832.832700000006</v>
      </c>
      <c r="D266" s="463">
        <f>LN_IA6+LN_IB6+LN_IF6+LN_IG5</f>
        <v>65707.568520000001</v>
      </c>
      <c r="E266" s="463">
        <f t="shared" si="26"/>
        <v>874.73581999999442</v>
      </c>
      <c r="F266" s="503">
        <f t="shared" si="27"/>
        <v>1.3492173387635958E-2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772588785</v>
      </c>
      <c r="D267" s="448">
        <f>LN_IA11+LN_IB13+LN_IF14+LN_IG9</f>
        <v>862921266</v>
      </c>
      <c r="E267" s="448">
        <f t="shared" si="26"/>
        <v>90332481</v>
      </c>
      <c r="F267" s="503">
        <f t="shared" si="27"/>
        <v>0.11692181242315082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652</v>
      </c>
      <c r="C268" s="453">
        <f>IF(C261=0,0,C267/C261)</f>
        <v>0.52090288589329958</v>
      </c>
      <c r="D268" s="453">
        <f>IF(LN_IIA1=0,0,LN_IIA7/LN_IIA1)</f>
        <v>0.55707713565001893</v>
      </c>
      <c r="E268" s="454">
        <f t="shared" si="26"/>
        <v>3.6174249756719346E-2</v>
      </c>
      <c r="F268" s="458">
        <f t="shared" si="27"/>
        <v>6.9445285745890817E-2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309399794</v>
      </c>
      <c r="D269" s="448">
        <f>LN_IA12+LN_IB14+LN_IF15+LN_IG10</f>
        <v>304868818</v>
      </c>
      <c r="E269" s="448">
        <f t="shared" si="26"/>
        <v>-4530976</v>
      </c>
      <c r="F269" s="503">
        <f t="shared" si="27"/>
        <v>-1.4644405354710741E-2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651</v>
      </c>
      <c r="C270" s="453">
        <f>IF(C267=0,0,C269/C267)</f>
        <v>0.40047150567944112</v>
      </c>
      <c r="D270" s="453">
        <f>IF(LN_IIA7=0,0,LN_IIA9/LN_IIA7)</f>
        <v>0.3532985337274096</v>
      </c>
      <c r="E270" s="454">
        <f t="shared" si="26"/>
        <v>-4.7172971952031517E-2</v>
      </c>
      <c r="F270" s="458">
        <f t="shared" si="27"/>
        <v>-0.11779357902629731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728</v>
      </c>
      <c r="C271" s="441">
        <f>C261+C267</f>
        <v>2255761188</v>
      </c>
      <c r="D271" s="441">
        <f>LN_IIA1+LN_IIA7</f>
        <v>2411937032</v>
      </c>
      <c r="E271" s="441">
        <f t="shared" si="26"/>
        <v>156175844</v>
      </c>
      <c r="F271" s="503">
        <f t="shared" si="27"/>
        <v>6.9234210088732137E-2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729</v>
      </c>
      <c r="C272" s="441">
        <f>C262+C269</f>
        <v>943527362</v>
      </c>
      <c r="D272" s="441">
        <f>LN_IIA2+LN_IIA9</f>
        <v>939563530</v>
      </c>
      <c r="E272" s="441">
        <f t="shared" si="26"/>
        <v>-3963832</v>
      </c>
      <c r="F272" s="503">
        <f t="shared" si="27"/>
        <v>-4.2010779545363095E-3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730</v>
      </c>
      <c r="C273" s="453">
        <f>IF(C271=0,0,C272/C271)</f>
        <v>0.41827449067715761</v>
      </c>
      <c r="D273" s="453">
        <f>IF(LN_IIA11=0,0,LN_IIA12/LN_IIA11)</f>
        <v>0.38954728814827533</v>
      </c>
      <c r="E273" s="454">
        <f t="shared" si="26"/>
        <v>-2.8727202528882279E-2</v>
      </c>
      <c r="F273" s="458">
        <f t="shared" si="27"/>
        <v>-6.8680264202521449E-2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233332</v>
      </c>
      <c r="D274" s="508">
        <f>LN_IA8+LN_IB10+LN_IF11+LN_IG6</f>
        <v>235012</v>
      </c>
      <c r="E274" s="528">
        <f t="shared" si="26"/>
        <v>1680</v>
      </c>
      <c r="F274" s="458">
        <f t="shared" si="27"/>
        <v>7.2000411430922463E-3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731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732</v>
      </c>
      <c r="C277" s="448">
        <f>C15+C188+C221</f>
        <v>1000976190</v>
      </c>
      <c r="D277" s="448">
        <f>LN_IA1+LN_IF1+LN_IG1</f>
        <v>1081290203</v>
      </c>
      <c r="E277" s="448">
        <f t="shared" ref="E277:E291" si="28">D277-C277</f>
        <v>80314013</v>
      </c>
      <c r="F277" s="503">
        <f t="shared" ref="F277:F291" si="29">IF(C277=0,0,E277/C277)</f>
        <v>8.0235687724000707E-2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733</v>
      </c>
      <c r="C278" s="448">
        <f>C16+C189+C222</f>
        <v>361860153</v>
      </c>
      <c r="D278" s="448">
        <f>LN_IA2+LN_IF2+LN_IG2</f>
        <v>350199372</v>
      </c>
      <c r="E278" s="448">
        <f t="shared" si="28"/>
        <v>-11660781</v>
      </c>
      <c r="F278" s="503">
        <f t="shared" si="29"/>
        <v>-3.222455112375968E-2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734</v>
      </c>
      <c r="C279" s="453">
        <f>IF(C277=0,0,C278/C277)</f>
        <v>0.36150725323446503</v>
      </c>
      <c r="D279" s="453">
        <f>IF(D277=0,0,LN_IIB2/D277)</f>
        <v>0.32387177006541323</v>
      </c>
      <c r="E279" s="454">
        <f t="shared" si="28"/>
        <v>-3.7635483169051798E-2</v>
      </c>
      <c r="F279" s="458">
        <f t="shared" si="29"/>
        <v>-0.10410713155080824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735</v>
      </c>
      <c r="C280" s="456">
        <f>C18+C191+C224</f>
        <v>26100</v>
      </c>
      <c r="D280" s="456">
        <f>LN_IA4+LN_IF4+LN_IG3</f>
        <v>27025</v>
      </c>
      <c r="E280" s="456">
        <f t="shared" si="28"/>
        <v>925</v>
      </c>
      <c r="F280" s="503">
        <f t="shared" si="29"/>
        <v>3.5440613026819924E-2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736</v>
      </c>
      <c r="C281" s="525">
        <f>IF(C280=0,0,C282/C280)</f>
        <v>1.646067593869732</v>
      </c>
      <c r="D281" s="525">
        <f>IF(LN_IIB4=0,0,LN_IIB6/LN_IIB4)</f>
        <v>1.6375997172987973</v>
      </c>
      <c r="E281" s="525">
        <f t="shared" si="28"/>
        <v>-8.4678765709347292E-3</v>
      </c>
      <c r="F281" s="503">
        <f t="shared" si="29"/>
        <v>-5.1443067116263685E-3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737</v>
      </c>
      <c r="C282" s="463">
        <f>C20+C193+C226</f>
        <v>42962.364200000004</v>
      </c>
      <c r="D282" s="463">
        <f>LN_IA6+LN_IF6+LN_IG5</f>
        <v>44256.132359999996</v>
      </c>
      <c r="E282" s="463">
        <f t="shared" si="28"/>
        <v>1293.7681599999923</v>
      </c>
      <c r="F282" s="503">
        <f t="shared" si="29"/>
        <v>3.0113988931735565E-2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738</v>
      </c>
      <c r="C283" s="448">
        <f>C27+C203+C233</f>
        <v>425881545</v>
      </c>
      <c r="D283" s="448">
        <f>LN_IA11+LN_IF14+LN_IG9</f>
        <v>483827598</v>
      </c>
      <c r="E283" s="448">
        <f t="shared" si="28"/>
        <v>57946053</v>
      </c>
      <c r="F283" s="503">
        <f t="shared" si="29"/>
        <v>0.13606143229333875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739</v>
      </c>
      <c r="C284" s="453">
        <f>IF(C277=0,0,C283/C277)</f>
        <v>0.42546620914129835</v>
      </c>
      <c r="D284" s="453">
        <f>IF(D277=0,0,LN_IIB7/D277)</f>
        <v>0.44745397364892242</v>
      </c>
      <c r="E284" s="454">
        <f t="shared" si="28"/>
        <v>2.1987764507624075E-2</v>
      </c>
      <c r="F284" s="458">
        <f t="shared" si="29"/>
        <v>5.167922630565918E-2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740</v>
      </c>
      <c r="C285" s="448">
        <f>C28+C204+C234</f>
        <v>140398398</v>
      </c>
      <c r="D285" s="448">
        <f>LN_IA12+LN_IF15+LN_IG10</f>
        <v>126988487</v>
      </c>
      <c r="E285" s="448">
        <f t="shared" si="28"/>
        <v>-13409911</v>
      </c>
      <c r="F285" s="503">
        <f t="shared" si="29"/>
        <v>-9.5513276440661377E-2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741</v>
      </c>
      <c r="C286" s="453">
        <f>IF(C283=0,0,C285/C283)</f>
        <v>0.32966537209307811</v>
      </c>
      <c r="D286" s="453">
        <f>IF(LN_IIB7=0,0,LN_IIB9/LN_IIB7)</f>
        <v>0.26246639820657769</v>
      </c>
      <c r="E286" s="454">
        <f t="shared" si="28"/>
        <v>-6.7198973886500424E-2</v>
      </c>
      <c r="F286" s="458">
        <f t="shared" si="29"/>
        <v>-0.2038399527977339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742</v>
      </c>
      <c r="C287" s="441">
        <f>C277+C283</f>
        <v>1426857735</v>
      </c>
      <c r="D287" s="441">
        <f>D277+LN_IIB7</f>
        <v>1565117801</v>
      </c>
      <c r="E287" s="441">
        <f t="shared" si="28"/>
        <v>138260066</v>
      </c>
      <c r="F287" s="503">
        <f t="shared" si="29"/>
        <v>9.6898283976433006E-2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743</v>
      </c>
      <c r="C288" s="441">
        <f>C278+C285</f>
        <v>502258551</v>
      </c>
      <c r="D288" s="441">
        <f>LN_IIB2+LN_IIB9</f>
        <v>477187859</v>
      </c>
      <c r="E288" s="441">
        <f t="shared" si="28"/>
        <v>-25070692</v>
      </c>
      <c r="F288" s="503">
        <f t="shared" si="29"/>
        <v>-4.9915908748759161E-2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744</v>
      </c>
      <c r="C289" s="453">
        <f>IF(C287=0,0,C288/C287)</f>
        <v>0.35200324368707997</v>
      </c>
      <c r="D289" s="453">
        <f>IF(LN_IIB11=0,0,LN_IIB12/LN_IIB11)</f>
        <v>0.30488942026926702</v>
      </c>
      <c r="E289" s="454">
        <f t="shared" si="28"/>
        <v>-4.711382341781295E-2</v>
      </c>
      <c r="F289" s="458">
        <f t="shared" si="29"/>
        <v>-0.13384485587211148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162508</v>
      </c>
      <c r="D290" s="508">
        <f>LN_IA8+LN_IF11+LN_IG6</f>
        <v>166684</v>
      </c>
      <c r="E290" s="528">
        <f t="shared" si="28"/>
        <v>4176</v>
      </c>
      <c r="F290" s="458">
        <f t="shared" si="29"/>
        <v>2.569719644571344E-2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745</v>
      </c>
      <c r="C291" s="448">
        <f>C287-C288</f>
        <v>924599184</v>
      </c>
      <c r="D291" s="516">
        <f>LN_IIB11-LN_IIB12</f>
        <v>1087929942</v>
      </c>
      <c r="E291" s="441">
        <f t="shared" si="28"/>
        <v>163330758</v>
      </c>
      <c r="F291" s="503">
        <f t="shared" si="29"/>
        <v>0.17665033760185539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647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638</v>
      </c>
      <c r="C294" s="466">
        <f>IF(C18=0,0,C22/C18)</f>
        <v>6.6530562937907707</v>
      </c>
      <c r="D294" s="466">
        <f>IF(LN_IA4=0,0,LN_IA8/LN_IA4)</f>
        <v>6.506464892445063</v>
      </c>
      <c r="E294" s="466">
        <f t="shared" ref="E294:E300" si="30">D294-C294</f>
        <v>-0.14659140134570769</v>
      </c>
      <c r="F294" s="503">
        <f t="shared" ref="F294:F300" si="31">IF(C294=0,0,E294/C294)</f>
        <v>-2.203369321893758E-2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659</v>
      </c>
      <c r="C295" s="466">
        <f>IF(C45=0,0,C51/C45)</f>
        <v>4.6745429344597715</v>
      </c>
      <c r="D295" s="466">
        <f>IF(LN_IB4=0,0,(LN_IB10)/(LN_IB4))</f>
        <v>4.6217532467532472</v>
      </c>
      <c r="E295" s="466">
        <f t="shared" si="30"/>
        <v>-5.2789687706524369E-2</v>
      </c>
      <c r="F295" s="503">
        <f t="shared" si="31"/>
        <v>-1.1293015904799936E-2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674</v>
      </c>
      <c r="C296" s="466">
        <f>IF(C86=0,0,C93/C86)</f>
        <v>5.4679911699779247</v>
      </c>
      <c r="D296" s="466">
        <f>IF(LN_IC4=0,0,LN_IC11/LN_IC4)</f>
        <v>4.4145658263305325</v>
      </c>
      <c r="E296" s="466">
        <f t="shared" si="30"/>
        <v>-1.0534253436473922</v>
      </c>
      <c r="F296" s="503">
        <f t="shared" si="31"/>
        <v>-0.1926530806105243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5.4674041456341964</v>
      </c>
      <c r="D297" s="466">
        <f>IF(LN_ID4=0,0,LN_ID11/LN_ID4)</f>
        <v>5.5523073710586761</v>
      </c>
      <c r="E297" s="466">
        <f t="shared" si="30"/>
        <v>8.49032254244797E-2</v>
      </c>
      <c r="F297" s="503">
        <f t="shared" si="31"/>
        <v>1.5528982888941216E-2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746</v>
      </c>
      <c r="C298" s="466">
        <f>IF(C156=0,0,C163/C156)</f>
        <v>0</v>
      </c>
      <c r="D298" s="466">
        <f>IF(LN_IE4=0,0,LN_IE11/LN_IE4)</f>
        <v>0</v>
      </c>
      <c r="E298" s="466">
        <f t="shared" si="30"/>
        <v>0</v>
      </c>
      <c r="F298" s="503">
        <f t="shared" si="31"/>
        <v>0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6.2360515021459229</v>
      </c>
      <c r="D299" s="466">
        <f>IF(LN_IG3=0,0,LN_IG6/LN_IG3)</f>
        <v>6.4349999999999996</v>
      </c>
      <c r="E299" s="466">
        <f t="shared" si="30"/>
        <v>0.19894849785407676</v>
      </c>
      <c r="F299" s="503">
        <f t="shared" si="31"/>
        <v>3.1902959394356424E-2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747</v>
      </c>
      <c r="C300" s="466">
        <f>IF(C264=0,0,C274/C264)</f>
        <v>5.6563962085767621</v>
      </c>
      <c r="D300" s="466">
        <f>IF(LN_IIA4=0,0,LN_IIA14/LN_IIA4)</f>
        <v>5.6210863689636206</v>
      </c>
      <c r="E300" s="466">
        <f t="shared" si="30"/>
        <v>-3.5309839613141492E-2</v>
      </c>
      <c r="F300" s="503">
        <f t="shared" si="31"/>
        <v>-6.2424622164199495E-3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748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742</v>
      </c>
      <c r="C304" s="441">
        <f>C35+C66+C214+C221+C233</f>
        <v>2255761188</v>
      </c>
      <c r="D304" s="441">
        <f>LN_IIA11</f>
        <v>2411937032</v>
      </c>
      <c r="E304" s="441">
        <f t="shared" ref="E304:E316" si="32">D304-C304</f>
        <v>156175844</v>
      </c>
      <c r="F304" s="449">
        <f>IF(C304=0,0,E304/C304)</f>
        <v>6.9234210088732137E-2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745</v>
      </c>
      <c r="C305" s="441">
        <f>C291</f>
        <v>924599184</v>
      </c>
      <c r="D305" s="441">
        <f>LN_IIB14</f>
        <v>1087929942</v>
      </c>
      <c r="E305" s="441">
        <f t="shared" si="32"/>
        <v>163330758</v>
      </c>
      <c r="F305" s="449">
        <f>IF(C305=0,0,E305/C305)</f>
        <v>0.17665033760185539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749</v>
      </c>
      <c r="C306" s="441">
        <f>C250</f>
        <v>46485079</v>
      </c>
      <c r="D306" s="441">
        <f>LN_IH6</f>
        <v>44011393</v>
      </c>
      <c r="E306" s="441">
        <f t="shared" si="32"/>
        <v>-2473686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750</v>
      </c>
      <c r="C307" s="441">
        <f>C73-C74</f>
        <v>341149564</v>
      </c>
      <c r="D307" s="441">
        <f>LN_IB32-LN_IB33</f>
        <v>337021984</v>
      </c>
      <c r="E307" s="441">
        <f t="shared" si="32"/>
        <v>-4127580</v>
      </c>
      <c r="F307" s="449">
        <f t="shared" ref="F307:F316" si="33">IF(C307=0,0,E307/C307)</f>
        <v>-1.2099033490190831E-2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751</v>
      </c>
      <c r="C308" s="441">
        <v>14687365</v>
      </c>
      <c r="D308" s="441">
        <v>16324509</v>
      </c>
      <c r="E308" s="441">
        <f t="shared" si="32"/>
        <v>1637144</v>
      </c>
      <c r="F308" s="449">
        <f t="shared" si="33"/>
        <v>0.11146614794416834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752</v>
      </c>
      <c r="C309" s="441">
        <f>C305+C307+C308+C306</f>
        <v>1326921192</v>
      </c>
      <c r="D309" s="441">
        <f>LN_III2+LN_III3+LN_III4+LN_III5</f>
        <v>1485287828</v>
      </c>
      <c r="E309" s="441">
        <f t="shared" si="32"/>
        <v>158366636</v>
      </c>
      <c r="F309" s="449">
        <f t="shared" si="33"/>
        <v>0.11934893869718226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753</v>
      </c>
      <c r="C310" s="441">
        <f>C304-C309</f>
        <v>928839996</v>
      </c>
      <c r="D310" s="441">
        <f>LN_III1-LN_III6</f>
        <v>926649204</v>
      </c>
      <c r="E310" s="441">
        <f t="shared" si="32"/>
        <v>-2190792</v>
      </c>
      <c r="F310" s="449">
        <f t="shared" si="33"/>
        <v>-2.3586322826692745E-3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754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755</v>
      </c>
      <c r="C312" s="441">
        <f>C310+C311</f>
        <v>928839996</v>
      </c>
      <c r="D312" s="441">
        <f>LN_III7+LN_III8</f>
        <v>926649204</v>
      </c>
      <c r="E312" s="441">
        <f t="shared" si="32"/>
        <v>-2190792</v>
      </c>
      <c r="F312" s="449">
        <f t="shared" si="33"/>
        <v>-2.3586322826692745E-3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756</v>
      </c>
      <c r="C313" s="532">
        <f>IF(C304=0,0,C312/C304)</f>
        <v>0.41176344417182159</v>
      </c>
      <c r="D313" s="532">
        <f>IF(LN_III1=0,0,LN_III9/LN_III1)</f>
        <v>0.38419295019141281</v>
      </c>
      <c r="E313" s="532">
        <f t="shared" si="32"/>
        <v>-2.7570493980408783E-2</v>
      </c>
      <c r="F313" s="449">
        <f t="shared" si="33"/>
        <v>-6.695711911935559E-2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719</v>
      </c>
      <c r="C314" s="441">
        <f>C306*C313</f>
        <v>19140856.231639218</v>
      </c>
      <c r="D314" s="441">
        <f>D313*LN_III5</f>
        <v>16908866.918703694</v>
      </c>
      <c r="E314" s="441">
        <f t="shared" si="32"/>
        <v>-2231989.3129355237</v>
      </c>
      <c r="F314" s="449">
        <f t="shared" si="33"/>
        <v>-0.11660864518934724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722</v>
      </c>
      <c r="C315" s="441">
        <f>(C214*C313)-C215</f>
        <v>54118011.588879079</v>
      </c>
      <c r="D315" s="441">
        <f>D313*LN_IH8-LN_IH9</f>
        <v>63723220.13589713</v>
      </c>
      <c r="E315" s="441">
        <f t="shared" si="32"/>
        <v>9605208.5470180511</v>
      </c>
      <c r="F315" s="449">
        <f t="shared" si="33"/>
        <v>0.17748635371133745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757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758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759</v>
      </c>
      <c r="C318" s="441">
        <f>C314+C315+C316</f>
        <v>73258867.8205183</v>
      </c>
      <c r="D318" s="441">
        <f>D314+D315+D316</f>
        <v>80632087.05460082</v>
      </c>
      <c r="E318" s="441">
        <f>D318-C318</f>
        <v>7373219.23408252</v>
      </c>
      <c r="F318" s="449">
        <f>IF(C318=0,0,E318/C318)</f>
        <v>0.10064609860128679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760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46474214.311988324</v>
      </c>
      <c r="D322" s="441">
        <f>LN_ID22</f>
        <v>39538918.989236124</v>
      </c>
      <c r="E322" s="441">
        <f>LN_IV2-C322</f>
        <v>-6935295.3227522001</v>
      </c>
      <c r="F322" s="449">
        <f>IF(C322=0,0,E322/C322)</f>
        <v>-0.14922888800646589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746</v>
      </c>
      <c r="C323" s="441">
        <f>C162+C176</f>
        <v>0</v>
      </c>
      <c r="D323" s="441">
        <f>LN_IE10+LN_IE22</f>
        <v>0</v>
      </c>
      <c r="E323" s="441">
        <f>LN_IV3-C323</f>
        <v>0</v>
      </c>
      <c r="F323" s="449">
        <f>IF(C323=0,0,E323/C323)</f>
        <v>0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761</v>
      </c>
      <c r="C324" s="441">
        <f>C92+C106</f>
        <v>15186131.463709604</v>
      </c>
      <c r="D324" s="441">
        <f>LN_IC10+LN_IC22</f>
        <v>16015626.092570474</v>
      </c>
      <c r="E324" s="441">
        <f>LN_IV1-C324</f>
        <v>829494.62886087038</v>
      </c>
      <c r="F324" s="449">
        <f>IF(C324=0,0,E324/C324)</f>
        <v>5.462185223689911E-2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762</v>
      </c>
      <c r="C325" s="516">
        <f>C324+C322+C323</f>
        <v>61660345.775697932</v>
      </c>
      <c r="D325" s="516">
        <f>LN_IV1+LN_IV2+LN_IV3</f>
        <v>55554545.0818066</v>
      </c>
      <c r="E325" s="441">
        <f>LN_IV4-C325</f>
        <v>-6105800.6938913316</v>
      </c>
      <c r="F325" s="449">
        <f>IF(C325=0,0,E325/C325)</f>
        <v>-9.9023134189069023E-2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763</v>
      </c>
      <c r="B327" s="530" t="s">
        <v>764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765</v>
      </c>
      <c r="C329" s="518">
        <v>25971013</v>
      </c>
      <c r="D329" s="518">
        <v>30498596</v>
      </c>
      <c r="E329" s="518">
        <f t="shared" ref="E329:E335" si="34">D329-C329</f>
        <v>4527583</v>
      </c>
      <c r="F329" s="542">
        <f t="shared" ref="F329:F335" si="35">IF(C329=0,0,E329/C329)</f>
        <v>0.17433216794431547</v>
      </c>
    </row>
    <row r="330" spans="1:22" s="420" customFormat="1" ht="15.75" customHeight="1" x14ac:dyDescent="0.2">
      <c r="A330" s="451">
        <v>2</v>
      </c>
      <c r="B330" s="447" t="s">
        <v>766</v>
      </c>
      <c r="C330" s="516">
        <v>-16894306</v>
      </c>
      <c r="D330" s="516">
        <v>-35778755</v>
      </c>
      <c r="E330" s="518">
        <f t="shared" si="34"/>
        <v>-18884449</v>
      </c>
      <c r="F330" s="543">
        <f t="shared" si="35"/>
        <v>1.1177996302422839</v>
      </c>
    </row>
    <row r="331" spans="1:22" s="420" customFormat="1" ht="15.75" customHeight="1" x14ac:dyDescent="0.2">
      <c r="A331" s="427">
        <v>3</v>
      </c>
      <c r="B331" s="447" t="s">
        <v>767</v>
      </c>
      <c r="C331" s="516">
        <v>926633051</v>
      </c>
      <c r="D331" s="516">
        <v>903784775</v>
      </c>
      <c r="E331" s="518">
        <f t="shared" si="34"/>
        <v>-22848276</v>
      </c>
      <c r="F331" s="542">
        <f t="shared" si="35"/>
        <v>-2.4657307415640629E-2</v>
      </c>
    </row>
    <row r="332" spans="1:22" s="420" customFormat="1" ht="27" customHeight="1" x14ac:dyDescent="0.2">
      <c r="A332" s="451">
        <v>4</v>
      </c>
      <c r="B332" s="447" t="s">
        <v>768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769</v>
      </c>
      <c r="C333" s="516">
        <v>2255761188</v>
      </c>
      <c r="D333" s="516">
        <v>2411937032</v>
      </c>
      <c r="E333" s="518">
        <f t="shared" si="34"/>
        <v>156175844</v>
      </c>
      <c r="F333" s="542">
        <f t="shared" si="35"/>
        <v>6.9234210088732137E-2</v>
      </c>
    </row>
    <row r="334" spans="1:22" s="420" customFormat="1" ht="15.75" customHeight="1" x14ac:dyDescent="0.2">
      <c r="A334" s="427">
        <v>6</v>
      </c>
      <c r="B334" s="447" t="s">
        <v>770</v>
      </c>
      <c r="C334" s="516">
        <v>1554984</v>
      </c>
      <c r="D334" s="516">
        <v>1632896</v>
      </c>
      <c r="E334" s="516">
        <f t="shared" si="34"/>
        <v>77912</v>
      </c>
      <c r="F334" s="543">
        <f t="shared" si="35"/>
        <v>5.010469561101593E-2</v>
      </c>
    </row>
    <row r="335" spans="1:22" s="420" customFormat="1" ht="15.75" customHeight="1" x14ac:dyDescent="0.2">
      <c r="A335" s="451">
        <v>7</v>
      </c>
      <c r="B335" s="447" t="s">
        <v>771</v>
      </c>
      <c r="C335" s="516">
        <v>48040065</v>
      </c>
      <c r="D335" s="516">
        <v>45644289</v>
      </c>
      <c r="E335" s="516">
        <f t="shared" si="34"/>
        <v>-2395776</v>
      </c>
      <c r="F335" s="542">
        <f t="shared" si="35"/>
        <v>-4.9870373822350156E-2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81" fitToHeight="0" orientation="portrait" horizontalDpi="1200" verticalDpi="1200" r:id="rId1"/>
  <headerFooter>
    <oddHeader>&amp;LOFFICE OF HEALTH CARE ACCESS&amp;CTWELVE MONTHS ACTUAL FILING&amp;RHARTFORD HOSPITAL</oddHeader>
    <oddFooter>&amp;LREPORT 100&amp;CPAGE &amp;P of &amp;N&amp;R&amp;D,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sqref="A1:E1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9.28515625" style="660" customWidth="1"/>
    <col min="4" max="4" width="19.140625" style="569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632</v>
      </c>
      <c r="B3" s="820"/>
      <c r="C3" s="820"/>
      <c r="D3" s="820"/>
      <c r="E3" s="820"/>
    </row>
    <row r="4" spans="1:5" s="428" customFormat="1" ht="15.75" customHeight="1" x14ac:dyDescent="0.25">
      <c r="A4" s="820" t="s">
        <v>772</v>
      </c>
      <c r="B4" s="820"/>
      <c r="C4" s="820"/>
      <c r="D4" s="820"/>
      <c r="E4" s="820"/>
    </row>
    <row r="5" spans="1:5" s="428" customFormat="1" ht="15.75" customHeight="1" x14ac:dyDescent="0.25">
      <c r="A5" s="820" t="s">
        <v>773</v>
      </c>
      <c r="B5" s="820"/>
      <c r="C5" s="820"/>
      <c r="D5" s="820"/>
      <c r="E5" s="820"/>
    </row>
    <row r="6" spans="1:5" s="428" customFormat="1" ht="15.75" customHeight="1" x14ac:dyDescent="0.25">
      <c r="A6" s="820" t="s">
        <v>774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775</v>
      </c>
      <c r="D9" s="573" t="s">
        <v>776</v>
      </c>
      <c r="E9" s="573" t="s">
        <v>777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778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779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659</v>
      </c>
      <c r="C14" s="589">
        <v>482196213</v>
      </c>
      <c r="D14" s="589">
        <v>467725563</v>
      </c>
      <c r="E14" s="590">
        <f t="shared" ref="E14:E22" si="0">D14-C14</f>
        <v>-14470650</v>
      </c>
    </row>
    <row r="15" spans="1:5" s="421" customFormat="1" x14ac:dyDescent="0.2">
      <c r="A15" s="588">
        <v>2</v>
      </c>
      <c r="B15" s="587" t="s">
        <v>638</v>
      </c>
      <c r="C15" s="589">
        <v>730035304</v>
      </c>
      <c r="D15" s="591">
        <v>789518832</v>
      </c>
      <c r="E15" s="590">
        <f t="shared" si="0"/>
        <v>59483528</v>
      </c>
    </row>
    <row r="16" spans="1:5" s="421" customFormat="1" x14ac:dyDescent="0.2">
      <c r="A16" s="588">
        <v>3</v>
      </c>
      <c r="B16" s="587" t="s">
        <v>780</v>
      </c>
      <c r="C16" s="589">
        <v>263906213</v>
      </c>
      <c r="D16" s="591">
        <v>284428877</v>
      </c>
      <c r="E16" s="590">
        <f t="shared" si="0"/>
        <v>20522664</v>
      </c>
    </row>
    <row r="17" spans="1:5" s="421" customFormat="1" x14ac:dyDescent="0.2">
      <c r="A17" s="588">
        <v>4</v>
      </c>
      <c r="B17" s="587" t="s">
        <v>115</v>
      </c>
      <c r="C17" s="589">
        <v>263906213</v>
      </c>
      <c r="D17" s="591">
        <v>284428877</v>
      </c>
      <c r="E17" s="590">
        <f t="shared" si="0"/>
        <v>20522664</v>
      </c>
    </row>
    <row r="18" spans="1:5" s="421" customFormat="1" x14ac:dyDescent="0.2">
      <c r="A18" s="588">
        <v>5</v>
      </c>
      <c r="B18" s="587" t="s">
        <v>746</v>
      </c>
      <c r="C18" s="589">
        <v>0</v>
      </c>
      <c r="D18" s="591">
        <v>0</v>
      </c>
      <c r="E18" s="590">
        <f t="shared" si="0"/>
        <v>0</v>
      </c>
    </row>
    <row r="19" spans="1:5" s="421" customFormat="1" x14ac:dyDescent="0.2">
      <c r="A19" s="588">
        <v>6</v>
      </c>
      <c r="B19" s="587" t="s">
        <v>424</v>
      </c>
      <c r="C19" s="589">
        <v>7034673</v>
      </c>
      <c r="D19" s="591">
        <v>7342494</v>
      </c>
      <c r="E19" s="590">
        <f t="shared" si="0"/>
        <v>307821</v>
      </c>
    </row>
    <row r="20" spans="1:5" s="421" customFormat="1" x14ac:dyDescent="0.2">
      <c r="A20" s="588">
        <v>7</v>
      </c>
      <c r="B20" s="587" t="s">
        <v>761</v>
      </c>
      <c r="C20" s="589">
        <v>15632401</v>
      </c>
      <c r="D20" s="591">
        <v>10885059</v>
      </c>
      <c r="E20" s="590">
        <f t="shared" si="0"/>
        <v>-4747342</v>
      </c>
    </row>
    <row r="21" spans="1:5" s="421" customFormat="1" x14ac:dyDescent="0.2">
      <c r="A21" s="588"/>
      <c r="B21" s="592" t="s">
        <v>781</v>
      </c>
      <c r="C21" s="593">
        <f>SUM(C15+C16+C19)</f>
        <v>1000976190</v>
      </c>
      <c r="D21" s="593">
        <f>SUM(D15+D16+D19)</f>
        <v>1081290203</v>
      </c>
      <c r="E21" s="593">
        <f t="shared" si="0"/>
        <v>80314013</v>
      </c>
    </row>
    <row r="22" spans="1:5" s="421" customFormat="1" x14ac:dyDescent="0.2">
      <c r="A22" s="588"/>
      <c r="B22" s="592" t="s">
        <v>465</v>
      </c>
      <c r="C22" s="593">
        <f>SUM(C14+C21)</f>
        <v>1483172403</v>
      </c>
      <c r="D22" s="593">
        <f>SUM(D14+D21)</f>
        <v>1549015766</v>
      </c>
      <c r="E22" s="593">
        <f t="shared" si="0"/>
        <v>65843363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782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659</v>
      </c>
      <c r="C25" s="589">
        <v>346707240</v>
      </c>
      <c r="D25" s="589">
        <v>379093668</v>
      </c>
      <c r="E25" s="590">
        <f t="shared" ref="E25:E33" si="1">D25-C25</f>
        <v>32386428</v>
      </c>
    </row>
    <row r="26" spans="1:5" s="421" customFormat="1" x14ac:dyDescent="0.2">
      <c r="A26" s="588">
        <v>2</v>
      </c>
      <c r="B26" s="587" t="s">
        <v>638</v>
      </c>
      <c r="C26" s="589">
        <v>270501652</v>
      </c>
      <c r="D26" s="591">
        <v>306136212</v>
      </c>
      <c r="E26" s="590">
        <f t="shared" si="1"/>
        <v>35634560</v>
      </c>
    </row>
    <row r="27" spans="1:5" s="421" customFormat="1" x14ac:dyDescent="0.2">
      <c r="A27" s="588">
        <v>3</v>
      </c>
      <c r="B27" s="587" t="s">
        <v>780</v>
      </c>
      <c r="C27" s="589">
        <v>151822082</v>
      </c>
      <c r="D27" s="591">
        <v>173414462</v>
      </c>
      <c r="E27" s="590">
        <f t="shared" si="1"/>
        <v>21592380</v>
      </c>
    </row>
    <row r="28" spans="1:5" s="421" customFormat="1" x14ac:dyDescent="0.2">
      <c r="A28" s="588">
        <v>4</v>
      </c>
      <c r="B28" s="587" t="s">
        <v>115</v>
      </c>
      <c r="C28" s="589">
        <v>151822082</v>
      </c>
      <c r="D28" s="591">
        <v>173414462</v>
      </c>
      <c r="E28" s="590">
        <f t="shared" si="1"/>
        <v>21592380</v>
      </c>
    </row>
    <row r="29" spans="1:5" s="421" customFormat="1" x14ac:dyDescent="0.2">
      <c r="A29" s="588">
        <v>5</v>
      </c>
      <c r="B29" s="587" t="s">
        <v>746</v>
      </c>
      <c r="C29" s="589">
        <v>0</v>
      </c>
      <c r="D29" s="591">
        <v>0</v>
      </c>
      <c r="E29" s="590">
        <f t="shared" si="1"/>
        <v>0</v>
      </c>
    </row>
    <row r="30" spans="1:5" s="421" customFormat="1" x14ac:dyDescent="0.2">
      <c r="A30" s="588">
        <v>6</v>
      </c>
      <c r="B30" s="587" t="s">
        <v>424</v>
      </c>
      <c r="C30" s="589">
        <v>3557811</v>
      </c>
      <c r="D30" s="591">
        <v>4276924</v>
      </c>
      <c r="E30" s="590">
        <f t="shared" si="1"/>
        <v>719113</v>
      </c>
    </row>
    <row r="31" spans="1:5" s="421" customFormat="1" x14ac:dyDescent="0.2">
      <c r="A31" s="588">
        <v>7</v>
      </c>
      <c r="B31" s="587" t="s">
        <v>761</v>
      </c>
      <c r="C31" s="590">
        <v>33772596</v>
      </c>
      <c r="D31" s="594">
        <v>37249513</v>
      </c>
      <c r="E31" s="590">
        <f t="shared" si="1"/>
        <v>3476917</v>
      </c>
    </row>
    <row r="32" spans="1:5" s="421" customFormat="1" x14ac:dyDescent="0.2">
      <c r="A32" s="588"/>
      <c r="B32" s="592" t="s">
        <v>783</v>
      </c>
      <c r="C32" s="593">
        <f>SUM(C26+C27+C30)</f>
        <v>425881545</v>
      </c>
      <c r="D32" s="593">
        <f>SUM(D26+D27+D30)</f>
        <v>483827598</v>
      </c>
      <c r="E32" s="593">
        <f t="shared" si="1"/>
        <v>57946053</v>
      </c>
    </row>
    <row r="33" spans="1:5" s="421" customFormat="1" x14ac:dyDescent="0.2">
      <c r="A33" s="588"/>
      <c r="B33" s="592" t="s">
        <v>467</v>
      </c>
      <c r="C33" s="593">
        <f>SUM(C25+C32)</f>
        <v>772588785</v>
      </c>
      <c r="D33" s="593">
        <f>SUM(D25+D32)</f>
        <v>862921266</v>
      </c>
      <c r="E33" s="593">
        <f t="shared" si="1"/>
        <v>90332481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656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784</v>
      </c>
      <c r="C36" s="590">
        <f t="shared" ref="C36:D42" si="2">C14+C25</f>
        <v>828903453</v>
      </c>
      <c r="D36" s="590">
        <f t="shared" si="2"/>
        <v>846819231</v>
      </c>
      <c r="E36" s="590">
        <f t="shared" ref="E36:E44" si="3">D36-C36</f>
        <v>17915778</v>
      </c>
    </row>
    <row r="37" spans="1:5" s="421" customFormat="1" x14ac:dyDescent="0.2">
      <c r="A37" s="588">
        <v>2</v>
      </c>
      <c r="B37" s="587" t="s">
        <v>785</v>
      </c>
      <c r="C37" s="590">
        <f t="shared" si="2"/>
        <v>1000536956</v>
      </c>
      <c r="D37" s="590">
        <f t="shared" si="2"/>
        <v>1095655044</v>
      </c>
      <c r="E37" s="590">
        <f t="shared" si="3"/>
        <v>95118088</v>
      </c>
    </row>
    <row r="38" spans="1:5" s="421" customFormat="1" x14ac:dyDescent="0.2">
      <c r="A38" s="588">
        <v>3</v>
      </c>
      <c r="B38" s="587" t="s">
        <v>786</v>
      </c>
      <c r="C38" s="590">
        <f t="shared" si="2"/>
        <v>415728295</v>
      </c>
      <c r="D38" s="590">
        <f t="shared" si="2"/>
        <v>457843339</v>
      </c>
      <c r="E38" s="590">
        <f t="shared" si="3"/>
        <v>42115044</v>
      </c>
    </row>
    <row r="39" spans="1:5" s="421" customFormat="1" x14ac:dyDescent="0.2">
      <c r="A39" s="588">
        <v>4</v>
      </c>
      <c r="B39" s="587" t="s">
        <v>787</v>
      </c>
      <c r="C39" s="590">
        <f t="shared" si="2"/>
        <v>415728295</v>
      </c>
      <c r="D39" s="590">
        <f t="shared" si="2"/>
        <v>457843339</v>
      </c>
      <c r="E39" s="590">
        <f t="shared" si="3"/>
        <v>42115044</v>
      </c>
    </row>
    <row r="40" spans="1:5" s="421" customFormat="1" x14ac:dyDescent="0.2">
      <c r="A40" s="588">
        <v>5</v>
      </c>
      <c r="B40" s="587" t="s">
        <v>788</v>
      </c>
      <c r="C40" s="590">
        <f t="shared" si="2"/>
        <v>0</v>
      </c>
      <c r="D40" s="590">
        <f t="shared" si="2"/>
        <v>0</v>
      </c>
      <c r="E40" s="590">
        <f t="shared" si="3"/>
        <v>0</v>
      </c>
    </row>
    <row r="41" spans="1:5" s="421" customFormat="1" x14ac:dyDescent="0.2">
      <c r="A41" s="588">
        <v>6</v>
      </c>
      <c r="B41" s="587" t="s">
        <v>789</v>
      </c>
      <c r="C41" s="590">
        <f t="shared" si="2"/>
        <v>10592484</v>
      </c>
      <c r="D41" s="590">
        <f t="shared" si="2"/>
        <v>11619418</v>
      </c>
      <c r="E41" s="590">
        <f t="shared" si="3"/>
        <v>1026934</v>
      </c>
    </row>
    <row r="42" spans="1:5" s="421" customFormat="1" x14ac:dyDescent="0.2">
      <c r="A42" s="588">
        <v>7</v>
      </c>
      <c r="B42" s="587" t="s">
        <v>790</v>
      </c>
      <c r="C42" s="590">
        <f t="shared" si="2"/>
        <v>49404997</v>
      </c>
      <c r="D42" s="590">
        <f t="shared" si="2"/>
        <v>48134572</v>
      </c>
      <c r="E42" s="590">
        <f t="shared" si="3"/>
        <v>-1270425</v>
      </c>
    </row>
    <row r="43" spans="1:5" s="421" customFormat="1" x14ac:dyDescent="0.2">
      <c r="A43" s="588"/>
      <c r="B43" s="592" t="s">
        <v>791</v>
      </c>
      <c r="C43" s="593">
        <f>SUM(C37+C38+C41)</f>
        <v>1426857735</v>
      </c>
      <c r="D43" s="593">
        <f>SUM(D37+D38+D41)</f>
        <v>1565117801</v>
      </c>
      <c r="E43" s="593">
        <f t="shared" si="3"/>
        <v>138260066</v>
      </c>
    </row>
    <row r="44" spans="1:5" s="421" customFormat="1" x14ac:dyDescent="0.2">
      <c r="A44" s="588"/>
      <c r="B44" s="592" t="s">
        <v>728</v>
      </c>
      <c r="C44" s="593">
        <f>SUM(C36+C43)</f>
        <v>2255761188</v>
      </c>
      <c r="D44" s="593">
        <f>SUM(D36+D43)</f>
        <v>2411937032</v>
      </c>
      <c r="E44" s="593">
        <f t="shared" si="3"/>
        <v>156175844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792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659</v>
      </c>
      <c r="C47" s="589">
        <v>272267415</v>
      </c>
      <c r="D47" s="589">
        <v>284495340</v>
      </c>
      <c r="E47" s="590">
        <f t="shared" ref="E47:E55" si="4">D47-C47</f>
        <v>12227925</v>
      </c>
    </row>
    <row r="48" spans="1:5" s="421" customFormat="1" x14ac:dyDescent="0.2">
      <c r="A48" s="588">
        <v>2</v>
      </c>
      <c r="B48" s="587" t="s">
        <v>638</v>
      </c>
      <c r="C48" s="589">
        <v>283217747</v>
      </c>
      <c r="D48" s="591">
        <v>272818286</v>
      </c>
      <c r="E48" s="590">
        <f t="shared" si="4"/>
        <v>-10399461</v>
      </c>
    </row>
    <row r="49" spans="1:5" s="421" customFormat="1" x14ac:dyDescent="0.2">
      <c r="A49" s="588">
        <v>3</v>
      </c>
      <c r="B49" s="587" t="s">
        <v>780</v>
      </c>
      <c r="C49" s="589">
        <v>77348496</v>
      </c>
      <c r="D49" s="591">
        <v>74878980</v>
      </c>
      <c r="E49" s="590">
        <f t="shared" si="4"/>
        <v>-2469516</v>
      </c>
    </row>
    <row r="50" spans="1:5" s="421" customFormat="1" x14ac:dyDescent="0.2">
      <c r="A50" s="588">
        <v>4</v>
      </c>
      <c r="B50" s="587" t="s">
        <v>115</v>
      </c>
      <c r="C50" s="589">
        <v>77348496</v>
      </c>
      <c r="D50" s="591">
        <v>74878980</v>
      </c>
      <c r="E50" s="590">
        <f t="shared" si="4"/>
        <v>-2469516</v>
      </c>
    </row>
    <row r="51" spans="1:5" s="421" customFormat="1" x14ac:dyDescent="0.2">
      <c r="A51" s="588">
        <v>5</v>
      </c>
      <c r="B51" s="587" t="s">
        <v>746</v>
      </c>
      <c r="C51" s="589">
        <v>0</v>
      </c>
      <c r="D51" s="591">
        <v>0</v>
      </c>
      <c r="E51" s="590">
        <f t="shared" si="4"/>
        <v>0</v>
      </c>
    </row>
    <row r="52" spans="1:5" s="421" customFormat="1" x14ac:dyDescent="0.2">
      <c r="A52" s="588">
        <v>6</v>
      </c>
      <c r="B52" s="587" t="s">
        <v>424</v>
      </c>
      <c r="C52" s="589">
        <v>1293910</v>
      </c>
      <c r="D52" s="591">
        <v>2502106</v>
      </c>
      <c r="E52" s="590">
        <f t="shared" si="4"/>
        <v>1208196</v>
      </c>
    </row>
    <row r="53" spans="1:5" s="421" customFormat="1" x14ac:dyDescent="0.2">
      <c r="A53" s="588">
        <v>7</v>
      </c>
      <c r="B53" s="587" t="s">
        <v>761</v>
      </c>
      <c r="C53" s="589">
        <v>1953495</v>
      </c>
      <c r="D53" s="591">
        <v>254829</v>
      </c>
      <c r="E53" s="590">
        <f t="shared" si="4"/>
        <v>-1698666</v>
      </c>
    </row>
    <row r="54" spans="1:5" s="421" customFormat="1" x14ac:dyDescent="0.2">
      <c r="A54" s="588"/>
      <c r="B54" s="592" t="s">
        <v>793</v>
      </c>
      <c r="C54" s="593">
        <f>SUM(C48+C49+C52)</f>
        <v>361860153</v>
      </c>
      <c r="D54" s="593">
        <f>SUM(D48+D49+D52)</f>
        <v>350199372</v>
      </c>
      <c r="E54" s="593">
        <f t="shared" si="4"/>
        <v>-11660781</v>
      </c>
    </row>
    <row r="55" spans="1:5" s="421" customFormat="1" x14ac:dyDescent="0.2">
      <c r="A55" s="588"/>
      <c r="B55" s="592" t="s">
        <v>466</v>
      </c>
      <c r="C55" s="593">
        <f>SUM(C47+C54)</f>
        <v>634127568</v>
      </c>
      <c r="D55" s="593">
        <f>SUM(D47+D54)</f>
        <v>634694712</v>
      </c>
      <c r="E55" s="593">
        <f t="shared" si="4"/>
        <v>567144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794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659</v>
      </c>
      <c r="C58" s="589">
        <v>169001396</v>
      </c>
      <c r="D58" s="589">
        <v>177880331</v>
      </c>
      <c r="E58" s="590">
        <f t="shared" ref="E58:E66" si="5">D58-C58</f>
        <v>8878935</v>
      </c>
    </row>
    <row r="59" spans="1:5" s="421" customFormat="1" x14ac:dyDescent="0.2">
      <c r="A59" s="588">
        <v>2</v>
      </c>
      <c r="B59" s="587" t="s">
        <v>638</v>
      </c>
      <c r="C59" s="589">
        <v>98708326</v>
      </c>
      <c r="D59" s="591">
        <v>87993210</v>
      </c>
      <c r="E59" s="590">
        <f t="shared" si="5"/>
        <v>-10715116</v>
      </c>
    </row>
    <row r="60" spans="1:5" s="421" customFormat="1" x14ac:dyDescent="0.2">
      <c r="A60" s="588">
        <v>3</v>
      </c>
      <c r="B60" s="587" t="s">
        <v>780</v>
      </c>
      <c r="C60" s="589">
        <f>C61+C62</f>
        <v>39715207</v>
      </c>
      <c r="D60" s="591">
        <f>D61+D62</f>
        <v>37297983</v>
      </c>
      <c r="E60" s="590">
        <f t="shared" si="5"/>
        <v>-2417224</v>
      </c>
    </row>
    <row r="61" spans="1:5" s="421" customFormat="1" x14ac:dyDescent="0.2">
      <c r="A61" s="588">
        <v>4</v>
      </c>
      <c r="B61" s="587" t="s">
        <v>115</v>
      </c>
      <c r="C61" s="589">
        <v>39715207</v>
      </c>
      <c r="D61" s="591">
        <v>37297983</v>
      </c>
      <c r="E61" s="590">
        <f t="shared" si="5"/>
        <v>-2417224</v>
      </c>
    </row>
    <row r="62" spans="1:5" s="421" customFormat="1" x14ac:dyDescent="0.2">
      <c r="A62" s="588">
        <v>5</v>
      </c>
      <c r="B62" s="587" t="s">
        <v>746</v>
      </c>
      <c r="C62" s="589">
        <v>0</v>
      </c>
      <c r="D62" s="591">
        <v>0</v>
      </c>
      <c r="E62" s="590">
        <f t="shared" si="5"/>
        <v>0</v>
      </c>
    </row>
    <row r="63" spans="1:5" s="421" customFormat="1" x14ac:dyDescent="0.2">
      <c r="A63" s="588">
        <v>6</v>
      </c>
      <c r="B63" s="587" t="s">
        <v>424</v>
      </c>
      <c r="C63" s="589">
        <v>1974865</v>
      </c>
      <c r="D63" s="591">
        <v>1697294</v>
      </c>
      <c r="E63" s="590">
        <f t="shared" si="5"/>
        <v>-277571</v>
      </c>
    </row>
    <row r="64" spans="1:5" s="421" customFormat="1" x14ac:dyDescent="0.2">
      <c r="A64" s="588">
        <v>7</v>
      </c>
      <c r="B64" s="587" t="s">
        <v>761</v>
      </c>
      <c r="C64" s="589">
        <v>4220376</v>
      </c>
      <c r="D64" s="591">
        <v>3868350</v>
      </c>
      <c r="E64" s="590">
        <f t="shared" si="5"/>
        <v>-352026</v>
      </c>
    </row>
    <row r="65" spans="1:5" s="421" customFormat="1" x14ac:dyDescent="0.2">
      <c r="A65" s="588"/>
      <c r="B65" s="592" t="s">
        <v>795</v>
      </c>
      <c r="C65" s="593">
        <f>SUM(C59+C60+C63)</f>
        <v>140398398</v>
      </c>
      <c r="D65" s="593">
        <f>SUM(D59+D60+D63)</f>
        <v>126988487</v>
      </c>
      <c r="E65" s="593">
        <f t="shared" si="5"/>
        <v>-13409911</v>
      </c>
    </row>
    <row r="66" spans="1:5" s="421" customFormat="1" x14ac:dyDescent="0.2">
      <c r="A66" s="588"/>
      <c r="B66" s="592" t="s">
        <v>468</v>
      </c>
      <c r="C66" s="593">
        <f>SUM(C58+C65)</f>
        <v>309399794</v>
      </c>
      <c r="D66" s="593">
        <f>SUM(D58+D65)</f>
        <v>304868818</v>
      </c>
      <c r="E66" s="593">
        <f t="shared" si="5"/>
        <v>-4530976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657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784</v>
      </c>
      <c r="C69" s="590">
        <f t="shared" ref="C69:D75" si="6">C47+C58</f>
        <v>441268811</v>
      </c>
      <c r="D69" s="590">
        <f t="shared" si="6"/>
        <v>462375671</v>
      </c>
      <c r="E69" s="590">
        <f t="shared" ref="E69:E77" si="7">D69-C69</f>
        <v>21106860</v>
      </c>
    </row>
    <row r="70" spans="1:5" s="421" customFormat="1" x14ac:dyDescent="0.2">
      <c r="A70" s="588">
        <v>2</v>
      </c>
      <c r="B70" s="587" t="s">
        <v>785</v>
      </c>
      <c r="C70" s="590">
        <f t="shared" si="6"/>
        <v>381926073</v>
      </c>
      <c r="D70" s="590">
        <f t="shared" si="6"/>
        <v>360811496</v>
      </c>
      <c r="E70" s="590">
        <f t="shared" si="7"/>
        <v>-21114577</v>
      </c>
    </row>
    <row r="71" spans="1:5" s="421" customFormat="1" x14ac:dyDescent="0.2">
      <c r="A71" s="588">
        <v>3</v>
      </c>
      <c r="B71" s="587" t="s">
        <v>786</v>
      </c>
      <c r="C71" s="590">
        <f t="shared" si="6"/>
        <v>117063703</v>
      </c>
      <c r="D71" s="590">
        <f t="shared" si="6"/>
        <v>112176963</v>
      </c>
      <c r="E71" s="590">
        <f t="shared" si="7"/>
        <v>-4886740</v>
      </c>
    </row>
    <row r="72" spans="1:5" s="421" customFormat="1" x14ac:dyDescent="0.2">
      <c r="A72" s="588">
        <v>4</v>
      </c>
      <c r="B72" s="587" t="s">
        <v>787</v>
      </c>
      <c r="C72" s="590">
        <f t="shared" si="6"/>
        <v>117063703</v>
      </c>
      <c r="D72" s="590">
        <f t="shared" si="6"/>
        <v>112176963</v>
      </c>
      <c r="E72" s="590">
        <f t="shared" si="7"/>
        <v>-4886740</v>
      </c>
    </row>
    <row r="73" spans="1:5" s="421" customFormat="1" x14ac:dyDescent="0.2">
      <c r="A73" s="588">
        <v>5</v>
      </c>
      <c r="B73" s="587" t="s">
        <v>788</v>
      </c>
      <c r="C73" s="590">
        <f t="shared" si="6"/>
        <v>0</v>
      </c>
      <c r="D73" s="590">
        <f t="shared" si="6"/>
        <v>0</v>
      </c>
      <c r="E73" s="590">
        <f t="shared" si="7"/>
        <v>0</v>
      </c>
    </row>
    <row r="74" spans="1:5" s="421" customFormat="1" x14ac:dyDescent="0.2">
      <c r="A74" s="588">
        <v>6</v>
      </c>
      <c r="B74" s="587" t="s">
        <v>789</v>
      </c>
      <c r="C74" s="590">
        <f t="shared" si="6"/>
        <v>3268775</v>
      </c>
      <c r="D74" s="590">
        <f t="shared" si="6"/>
        <v>4199400</v>
      </c>
      <c r="E74" s="590">
        <f t="shared" si="7"/>
        <v>930625</v>
      </c>
    </row>
    <row r="75" spans="1:5" s="421" customFormat="1" x14ac:dyDescent="0.2">
      <c r="A75" s="588">
        <v>7</v>
      </c>
      <c r="B75" s="587" t="s">
        <v>790</v>
      </c>
      <c r="C75" s="590">
        <f t="shared" si="6"/>
        <v>6173871</v>
      </c>
      <c r="D75" s="590">
        <f t="shared" si="6"/>
        <v>4123179</v>
      </c>
      <c r="E75" s="590">
        <f t="shared" si="7"/>
        <v>-2050692</v>
      </c>
    </row>
    <row r="76" spans="1:5" s="421" customFormat="1" x14ac:dyDescent="0.2">
      <c r="A76" s="588"/>
      <c r="B76" s="592" t="s">
        <v>796</v>
      </c>
      <c r="C76" s="593">
        <f>SUM(C70+C71+C74)</f>
        <v>502258551</v>
      </c>
      <c r="D76" s="593">
        <f>SUM(D70+D71+D74)</f>
        <v>477187859</v>
      </c>
      <c r="E76" s="593">
        <f t="shared" si="7"/>
        <v>-25070692</v>
      </c>
    </row>
    <row r="77" spans="1:5" s="421" customFormat="1" x14ac:dyDescent="0.2">
      <c r="A77" s="588"/>
      <c r="B77" s="592" t="s">
        <v>729</v>
      </c>
      <c r="C77" s="593">
        <f>SUM(C69+C76)</f>
        <v>943527362</v>
      </c>
      <c r="D77" s="593">
        <f>SUM(D69+D76)</f>
        <v>939563530</v>
      </c>
      <c r="E77" s="593">
        <f t="shared" si="7"/>
        <v>-3963832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797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798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659</v>
      </c>
      <c r="C83" s="599">
        <f t="shared" ref="C83:D89" si="8">IF(C$44=0,0,C14/C$44)</f>
        <v>0.21376208419807247</v>
      </c>
      <c r="D83" s="599">
        <f t="shared" si="8"/>
        <v>0.19392113342700235</v>
      </c>
      <c r="E83" s="599">
        <f t="shared" ref="E83:E91" si="9">D83-C83</f>
        <v>-1.9840950771070121E-2</v>
      </c>
    </row>
    <row r="84" spans="1:5" s="421" customFormat="1" x14ac:dyDescent="0.2">
      <c r="A84" s="588">
        <v>2</v>
      </c>
      <c r="B84" s="587" t="s">
        <v>638</v>
      </c>
      <c r="C84" s="599">
        <f t="shared" si="8"/>
        <v>0.32363146767644446</v>
      </c>
      <c r="D84" s="599">
        <f t="shared" si="8"/>
        <v>0.32733807787068298</v>
      </c>
      <c r="E84" s="599">
        <f t="shared" si="9"/>
        <v>3.7066101942385132E-3</v>
      </c>
    </row>
    <row r="85" spans="1:5" s="421" customFormat="1" x14ac:dyDescent="0.2">
      <c r="A85" s="588">
        <v>3</v>
      </c>
      <c r="B85" s="587" t="s">
        <v>780</v>
      </c>
      <c r="C85" s="599">
        <f t="shared" si="8"/>
        <v>0.1169920887033189</v>
      </c>
      <c r="D85" s="599">
        <f t="shared" si="8"/>
        <v>0.11792549856251802</v>
      </c>
      <c r="E85" s="599">
        <f t="shared" si="9"/>
        <v>9.3340985919912467E-4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0.1169920887033189</v>
      </c>
      <c r="D86" s="599">
        <f t="shared" si="8"/>
        <v>0.11792549856251802</v>
      </c>
      <c r="E86" s="599">
        <f t="shared" si="9"/>
        <v>9.3340985919912467E-4</v>
      </c>
    </row>
    <row r="87" spans="1:5" s="421" customFormat="1" x14ac:dyDescent="0.2">
      <c r="A87" s="588">
        <v>5</v>
      </c>
      <c r="B87" s="587" t="s">
        <v>746</v>
      </c>
      <c r="C87" s="599">
        <f t="shared" si="8"/>
        <v>0</v>
      </c>
      <c r="D87" s="599">
        <f t="shared" si="8"/>
        <v>0</v>
      </c>
      <c r="E87" s="599">
        <f t="shared" si="9"/>
        <v>0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3.1185362339871945E-3</v>
      </c>
      <c r="D88" s="599">
        <f t="shared" si="8"/>
        <v>3.0442312144075907E-3</v>
      </c>
      <c r="E88" s="599">
        <f t="shared" si="9"/>
        <v>-7.4305019579603768E-5</v>
      </c>
    </row>
    <row r="89" spans="1:5" s="421" customFormat="1" x14ac:dyDescent="0.2">
      <c r="A89" s="588">
        <v>7</v>
      </c>
      <c r="B89" s="587" t="s">
        <v>761</v>
      </c>
      <c r="C89" s="599">
        <f t="shared" si="8"/>
        <v>6.9299893460175984E-3</v>
      </c>
      <c r="D89" s="599">
        <f t="shared" si="8"/>
        <v>4.512994682524531E-3</v>
      </c>
      <c r="E89" s="599">
        <f t="shared" si="9"/>
        <v>-2.4169946634930673E-3</v>
      </c>
    </row>
    <row r="90" spans="1:5" s="421" customFormat="1" x14ac:dyDescent="0.2">
      <c r="A90" s="588"/>
      <c r="B90" s="592" t="s">
        <v>799</v>
      </c>
      <c r="C90" s="600">
        <f>SUM(C84+C85+C88)</f>
        <v>0.44374209261375053</v>
      </c>
      <c r="D90" s="600">
        <f>SUM(D84+D85+D88)</f>
        <v>0.44830780764760864</v>
      </c>
      <c r="E90" s="601">
        <f t="shared" si="9"/>
        <v>4.5657150338581087E-3</v>
      </c>
    </row>
    <row r="91" spans="1:5" s="421" customFormat="1" x14ac:dyDescent="0.2">
      <c r="A91" s="588"/>
      <c r="B91" s="592" t="s">
        <v>800</v>
      </c>
      <c r="C91" s="600">
        <f>SUM(C83+C90)</f>
        <v>0.65750417681182305</v>
      </c>
      <c r="D91" s="600">
        <f>SUM(D83+D90)</f>
        <v>0.64222894107461093</v>
      </c>
      <c r="E91" s="601">
        <f t="shared" si="9"/>
        <v>-1.5275235737212123E-2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801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659</v>
      </c>
      <c r="C95" s="599">
        <f t="shared" ref="C95:D101" si="10">IF(C$44=0,0,C25/C$44)</f>
        <v>0.15369855720737757</v>
      </c>
      <c r="D95" s="599">
        <f t="shared" si="10"/>
        <v>0.15717394897562981</v>
      </c>
      <c r="E95" s="599">
        <f t="shared" ref="E95:E103" si="11">D95-C95</f>
        <v>3.4753917682522339E-3</v>
      </c>
    </row>
    <row r="96" spans="1:5" s="421" customFormat="1" x14ac:dyDescent="0.2">
      <c r="A96" s="588">
        <v>2</v>
      </c>
      <c r="B96" s="587" t="s">
        <v>638</v>
      </c>
      <c r="C96" s="599">
        <f t="shared" si="10"/>
        <v>0.11991590840333227</v>
      </c>
      <c r="D96" s="599">
        <f t="shared" si="10"/>
        <v>0.12692545781186879</v>
      </c>
      <c r="E96" s="599">
        <f t="shared" si="11"/>
        <v>7.009549408536514E-3</v>
      </c>
    </row>
    <row r="97" spans="1:5" s="421" customFormat="1" x14ac:dyDescent="0.2">
      <c r="A97" s="588">
        <v>3</v>
      </c>
      <c r="B97" s="587" t="s">
        <v>780</v>
      </c>
      <c r="C97" s="599">
        <f t="shared" si="10"/>
        <v>6.7304146736653581E-2</v>
      </c>
      <c r="D97" s="599">
        <f t="shared" si="10"/>
        <v>7.1898420107677177E-2</v>
      </c>
      <c r="E97" s="599">
        <f t="shared" si="11"/>
        <v>4.5942733710235967E-3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6.7304146736653581E-2</v>
      </c>
      <c r="D98" s="599">
        <f t="shared" si="10"/>
        <v>7.1898420107677177E-2</v>
      </c>
      <c r="E98" s="599">
        <f t="shared" si="11"/>
        <v>4.5942733710235967E-3</v>
      </c>
    </row>
    <row r="99" spans="1:5" s="421" customFormat="1" x14ac:dyDescent="0.2">
      <c r="A99" s="588">
        <v>5</v>
      </c>
      <c r="B99" s="587" t="s">
        <v>746</v>
      </c>
      <c r="C99" s="599">
        <f t="shared" si="10"/>
        <v>0</v>
      </c>
      <c r="D99" s="599">
        <f t="shared" si="10"/>
        <v>0</v>
      </c>
      <c r="E99" s="599">
        <f t="shared" si="11"/>
        <v>0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1.5772108408135268E-3</v>
      </c>
      <c r="D100" s="599">
        <f t="shared" si="10"/>
        <v>1.7732320302132995E-3</v>
      </c>
      <c r="E100" s="599">
        <f t="shared" si="11"/>
        <v>1.9602118939977277E-4</v>
      </c>
    </row>
    <row r="101" spans="1:5" s="421" customFormat="1" x14ac:dyDescent="0.2">
      <c r="A101" s="588">
        <v>7</v>
      </c>
      <c r="B101" s="587" t="s">
        <v>761</v>
      </c>
      <c r="C101" s="599">
        <f t="shared" si="10"/>
        <v>1.4971707191195808E-2</v>
      </c>
      <c r="D101" s="599">
        <f t="shared" si="10"/>
        <v>1.5443816528291522E-2</v>
      </c>
      <c r="E101" s="599">
        <f t="shared" si="11"/>
        <v>4.7210933709571426E-4</v>
      </c>
    </row>
    <row r="102" spans="1:5" s="421" customFormat="1" x14ac:dyDescent="0.2">
      <c r="A102" s="588"/>
      <c r="B102" s="592" t="s">
        <v>802</v>
      </c>
      <c r="C102" s="600">
        <f>SUM(C96+C97+C100)</f>
        <v>0.18879726598079938</v>
      </c>
      <c r="D102" s="600">
        <f>SUM(D96+D97+D100)</f>
        <v>0.20059710994975927</v>
      </c>
      <c r="E102" s="601">
        <f t="shared" si="11"/>
        <v>1.1799843968959889E-2</v>
      </c>
    </row>
    <row r="103" spans="1:5" s="421" customFormat="1" x14ac:dyDescent="0.2">
      <c r="A103" s="588"/>
      <c r="B103" s="592" t="s">
        <v>803</v>
      </c>
      <c r="C103" s="600">
        <f>SUM(C95+C102)</f>
        <v>0.34249582318817695</v>
      </c>
      <c r="D103" s="600">
        <f>SUM(D95+D102)</f>
        <v>0.35777105892538907</v>
      </c>
      <c r="E103" s="601">
        <f t="shared" si="11"/>
        <v>1.5275235737212123E-2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804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805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659</v>
      </c>
      <c r="C109" s="599">
        <f t="shared" ref="C109:D115" si="12">IF(C$77=0,0,C47/C$77)</f>
        <v>0.28856334852109994</v>
      </c>
      <c r="D109" s="599">
        <f t="shared" si="12"/>
        <v>0.302795213858503</v>
      </c>
      <c r="E109" s="599">
        <f t="shared" ref="E109:E117" si="13">D109-C109</f>
        <v>1.423186533740306E-2</v>
      </c>
    </row>
    <row r="110" spans="1:5" s="421" customFormat="1" x14ac:dyDescent="0.2">
      <c r="A110" s="588">
        <v>2</v>
      </c>
      <c r="B110" s="587" t="s">
        <v>638</v>
      </c>
      <c r="C110" s="599">
        <f t="shared" si="12"/>
        <v>0.30016908720025015</v>
      </c>
      <c r="D110" s="599">
        <f t="shared" si="12"/>
        <v>0.2903670452172617</v>
      </c>
      <c r="E110" s="599">
        <f t="shared" si="13"/>
        <v>-9.802041982988452E-3</v>
      </c>
    </row>
    <row r="111" spans="1:5" s="421" customFormat="1" x14ac:dyDescent="0.2">
      <c r="A111" s="588">
        <v>3</v>
      </c>
      <c r="B111" s="587" t="s">
        <v>780</v>
      </c>
      <c r="C111" s="599">
        <f t="shared" si="12"/>
        <v>8.1978010511580685E-2</v>
      </c>
      <c r="D111" s="599">
        <f t="shared" si="12"/>
        <v>7.969549435363886E-2</v>
      </c>
      <c r="E111" s="599">
        <f t="shared" si="13"/>
        <v>-2.2825161579418246E-3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8.1978010511580685E-2</v>
      </c>
      <c r="D112" s="599">
        <f t="shared" si="12"/>
        <v>7.969549435363886E-2</v>
      </c>
      <c r="E112" s="599">
        <f t="shared" si="13"/>
        <v>-2.2825161579418246E-3</v>
      </c>
    </row>
    <row r="113" spans="1:5" s="421" customFormat="1" x14ac:dyDescent="0.2">
      <c r="A113" s="588">
        <v>5</v>
      </c>
      <c r="B113" s="587" t="s">
        <v>746</v>
      </c>
      <c r="C113" s="599">
        <f t="shared" si="12"/>
        <v>0</v>
      </c>
      <c r="D113" s="599">
        <f t="shared" si="12"/>
        <v>0</v>
      </c>
      <c r="E113" s="599">
        <f t="shared" si="13"/>
        <v>0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1.3713539766958024E-3</v>
      </c>
      <c r="D114" s="599">
        <f t="shared" si="12"/>
        <v>2.6630514277198479E-3</v>
      </c>
      <c r="E114" s="599">
        <f t="shared" si="13"/>
        <v>1.2916974510240454E-3</v>
      </c>
    </row>
    <row r="115" spans="1:5" s="421" customFormat="1" x14ac:dyDescent="0.2">
      <c r="A115" s="588">
        <v>7</v>
      </c>
      <c r="B115" s="587" t="s">
        <v>761</v>
      </c>
      <c r="C115" s="599">
        <f t="shared" si="12"/>
        <v>2.0704169043483447E-3</v>
      </c>
      <c r="D115" s="599">
        <f t="shared" si="12"/>
        <v>2.7122061666229211E-4</v>
      </c>
      <c r="E115" s="599">
        <f t="shared" si="13"/>
        <v>-1.7991962876860526E-3</v>
      </c>
    </row>
    <row r="116" spans="1:5" s="421" customFormat="1" x14ac:dyDescent="0.2">
      <c r="A116" s="588"/>
      <c r="B116" s="592" t="s">
        <v>799</v>
      </c>
      <c r="C116" s="600">
        <f>SUM(C110+C111+C114)</f>
        <v>0.38351845168852666</v>
      </c>
      <c r="D116" s="600">
        <f>SUM(D110+D111+D114)</f>
        <v>0.3727255909986204</v>
      </c>
      <c r="E116" s="601">
        <f t="shared" si="13"/>
        <v>-1.0792860689906258E-2</v>
      </c>
    </row>
    <row r="117" spans="1:5" s="421" customFormat="1" x14ac:dyDescent="0.2">
      <c r="A117" s="588"/>
      <c r="B117" s="592" t="s">
        <v>800</v>
      </c>
      <c r="C117" s="600">
        <f>SUM(C109+C116)</f>
        <v>0.6720818002096266</v>
      </c>
      <c r="D117" s="600">
        <f>SUM(D109+D116)</f>
        <v>0.6755208048571234</v>
      </c>
      <c r="E117" s="601">
        <f t="shared" si="13"/>
        <v>3.4390046474968017E-3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806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659</v>
      </c>
      <c r="C121" s="599">
        <f t="shared" ref="C121:D127" si="14">IF(C$77=0,0,C58/C$77)</f>
        <v>0.17911658188880378</v>
      </c>
      <c r="D121" s="599">
        <f t="shared" si="14"/>
        <v>0.18932230266536634</v>
      </c>
      <c r="E121" s="599">
        <f t="shared" ref="E121:E129" si="15">D121-C121</f>
        <v>1.0205720776562566E-2</v>
      </c>
    </row>
    <row r="122" spans="1:5" s="421" customFormat="1" x14ac:dyDescent="0.2">
      <c r="A122" s="588">
        <v>2</v>
      </c>
      <c r="B122" s="587" t="s">
        <v>638</v>
      </c>
      <c r="C122" s="599">
        <f t="shared" si="14"/>
        <v>0.10461628350741989</v>
      </c>
      <c r="D122" s="599">
        <f t="shared" si="14"/>
        <v>9.3653283881718993E-2</v>
      </c>
      <c r="E122" s="599">
        <f t="shared" si="15"/>
        <v>-1.0962999625700895E-2</v>
      </c>
    </row>
    <row r="123" spans="1:5" s="421" customFormat="1" x14ac:dyDescent="0.2">
      <c r="A123" s="588">
        <v>3</v>
      </c>
      <c r="B123" s="587" t="s">
        <v>780</v>
      </c>
      <c r="C123" s="599">
        <f t="shared" si="14"/>
        <v>4.2092268438103868E-2</v>
      </c>
      <c r="D123" s="599">
        <f t="shared" si="14"/>
        <v>3.9697137882735829E-2</v>
      </c>
      <c r="E123" s="599">
        <f t="shared" si="15"/>
        <v>-2.3951305553680385E-3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4.2092268438103868E-2</v>
      </c>
      <c r="D124" s="599">
        <f t="shared" si="14"/>
        <v>3.9697137882735829E-2</v>
      </c>
      <c r="E124" s="599">
        <f t="shared" si="15"/>
        <v>-2.3951305553680385E-3</v>
      </c>
    </row>
    <row r="125" spans="1:5" s="421" customFormat="1" x14ac:dyDescent="0.2">
      <c r="A125" s="588">
        <v>5</v>
      </c>
      <c r="B125" s="587" t="s">
        <v>746</v>
      </c>
      <c r="C125" s="599">
        <f t="shared" si="14"/>
        <v>0</v>
      </c>
      <c r="D125" s="599">
        <f t="shared" si="14"/>
        <v>0</v>
      </c>
      <c r="E125" s="599">
        <f t="shared" si="15"/>
        <v>0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2.0930659560459042E-3</v>
      </c>
      <c r="D126" s="599">
        <f t="shared" si="14"/>
        <v>1.8064707130554547E-3</v>
      </c>
      <c r="E126" s="599">
        <f t="shared" si="15"/>
        <v>-2.8659524299044954E-4</v>
      </c>
    </row>
    <row r="127" spans="1:5" s="421" customFormat="1" x14ac:dyDescent="0.2">
      <c r="A127" s="588">
        <v>7</v>
      </c>
      <c r="B127" s="587" t="s">
        <v>761</v>
      </c>
      <c r="C127" s="599">
        <f t="shared" si="14"/>
        <v>4.4729767995853841E-3</v>
      </c>
      <c r="D127" s="599">
        <f t="shared" si="14"/>
        <v>4.1171776856856078E-3</v>
      </c>
      <c r="E127" s="599">
        <f t="shared" si="15"/>
        <v>-3.5579911389977629E-4</v>
      </c>
    </row>
    <row r="128" spans="1:5" s="421" customFormat="1" x14ac:dyDescent="0.2">
      <c r="A128" s="588"/>
      <c r="B128" s="592" t="s">
        <v>802</v>
      </c>
      <c r="C128" s="600">
        <f>SUM(C122+C123+C126)</f>
        <v>0.14880161790156968</v>
      </c>
      <c r="D128" s="600">
        <f>SUM(D122+D123+D126)</f>
        <v>0.13515689247751028</v>
      </c>
      <c r="E128" s="601">
        <f t="shared" si="15"/>
        <v>-1.3644725424059395E-2</v>
      </c>
    </row>
    <row r="129" spans="1:5" s="421" customFormat="1" x14ac:dyDescent="0.2">
      <c r="A129" s="588"/>
      <c r="B129" s="592" t="s">
        <v>803</v>
      </c>
      <c r="C129" s="600">
        <f>SUM(C121+C128)</f>
        <v>0.32791819979037345</v>
      </c>
      <c r="D129" s="600">
        <f>SUM(D121+D128)</f>
        <v>0.3244791951428766</v>
      </c>
      <c r="E129" s="601">
        <f t="shared" si="15"/>
        <v>-3.4390046474968572E-3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807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808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809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659</v>
      </c>
      <c r="C137" s="606">
        <v>15151</v>
      </c>
      <c r="D137" s="606">
        <v>14784</v>
      </c>
      <c r="E137" s="607">
        <f t="shared" ref="E137:E145" si="16">D137-C137</f>
        <v>-367</v>
      </c>
    </row>
    <row r="138" spans="1:5" s="421" customFormat="1" x14ac:dyDescent="0.2">
      <c r="A138" s="588">
        <v>2</v>
      </c>
      <c r="B138" s="587" t="s">
        <v>638</v>
      </c>
      <c r="C138" s="606">
        <v>16556</v>
      </c>
      <c r="D138" s="606">
        <v>17247</v>
      </c>
      <c r="E138" s="607">
        <f t="shared" si="16"/>
        <v>691</v>
      </c>
    </row>
    <row r="139" spans="1:5" s="421" customFormat="1" x14ac:dyDescent="0.2">
      <c r="A139" s="588">
        <v>3</v>
      </c>
      <c r="B139" s="587" t="s">
        <v>780</v>
      </c>
      <c r="C139" s="606">
        <f>C140+C141</f>
        <v>9311</v>
      </c>
      <c r="D139" s="606">
        <f>D140+D141</f>
        <v>9578</v>
      </c>
      <c r="E139" s="607">
        <f t="shared" si="16"/>
        <v>267</v>
      </c>
    </row>
    <row r="140" spans="1:5" s="421" customFormat="1" x14ac:dyDescent="0.2">
      <c r="A140" s="588">
        <v>4</v>
      </c>
      <c r="B140" s="587" t="s">
        <v>115</v>
      </c>
      <c r="C140" s="606">
        <v>9311</v>
      </c>
      <c r="D140" s="606">
        <v>9578</v>
      </c>
      <c r="E140" s="607">
        <f t="shared" si="16"/>
        <v>267</v>
      </c>
    </row>
    <row r="141" spans="1:5" s="421" customFormat="1" x14ac:dyDescent="0.2">
      <c r="A141" s="588">
        <v>5</v>
      </c>
      <c r="B141" s="587" t="s">
        <v>746</v>
      </c>
      <c r="C141" s="606">
        <v>0</v>
      </c>
      <c r="D141" s="606">
        <v>0</v>
      </c>
      <c r="E141" s="607">
        <f t="shared" si="16"/>
        <v>0</v>
      </c>
    </row>
    <row r="142" spans="1:5" s="421" customFormat="1" x14ac:dyDescent="0.2">
      <c r="A142" s="588">
        <v>6</v>
      </c>
      <c r="B142" s="587" t="s">
        <v>424</v>
      </c>
      <c r="C142" s="606">
        <v>233</v>
      </c>
      <c r="D142" s="606">
        <v>200</v>
      </c>
      <c r="E142" s="607">
        <f t="shared" si="16"/>
        <v>-33</v>
      </c>
    </row>
    <row r="143" spans="1:5" s="421" customFormat="1" x14ac:dyDescent="0.2">
      <c r="A143" s="588">
        <v>7</v>
      </c>
      <c r="B143" s="587" t="s">
        <v>761</v>
      </c>
      <c r="C143" s="606">
        <v>453</v>
      </c>
      <c r="D143" s="606">
        <v>357</v>
      </c>
      <c r="E143" s="607">
        <f t="shared" si="16"/>
        <v>-96</v>
      </c>
    </row>
    <row r="144" spans="1:5" s="421" customFormat="1" x14ac:dyDescent="0.2">
      <c r="A144" s="588"/>
      <c r="B144" s="592" t="s">
        <v>810</v>
      </c>
      <c r="C144" s="608">
        <f>SUM(C138+C139+C142)</f>
        <v>26100</v>
      </c>
      <c r="D144" s="608">
        <f>SUM(D138+D139+D142)</f>
        <v>27025</v>
      </c>
      <c r="E144" s="609">
        <f t="shared" si="16"/>
        <v>925</v>
      </c>
    </row>
    <row r="145" spans="1:5" s="421" customFormat="1" x14ac:dyDescent="0.2">
      <c r="A145" s="588"/>
      <c r="B145" s="592" t="s">
        <v>138</v>
      </c>
      <c r="C145" s="608">
        <f>SUM(C137+C144)</f>
        <v>41251</v>
      </c>
      <c r="D145" s="608">
        <f>SUM(D137+D144)</f>
        <v>41809</v>
      </c>
      <c r="E145" s="609">
        <f t="shared" si="16"/>
        <v>558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659</v>
      </c>
      <c r="C149" s="610">
        <v>70824</v>
      </c>
      <c r="D149" s="610">
        <v>68328</v>
      </c>
      <c r="E149" s="607">
        <f t="shared" ref="E149:E157" si="17">D149-C149</f>
        <v>-2496</v>
      </c>
    </row>
    <row r="150" spans="1:5" s="421" customFormat="1" x14ac:dyDescent="0.2">
      <c r="A150" s="588">
        <v>2</v>
      </c>
      <c r="B150" s="587" t="s">
        <v>638</v>
      </c>
      <c r="C150" s="610">
        <v>110148</v>
      </c>
      <c r="D150" s="610">
        <v>112217</v>
      </c>
      <c r="E150" s="607">
        <f t="shared" si="17"/>
        <v>2069</v>
      </c>
    </row>
    <row r="151" spans="1:5" s="421" customFormat="1" x14ac:dyDescent="0.2">
      <c r="A151" s="588">
        <v>3</v>
      </c>
      <c r="B151" s="587" t="s">
        <v>780</v>
      </c>
      <c r="C151" s="610">
        <f>C152+C153</f>
        <v>50907</v>
      </c>
      <c r="D151" s="610">
        <f>D152+D153</f>
        <v>53180</v>
      </c>
      <c r="E151" s="607">
        <f t="shared" si="17"/>
        <v>2273</v>
      </c>
    </row>
    <row r="152" spans="1:5" s="421" customFormat="1" x14ac:dyDescent="0.2">
      <c r="A152" s="588">
        <v>4</v>
      </c>
      <c r="B152" s="587" t="s">
        <v>115</v>
      </c>
      <c r="C152" s="610">
        <v>50907</v>
      </c>
      <c r="D152" s="610">
        <v>53180</v>
      </c>
      <c r="E152" s="607">
        <f t="shared" si="17"/>
        <v>2273</v>
      </c>
    </row>
    <row r="153" spans="1:5" s="421" customFormat="1" x14ac:dyDescent="0.2">
      <c r="A153" s="588">
        <v>5</v>
      </c>
      <c r="B153" s="587" t="s">
        <v>746</v>
      </c>
      <c r="C153" s="611">
        <v>0</v>
      </c>
      <c r="D153" s="610">
        <v>0</v>
      </c>
      <c r="E153" s="607">
        <f t="shared" si="17"/>
        <v>0</v>
      </c>
    </row>
    <row r="154" spans="1:5" s="421" customFormat="1" x14ac:dyDescent="0.2">
      <c r="A154" s="588">
        <v>6</v>
      </c>
      <c r="B154" s="587" t="s">
        <v>424</v>
      </c>
      <c r="C154" s="610">
        <v>1453</v>
      </c>
      <c r="D154" s="610">
        <v>1287</v>
      </c>
      <c r="E154" s="607">
        <f t="shared" si="17"/>
        <v>-166</v>
      </c>
    </row>
    <row r="155" spans="1:5" s="421" customFormat="1" x14ac:dyDescent="0.2">
      <c r="A155" s="588">
        <v>7</v>
      </c>
      <c r="B155" s="587" t="s">
        <v>761</v>
      </c>
      <c r="C155" s="610">
        <v>2477</v>
      </c>
      <c r="D155" s="610">
        <v>1576</v>
      </c>
      <c r="E155" s="607">
        <f t="shared" si="17"/>
        <v>-901</v>
      </c>
    </row>
    <row r="156" spans="1:5" s="421" customFormat="1" x14ac:dyDescent="0.2">
      <c r="A156" s="588"/>
      <c r="B156" s="592" t="s">
        <v>811</v>
      </c>
      <c r="C156" s="608">
        <f>SUM(C150+C151+C154)</f>
        <v>162508</v>
      </c>
      <c r="D156" s="608">
        <f>SUM(D150+D151+D154)</f>
        <v>166684</v>
      </c>
      <c r="E156" s="609">
        <f t="shared" si="17"/>
        <v>4176</v>
      </c>
    </row>
    <row r="157" spans="1:5" s="421" customFormat="1" x14ac:dyDescent="0.2">
      <c r="A157" s="588"/>
      <c r="B157" s="592" t="s">
        <v>140</v>
      </c>
      <c r="C157" s="608">
        <f>SUM(C149+C156)</f>
        <v>233332</v>
      </c>
      <c r="D157" s="608">
        <f>SUM(D149+D156)</f>
        <v>235012</v>
      </c>
      <c r="E157" s="609">
        <f t="shared" si="17"/>
        <v>1680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812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659</v>
      </c>
      <c r="C161" s="612">
        <f t="shared" ref="C161:D169" si="18">IF(C137=0,0,C149/C137)</f>
        <v>4.6745429344597715</v>
      </c>
      <c r="D161" s="612">
        <f t="shared" si="18"/>
        <v>4.6217532467532472</v>
      </c>
      <c r="E161" s="613">
        <f t="shared" ref="E161:E169" si="19">D161-C161</f>
        <v>-5.2789687706524369E-2</v>
      </c>
    </row>
    <row r="162" spans="1:5" s="421" customFormat="1" x14ac:dyDescent="0.2">
      <c r="A162" s="588">
        <v>2</v>
      </c>
      <c r="B162" s="587" t="s">
        <v>638</v>
      </c>
      <c r="C162" s="612">
        <f t="shared" si="18"/>
        <v>6.6530562937907707</v>
      </c>
      <c r="D162" s="612">
        <f t="shared" si="18"/>
        <v>6.506464892445063</v>
      </c>
      <c r="E162" s="613">
        <f t="shared" si="19"/>
        <v>-0.14659140134570769</v>
      </c>
    </row>
    <row r="163" spans="1:5" s="421" customFormat="1" x14ac:dyDescent="0.2">
      <c r="A163" s="588">
        <v>3</v>
      </c>
      <c r="B163" s="587" t="s">
        <v>780</v>
      </c>
      <c r="C163" s="612">
        <f t="shared" si="18"/>
        <v>5.4674041456341964</v>
      </c>
      <c r="D163" s="612">
        <f t="shared" si="18"/>
        <v>5.5523073710586761</v>
      </c>
      <c r="E163" s="613">
        <f t="shared" si="19"/>
        <v>8.49032254244797E-2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5.4674041456341964</v>
      </c>
      <c r="D164" s="612">
        <f t="shared" si="18"/>
        <v>5.5523073710586761</v>
      </c>
      <c r="E164" s="613">
        <f t="shared" si="19"/>
        <v>8.49032254244797E-2</v>
      </c>
    </row>
    <row r="165" spans="1:5" s="421" customFormat="1" x14ac:dyDescent="0.2">
      <c r="A165" s="588">
        <v>5</v>
      </c>
      <c r="B165" s="587" t="s">
        <v>746</v>
      </c>
      <c r="C165" s="612">
        <f t="shared" si="18"/>
        <v>0</v>
      </c>
      <c r="D165" s="612">
        <f t="shared" si="18"/>
        <v>0</v>
      </c>
      <c r="E165" s="613">
        <f t="shared" si="19"/>
        <v>0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6.2360515021459229</v>
      </c>
      <c r="D166" s="612">
        <f t="shared" si="18"/>
        <v>6.4349999999999996</v>
      </c>
      <c r="E166" s="613">
        <f t="shared" si="19"/>
        <v>0.19894849785407676</v>
      </c>
    </row>
    <row r="167" spans="1:5" s="421" customFormat="1" x14ac:dyDescent="0.2">
      <c r="A167" s="588">
        <v>7</v>
      </c>
      <c r="B167" s="587" t="s">
        <v>761</v>
      </c>
      <c r="C167" s="612">
        <f t="shared" si="18"/>
        <v>5.4679911699779247</v>
      </c>
      <c r="D167" s="612">
        <f t="shared" si="18"/>
        <v>4.4145658263305325</v>
      </c>
      <c r="E167" s="613">
        <f t="shared" si="19"/>
        <v>-1.0534253436473922</v>
      </c>
    </row>
    <row r="168" spans="1:5" s="421" customFormat="1" x14ac:dyDescent="0.2">
      <c r="A168" s="588"/>
      <c r="B168" s="592" t="s">
        <v>813</v>
      </c>
      <c r="C168" s="614">
        <f t="shared" si="18"/>
        <v>6.2263601532567048</v>
      </c>
      <c r="D168" s="614">
        <f t="shared" si="18"/>
        <v>6.1677705827937093</v>
      </c>
      <c r="E168" s="615">
        <f t="shared" si="19"/>
        <v>-5.8589570462995511E-2</v>
      </c>
    </row>
    <row r="169" spans="1:5" s="421" customFormat="1" x14ac:dyDescent="0.2">
      <c r="A169" s="588"/>
      <c r="B169" s="592" t="s">
        <v>747</v>
      </c>
      <c r="C169" s="614">
        <f t="shared" si="18"/>
        <v>5.6563962085767621</v>
      </c>
      <c r="D169" s="614">
        <f t="shared" si="18"/>
        <v>5.6210863689636206</v>
      </c>
      <c r="E169" s="615">
        <f t="shared" si="19"/>
        <v>-3.5309839613141492E-2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814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659</v>
      </c>
      <c r="C173" s="617">
        <f t="shared" ref="C173:D181" si="20">IF(C137=0,0,C203/C137)</f>
        <v>1.4435</v>
      </c>
      <c r="D173" s="617">
        <f t="shared" si="20"/>
        <v>1.45099</v>
      </c>
      <c r="E173" s="618">
        <f t="shared" ref="E173:E181" si="21">D173-C173</f>
        <v>7.4899999999999967E-3</v>
      </c>
    </row>
    <row r="174" spans="1:5" s="421" customFormat="1" x14ac:dyDescent="0.2">
      <c r="A174" s="588">
        <v>2</v>
      </c>
      <c r="B174" s="587" t="s">
        <v>638</v>
      </c>
      <c r="C174" s="617">
        <f t="shared" si="20"/>
        <v>1.8946000000000001</v>
      </c>
      <c r="D174" s="617">
        <f t="shared" si="20"/>
        <v>1.8692200000000001</v>
      </c>
      <c r="E174" s="618">
        <f t="shared" si="21"/>
        <v>-2.5379999999999958E-2</v>
      </c>
    </row>
    <row r="175" spans="1:5" s="421" customFormat="1" x14ac:dyDescent="0.2">
      <c r="A175" s="588">
        <v>3</v>
      </c>
      <c r="B175" s="587" t="s">
        <v>780</v>
      </c>
      <c r="C175" s="617">
        <f t="shared" si="20"/>
        <v>1.2188000000000001</v>
      </c>
      <c r="D175" s="617">
        <f t="shared" si="20"/>
        <v>1.23159</v>
      </c>
      <c r="E175" s="618">
        <f t="shared" si="21"/>
        <v>1.2789999999999857E-2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1.2188000000000001</v>
      </c>
      <c r="D176" s="617">
        <f t="shared" si="20"/>
        <v>1.23159</v>
      </c>
      <c r="E176" s="618">
        <f t="shared" si="21"/>
        <v>1.2789999999999857E-2</v>
      </c>
    </row>
    <row r="177" spans="1:5" s="421" customFormat="1" x14ac:dyDescent="0.2">
      <c r="A177" s="588">
        <v>5</v>
      </c>
      <c r="B177" s="587" t="s">
        <v>746</v>
      </c>
      <c r="C177" s="617">
        <f t="shared" si="20"/>
        <v>0</v>
      </c>
      <c r="D177" s="617">
        <f t="shared" si="20"/>
        <v>0</v>
      </c>
      <c r="E177" s="618">
        <f t="shared" si="21"/>
        <v>0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1.0606</v>
      </c>
      <c r="D178" s="617">
        <f t="shared" si="20"/>
        <v>1.1076299999999999</v>
      </c>
      <c r="E178" s="618">
        <f t="shared" si="21"/>
        <v>4.7029999999999905E-2</v>
      </c>
    </row>
    <row r="179" spans="1:5" s="421" customFormat="1" x14ac:dyDescent="0.2">
      <c r="A179" s="588">
        <v>7</v>
      </c>
      <c r="B179" s="587" t="s">
        <v>761</v>
      </c>
      <c r="C179" s="617">
        <f t="shared" si="20"/>
        <v>1.3722000000000001</v>
      </c>
      <c r="D179" s="617">
        <f t="shared" si="20"/>
        <v>1.3452500000000001</v>
      </c>
      <c r="E179" s="618">
        <f t="shared" si="21"/>
        <v>-2.6950000000000029E-2</v>
      </c>
    </row>
    <row r="180" spans="1:5" s="421" customFormat="1" x14ac:dyDescent="0.2">
      <c r="A180" s="588"/>
      <c r="B180" s="592" t="s">
        <v>815</v>
      </c>
      <c r="C180" s="619">
        <f t="shared" si="20"/>
        <v>1.646067593869732</v>
      </c>
      <c r="D180" s="619">
        <f t="shared" si="20"/>
        <v>1.6375997172987973</v>
      </c>
      <c r="E180" s="620">
        <f t="shared" si="21"/>
        <v>-8.4678765709347292E-3</v>
      </c>
    </row>
    <row r="181" spans="1:5" s="421" customFormat="1" x14ac:dyDescent="0.2">
      <c r="A181" s="588"/>
      <c r="B181" s="592" t="s">
        <v>726</v>
      </c>
      <c r="C181" s="619">
        <f t="shared" si="20"/>
        <v>1.5716669341349301</v>
      </c>
      <c r="D181" s="619">
        <f t="shared" si="20"/>
        <v>1.571613014422732</v>
      </c>
      <c r="E181" s="620">
        <f t="shared" si="21"/>
        <v>-5.3919712198036152E-5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816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817</v>
      </c>
      <c r="C185" s="589">
        <v>755770258</v>
      </c>
      <c r="D185" s="589">
        <v>774051584</v>
      </c>
      <c r="E185" s="590">
        <f>D185-C185</f>
        <v>18281326</v>
      </c>
    </row>
    <row r="186" spans="1:5" s="421" customFormat="1" ht="25.5" x14ac:dyDescent="0.2">
      <c r="A186" s="588">
        <v>2</v>
      </c>
      <c r="B186" s="587" t="s">
        <v>818</v>
      </c>
      <c r="C186" s="589">
        <v>414620694</v>
      </c>
      <c r="D186" s="589">
        <v>437029600</v>
      </c>
      <c r="E186" s="590">
        <f>D186-C186</f>
        <v>22408906</v>
      </c>
    </row>
    <row r="187" spans="1:5" s="421" customFormat="1" x14ac:dyDescent="0.2">
      <c r="A187" s="588"/>
      <c r="B187" s="587" t="s">
        <v>671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750</v>
      </c>
      <c r="C188" s="622">
        <f>+C185-C186</f>
        <v>341149564</v>
      </c>
      <c r="D188" s="622">
        <f>+D185-D186</f>
        <v>337021984</v>
      </c>
      <c r="E188" s="590">
        <f t="shared" ref="E188:E197" si="22">D188-C188</f>
        <v>-4127580</v>
      </c>
    </row>
    <row r="189" spans="1:5" s="421" customFormat="1" x14ac:dyDescent="0.2">
      <c r="A189" s="588">
        <v>4</v>
      </c>
      <c r="B189" s="587" t="s">
        <v>673</v>
      </c>
      <c r="C189" s="623">
        <f>IF(C185=0,0,+C188/C185)</f>
        <v>0.45139321161272794</v>
      </c>
      <c r="D189" s="623">
        <f>IF(D185=0,0,+D188/D185)</f>
        <v>0.43539990223700648</v>
      </c>
      <c r="E189" s="599">
        <f t="shared" si="22"/>
        <v>-1.5993309375721465E-2</v>
      </c>
    </row>
    <row r="190" spans="1:5" s="421" customFormat="1" x14ac:dyDescent="0.2">
      <c r="A190" s="588">
        <v>5</v>
      </c>
      <c r="B190" s="587" t="s">
        <v>765</v>
      </c>
      <c r="C190" s="589">
        <v>25971013</v>
      </c>
      <c r="D190" s="589">
        <v>30498596</v>
      </c>
      <c r="E190" s="622">
        <f t="shared" si="22"/>
        <v>4527583</v>
      </c>
    </row>
    <row r="191" spans="1:5" s="421" customFormat="1" x14ac:dyDescent="0.2">
      <c r="A191" s="588">
        <v>6</v>
      </c>
      <c r="B191" s="587" t="s">
        <v>751</v>
      </c>
      <c r="C191" s="589">
        <v>14687365</v>
      </c>
      <c r="D191" s="589">
        <v>16324509</v>
      </c>
      <c r="E191" s="622">
        <f t="shared" si="22"/>
        <v>1637144</v>
      </c>
    </row>
    <row r="192" spans="1:5" ht="29.25" x14ac:dyDescent="0.2">
      <c r="A192" s="588">
        <v>7</v>
      </c>
      <c r="B192" s="624" t="s">
        <v>819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820</v>
      </c>
      <c r="C193" s="589">
        <v>23839114</v>
      </c>
      <c r="D193" s="589">
        <v>26543780</v>
      </c>
      <c r="E193" s="622">
        <f t="shared" si="22"/>
        <v>2704666</v>
      </c>
    </row>
    <row r="194" spans="1:5" s="421" customFormat="1" x14ac:dyDescent="0.2">
      <c r="A194" s="588">
        <v>9</v>
      </c>
      <c r="B194" s="587" t="s">
        <v>821</v>
      </c>
      <c r="C194" s="589">
        <v>22645965</v>
      </c>
      <c r="D194" s="589">
        <v>17467613</v>
      </c>
      <c r="E194" s="622">
        <f t="shared" si="22"/>
        <v>-5178352</v>
      </c>
    </row>
    <row r="195" spans="1:5" s="421" customFormat="1" x14ac:dyDescent="0.2">
      <c r="A195" s="588">
        <v>10</v>
      </c>
      <c r="B195" s="587" t="s">
        <v>822</v>
      </c>
      <c r="C195" s="589">
        <f>+C193+C194</f>
        <v>46485079</v>
      </c>
      <c r="D195" s="589">
        <f>+D193+D194</f>
        <v>44011393</v>
      </c>
      <c r="E195" s="625">
        <f t="shared" si="22"/>
        <v>-2473686</v>
      </c>
    </row>
    <row r="196" spans="1:5" s="421" customFormat="1" x14ac:dyDescent="0.2">
      <c r="A196" s="588">
        <v>11</v>
      </c>
      <c r="B196" s="587" t="s">
        <v>823</v>
      </c>
      <c r="C196" s="589">
        <v>164600638</v>
      </c>
      <c r="D196" s="589">
        <v>159284016</v>
      </c>
      <c r="E196" s="622">
        <f t="shared" si="22"/>
        <v>-5316622</v>
      </c>
    </row>
    <row r="197" spans="1:5" s="421" customFormat="1" x14ac:dyDescent="0.2">
      <c r="A197" s="588">
        <v>12</v>
      </c>
      <c r="B197" s="587" t="s">
        <v>713</v>
      </c>
      <c r="C197" s="589">
        <v>1046001610</v>
      </c>
      <c r="D197" s="589">
        <v>1075242367</v>
      </c>
      <c r="E197" s="622">
        <f t="shared" si="22"/>
        <v>29240757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824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825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659</v>
      </c>
      <c r="C203" s="629">
        <v>21870.468499999999</v>
      </c>
      <c r="D203" s="629">
        <v>21451.436160000001</v>
      </c>
      <c r="E203" s="630">
        <f t="shared" ref="E203:E211" si="23">D203-C203</f>
        <v>-419.03233999999793</v>
      </c>
    </row>
    <row r="204" spans="1:5" s="421" customFormat="1" x14ac:dyDescent="0.2">
      <c r="A204" s="588">
        <v>2</v>
      </c>
      <c r="B204" s="587" t="s">
        <v>638</v>
      </c>
      <c r="C204" s="629">
        <v>31366.997600000002</v>
      </c>
      <c r="D204" s="629">
        <v>32238.43734</v>
      </c>
      <c r="E204" s="630">
        <f t="shared" si="23"/>
        <v>871.43973999999798</v>
      </c>
    </row>
    <row r="205" spans="1:5" s="421" customFormat="1" x14ac:dyDescent="0.2">
      <c r="A205" s="588">
        <v>3</v>
      </c>
      <c r="B205" s="587" t="s">
        <v>780</v>
      </c>
      <c r="C205" s="629">
        <f>C206+C207</f>
        <v>11348.246800000001</v>
      </c>
      <c r="D205" s="629">
        <f>D206+D207</f>
        <v>11796.169019999999</v>
      </c>
      <c r="E205" s="630">
        <f t="shared" si="23"/>
        <v>447.92221999999856</v>
      </c>
    </row>
    <row r="206" spans="1:5" s="421" customFormat="1" x14ac:dyDescent="0.2">
      <c r="A206" s="588">
        <v>4</v>
      </c>
      <c r="B206" s="587" t="s">
        <v>115</v>
      </c>
      <c r="C206" s="629">
        <v>11348.246800000001</v>
      </c>
      <c r="D206" s="629">
        <v>11796.169019999999</v>
      </c>
      <c r="E206" s="630">
        <f t="shared" si="23"/>
        <v>447.92221999999856</v>
      </c>
    </row>
    <row r="207" spans="1:5" s="421" customFormat="1" x14ac:dyDescent="0.2">
      <c r="A207" s="588">
        <v>5</v>
      </c>
      <c r="B207" s="587" t="s">
        <v>746</v>
      </c>
      <c r="C207" s="629">
        <v>0</v>
      </c>
      <c r="D207" s="629">
        <v>0</v>
      </c>
      <c r="E207" s="630">
        <f t="shared" si="23"/>
        <v>0</v>
      </c>
    </row>
    <row r="208" spans="1:5" s="421" customFormat="1" x14ac:dyDescent="0.2">
      <c r="A208" s="588">
        <v>6</v>
      </c>
      <c r="B208" s="587" t="s">
        <v>424</v>
      </c>
      <c r="C208" s="629">
        <v>247.1198</v>
      </c>
      <c r="D208" s="629">
        <v>221.52599999999998</v>
      </c>
      <c r="E208" s="630">
        <f t="shared" si="23"/>
        <v>-25.593800000000016</v>
      </c>
    </row>
    <row r="209" spans="1:5" s="421" customFormat="1" x14ac:dyDescent="0.2">
      <c r="A209" s="588">
        <v>7</v>
      </c>
      <c r="B209" s="587" t="s">
        <v>761</v>
      </c>
      <c r="C209" s="629">
        <v>621.60660000000007</v>
      </c>
      <c r="D209" s="629">
        <v>480.25425000000001</v>
      </c>
      <c r="E209" s="630">
        <f t="shared" si="23"/>
        <v>-141.35235000000006</v>
      </c>
    </row>
    <row r="210" spans="1:5" s="421" customFormat="1" x14ac:dyDescent="0.2">
      <c r="A210" s="588"/>
      <c r="B210" s="592" t="s">
        <v>826</v>
      </c>
      <c r="C210" s="631">
        <f>C204+C205+C208</f>
        <v>42962.364200000004</v>
      </c>
      <c r="D210" s="631">
        <f>D204+D205+D208</f>
        <v>44256.132359999996</v>
      </c>
      <c r="E210" s="632">
        <f t="shared" si="23"/>
        <v>1293.7681599999923</v>
      </c>
    </row>
    <row r="211" spans="1:5" s="421" customFormat="1" x14ac:dyDescent="0.2">
      <c r="A211" s="588"/>
      <c r="B211" s="592" t="s">
        <v>727</v>
      </c>
      <c r="C211" s="631">
        <f>C210+C203</f>
        <v>64832.832699999999</v>
      </c>
      <c r="D211" s="631">
        <f>D210+D203</f>
        <v>65707.568520000001</v>
      </c>
      <c r="E211" s="632">
        <f t="shared" si="23"/>
        <v>874.7358200000017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827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659</v>
      </c>
      <c r="C215" s="633">
        <f>IF(C14*C137=0,0,C25/C14*C137)</f>
        <v>10893.8254835278</v>
      </c>
      <c r="D215" s="633">
        <f>IF(D14*D137=0,0,D25/D14*D137)</f>
        <v>11982.498351735374</v>
      </c>
      <c r="E215" s="633">
        <f t="shared" ref="E215:E223" si="24">D215-C215</f>
        <v>1088.6728682075736</v>
      </c>
    </row>
    <row r="216" spans="1:5" s="421" customFormat="1" x14ac:dyDescent="0.2">
      <c r="A216" s="588">
        <v>2</v>
      </c>
      <c r="B216" s="587" t="s">
        <v>638</v>
      </c>
      <c r="C216" s="633">
        <f>IF(C15*C138=0,0,C26/C15*C138)</f>
        <v>6134.5325711974056</v>
      </c>
      <c r="D216" s="633">
        <f>IF(D15*D138=0,0,D26/D15*D138)</f>
        <v>6687.5304734517085</v>
      </c>
      <c r="E216" s="633">
        <f t="shared" si="24"/>
        <v>552.99790225430297</v>
      </c>
    </row>
    <row r="217" spans="1:5" s="421" customFormat="1" x14ac:dyDescent="0.2">
      <c r="A217" s="588">
        <v>3</v>
      </c>
      <c r="B217" s="587" t="s">
        <v>780</v>
      </c>
      <c r="C217" s="633">
        <f>C218+C219</f>
        <v>5356.5067280246267</v>
      </c>
      <c r="D217" s="633">
        <f>D218+D219</f>
        <v>5839.6451673786969</v>
      </c>
      <c r="E217" s="633">
        <f t="shared" si="24"/>
        <v>483.13843935407021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5356.5067280246267</v>
      </c>
      <c r="D218" s="633">
        <f t="shared" si="25"/>
        <v>5839.6451673786969</v>
      </c>
      <c r="E218" s="633">
        <f t="shared" si="24"/>
        <v>483.13843935407021</v>
      </c>
    </row>
    <row r="219" spans="1:5" s="421" customFormat="1" x14ac:dyDescent="0.2">
      <c r="A219" s="588">
        <v>5</v>
      </c>
      <c r="B219" s="587" t="s">
        <v>746</v>
      </c>
      <c r="C219" s="633">
        <f t="shared" si="25"/>
        <v>0</v>
      </c>
      <c r="D219" s="633">
        <f t="shared" si="25"/>
        <v>0</v>
      </c>
      <c r="E219" s="633">
        <f t="shared" si="24"/>
        <v>0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117.84058235542719</v>
      </c>
      <c r="D220" s="633">
        <f t="shared" si="25"/>
        <v>116.49785481608839</v>
      </c>
      <c r="E220" s="633">
        <f t="shared" si="24"/>
        <v>-1.3427275393387959</v>
      </c>
    </row>
    <row r="221" spans="1:5" s="421" customFormat="1" x14ac:dyDescent="0.2">
      <c r="A221" s="588">
        <v>7</v>
      </c>
      <c r="B221" s="587" t="s">
        <v>761</v>
      </c>
      <c r="C221" s="633">
        <f t="shared" si="25"/>
        <v>978.67154175484632</v>
      </c>
      <c r="D221" s="633">
        <f t="shared" si="25"/>
        <v>1221.6815858324699</v>
      </c>
      <c r="E221" s="633">
        <f t="shared" si="24"/>
        <v>243.01004407762355</v>
      </c>
    </row>
    <row r="222" spans="1:5" s="421" customFormat="1" x14ac:dyDescent="0.2">
      <c r="A222" s="588"/>
      <c r="B222" s="592" t="s">
        <v>828</v>
      </c>
      <c r="C222" s="634">
        <f>C216+C218+C219+C220</f>
        <v>11608.879881577461</v>
      </c>
      <c r="D222" s="634">
        <f>D216+D218+D219+D220</f>
        <v>12643.673495646495</v>
      </c>
      <c r="E222" s="634">
        <f t="shared" si="24"/>
        <v>1034.7936140690344</v>
      </c>
    </row>
    <row r="223" spans="1:5" s="421" customFormat="1" x14ac:dyDescent="0.2">
      <c r="A223" s="588"/>
      <c r="B223" s="592" t="s">
        <v>829</v>
      </c>
      <c r="C223" s="634">
        <f>C215+C222</f>
        <v>22502.705365105263</v>
      </c>
      <c r="D223" s="634">
        <f>D215+D222</f>
        <v>24626.171847381869</v>
      </c>
      <c r="E223" s="634">
        <f t="shared" si="24"/>
        <v>2123.4664822766063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830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659</v>
      </c>
      <c r="C227" s="636">
        <f t="shared" ref="C227:D235" si="26">IF(C203=0,0,C47/C203)</f>
        <v>12449.089282198047</v>
      </c>
      <c r="D227" s="636">
        <f t="shared" si="26"/>
        <v>13262.298052122585</v>
      </c>
      <c r="E227" s="636">
        <f t="shared" ref="E227:E235" si="27">D227-C227</f>
        <v>813.2087699245385</v>
      </c>
    </row>
    <row r="228" spans="1:5" s="421" customFormat="1" x14ac:dyDescent="0.2">
      <c r="A228" s="588">
        <v>2</v>
      </c>
      <c r="B228" s="587" t="s">
        <v>638</v>
      </c>
      <c r="C228" s="636">
        <f t="shared" si="26"/>
        <v>9029.1634096340786</v>
      </c>
      <c r="D228" s="636">
        <f t="shared" si="26"/>
        <v>8462.5158199432753</v>
      </c>
      <c r="E228" s="636">
        <f t="shared" si="27"/>
        <v>-566.64758969080322</v>
      </c>
    </row>
    <row r="229" spans="1:5" s="421" customFormat="1" x14ac:dyDescent="0.2">
      <c r="A229" s="588">
        <v>3</v>
      </c>
      <c r="B229" s="587" t="s">
        <v>780</v>
      </c>
      <c r="C229" s="636">
        <f t="shared" si="26"/>
        <v>6815.8982936465563</v>
      </c>
      <c r="D229" s="636">
        <f t="shared" si="26"/>
        <v>6347.7371232173145</v>
      </c>
      <c r="E229" s="636">
        <f t="shared" si="27"/>
        <v>-468.16117042924179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6815.8982936465563</v>
      </c>
      <c r="D230" s="636">
        <f t="shared" si="26"/>
        <v>6347.7371232173145</v>
      </c>
      <c r="E230" s="636">
        <f t="shared" si="27"/>
        <v>-468.16117042924179</v>
      </c>
    </row>
    <row r="231" spans="1:5" s="421" customFormat="1" x14ac:dyDescent="0.2">
      <c r="A231" s="588">
        <v>5</v>
      </c>
      <c r="B231" s="587" t="s">
        <v>746</v>
      </c>
      <c r="C231" s="636">
        <f t="shared" si="26"/>
        <v>0</v>
      </c>
      <c r="D231" s="636">
        <f t="shared" si="26"/>
        <v>0</v>
      </c>
      <c r="E231" s="636">
        <f t="shared" si="27"/>
        <v>0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5235.9624764992523</v>
      </c>
      <c r="D232" s="636">
        <f t="shared" si="26"/>
        <v>11294.86380831144</v>
      </c>
      <c r="E232" s="636">
        <f t="shared" si="27"/>
        <v>6058.9013318121879</v>
      </c>
    </row>
    <row r="233" spans="1:5" s="421" customFormat="1" x14ac:dyDescent="0.2">
      <c r="A233" s="588">
        <v>7</v>
      </c>
      <c r="B233" s="587" t="s">
        <v>761</v>
      </c>
      <c r="C233" s="636">
        <f t="shared" si="26"/>
        <v>3142.6548559812586</v>
      </c>
      <c r="D233" s="636">
        <f t="shared" si="26"/>
        <v>530.61269109018815</v>
      </c>
      <c r="E233" s="636">
        <f t="shared" si="27"/>
        <v>-2612.0421648910706</v>
      </c>
    </row>
    <row r="234" spans="1:5" x14ac:dyDescent="0.2">
      <c r="A234" s="588"/>
      <c r="B234" s="592" t="s">
        <v>831</v>
      </c>
      <c r="C234" s="637">
        <f t="shared" si="26"/>
        <v>8422.724394669136</v>
      </c>
      <c r="D234" s="637">
        <f t="shared" si="26"/>
        <v>7913.0134814157545</v>
      </c>
      <c r="E234" s="637">
        <f t="shared" si="27"/>
        <v>-509.71091325338148</v>
      </c>
    </row>
    <row r="235" spans="1:5" s="421" customFormat="1" x14ac:dyDescent="0.2">
      <c r="A235" s="588"/>
      <c r="B235" s="592" t="s">
        <v>832</v>
      </c>
      <c r="C235" s="637">
        <f t="shared" si="26"/>
        <v>9780.9634654448782</v>
      </c>
      <c r="D235" s="637">
        <f t="shared" si="26"/>
        <v>9659.3851560161183</v>
      </c>
      <c r="E235" s="637">
        <f t="shared" si="27"/>
        <v>-121.57830942875989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833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659</v>
      </c>
      <c r="C239" s="636">
        <f t="shared" ref="C239:D247" si="28">IF(C215=0,0,C58/C215)</f>
        <v>15513.503154198819</v>
      </c>
      <c r="D239" s="636">
        <f t="shared" si="28"/>
        <v>14845.011931442357</v>
      </c>
      <c r="E239" s="638">
        <f t="shared" ref="E239:E247" si="29">D239-C239</f>
        <v>-668.49122275646187</v>
      </c>
    </row>
    <row r="240" spans="1:5" s="421" customFormat="1" x14ac:dyDescent="0.2">
      <c r="A240" s="588">
        <v>2</v>
      </c>
      <c r="B240" s="587" t="s">
        <v>638</v>
      </c>
      <c r="C240" s="636">
        <f t="shared" si="28"/>
        <v>16090.602642400352</v>
      </c>
      <c r="D240" s="636">
        <f t="shared" si="28"/>
        <v>13157.803220384145</v>
      </c>
      <c r="E240" s="638">
        <f t="shared" si="29"/>
        <v>-2932.7994220162072</v>
      </c>
    </row>
    <row r="241" spans="1:5" x14ac:dyDescent="0.2">
      <c r="A241" s="588">
        <v>3</v>
      </c>
      <c r="B241" s="587" t="s">
        <v>780</v>
      </c>
      <c r="C241" s="636">
        <f t="shared" si="28"/>
        <v>7414.3857212415342</v>
      </c>
      <c r="D241" s="636">
        <f t="shared" si="28"/>
        <v>6387.0289942192394</v>
      </c>
      <c r="E241" s="638">
        <f t="shared" si="29"/>
        <v>-1027.3567270222948</v>
      </c>
    </row>
    <row r="242" spans="1:5" x14ac:dyDescent="0.2">
      <c r="A242" s="588">
        <v>4</v>
      </c>
      <c r="B242" s="587" t="s">
        <v>115</v>
      </c>
      <c r="C242" s="636">
        <f t="shared" si="28"/>
        <v>7414.3857212415342</v>
      </c>
      <c r="D242" s="636">
        <f t="shared" si="28"/>
        <v>6387.0289942192394</v>
      </c>
      <c r="E242" s="638">
        <f t="shared" si="29"/>
        <v>-1027.3567270222948</v>
      </c>
    </row>
    <row r="243" spans="1:5" x14ac:dyDescent="0.2">
      <c r="A243" s="588">
        <v>5</v>
      </c>
      <c r="B243" s="587" t="s">
        <v>746</v>
      </c>
      <c r="C243" s="636">
        <f t="shared" si="28"/>
        <v>0</v>
      </c>
      <c r="D243" s="636">
        <f t="shared" si="28"/>
        <v>0</v>
      </c>
      <c r="E243" s="638">
        <f t="shared" si="29"/>
        <v>0</v>
      </c>
    </row>
    <row r="244" spans="1:5" x14ac:dyDescent="0.2">
      <c r="A244" s="588">
        <v>6</v>
      </c>
      <c r="B244" s="587" t="s">
        <v>424</v>
      </c>
      <c r="C244" s="636">
        <f t="shared" si="28"/>
        <v>16758.785136036346</v>
      </c>
      <c r="D244" s="636">
        <f t="shared" si="28"/>
        <v>14569.315483786944</v>
      </c>
      <c r="E244" s="638">
        <f t="shared" si="29"/>
        <v>-2189.4696522494014</v>
      </c>
    </row>
    <row r="245" spans="1:5" x14ac:dyDescent="0.2">
      <c r="A245" s="588">
        <v>7</v>
      </c>
      <c r="B245" s="587" t="s">
        <v>761</v>
      </c>
      <c r="C245" s="636">
        <f t="shared" si="28"/>
        <v>4312.3518156382534</v>
      </c>
      <c r="D245" s="636">
        <f t="shared" si="28"/>
        <v>3166.4142644534136</v>
      </c>
      <c r="E245" s="638">
        <f t="shared" si="29"/>
        <v>-1145.9375511848398</v>
      </c>
    </row>
    <row r="246" spans="1:5" ht="25.5" x14ac:dyDescent="0.2">
      <c r="A246" s="588"/>
      <c r="B246" s="592" t="s">
        <v>834</v>
      </c>
      <c r="C246" s="637">
        <f t="shared" si="28"/>
        <v>12094.052090486624</v>
      </c>
      <c r="D246" s="637">
        <f t="shared" si="28"/>
        <v>10043.638586817749</v>
      </c>
      <c r="E246" s="639">
        <f t="shared" si="29"/>
        <v>-2050.4135036688749</v>
      </c>
    </row>
    <row r="247" spans="1:5" x14ac:dyDescent="0.2">
      <c r="A247" s="588"/>
      <c r="B247" s="592" t="s">
        <v>835</v>
      </c>
      <c r="C247" s="637">
        <f t="shared" si="28"/>
        <v>13749.448743162384</v>
      </c>
      <c r="D247" s="637">
        <f t="shared" si="28"/>
        <v>12379.870484515121</v>
      </c>
      <c r="E247" s="639">
        <f t="shared" si="29"/>
        <v>-1369.5782586472633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763</v>
      </c>
      <c r="B249" s="626" t="s">
        <v>760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46474214.311988324</v>
      </c>
      <c r="D251" s="622">
        <f>((IF((IF(D15=0,0,D26/D15)*D138)=0,0,D59/(IF(D15=0,0,D26/D15)*D138)))-(IF((IF(D17=0,0,D28/D17)*D140)=0,0,D61/(IF(D17=0,0,D28/D17)*D140))))*(IF(D17=0,0,D28/D17)*D140)</f>
        <v>39538918.989236124</v>
      </c>
      <c r="E251" s="622">
        <f>D251-C251</f>
        <v>-6935295.3227522001</v>
      </c>
    </row>
    <row r="252" spans="1:5" x14ac:dyDescent="0.2">
      <c r="A252" s="588">
        <v>2</v>
      </c>
      <c r="B252" s="587" t="s">
        <v>746</v>
      </c>
      <c r="C252" s="622">
        <f>IF(C231=0,0,(C228-C231)*C207)+IF(C243=0,0,(C240-C243)*C219)</f>
        <v>0</v>
      </c>
      <c r="D252" s="622">
        <f>IF(D231=0,0,(D228-D231)*D207)+IF(D243=0,0,(D240-D243)*D219)</f>
        <v>0</v>
      </c>
      <c r="E252" s="622">
        <f>D252-C252</f>
        <v>0</v>
      </c>
    </row>
    <row r="253" spans="1:5" x14ac:dyDescent="0.2">
      <c r="A253" s="588">
        <v>3</v>
      </c>
      <c r="B253" s="587" t="s">
        <v>761</v>
      </c>
      <c r="C253" s="622">
        <f>IF(C233=0,0,(C228-C233)*C209+IF(C221=0,0,(C240-C245)*C221))</f>
        <v>15186131.463709604</v>
      </c>
      <c r="D253" s="622">
        <f>IF(D233=0,0,(D228-D233)*D209+IF(D221=0,0,(D240-D245)*D221))</f>
        <v>16015626.092570474</v>
      </c>
      <c r="E253" s="622">
        <f>D253-C253</f>
        <v>829494.62886087038</v>
      </c>
    </row>
    <row r="254" spans="1:5" ht="15" customHeight="1" x14ac:dyDescent="0.2">
      <c r="A254" s="588"/>
      <c r="B254" s="592" t="s">
        <v>762</v>
      </c>
      <c r="C254" s="640">
        <f>+C251+C252+C253</f>
        <v>61660345.775697932</v>
      </c>
      <c r="D254" s="640">
        <f>+D251+D252+D253</f>
        <v>55554545.0818066</v>
      </c>
      <c r="E254" s="640">
        <f>D254-C254</f>
        <v>-6105800.6938913316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836</v>
      </c>
      <c r="B256" s="626" t="s">
        <v>837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728</v>
      </c>
      <c r="C258" s="622">
        <f>+C44</f>
        <v>2255761188</v>
      </c>
      <c r="D258" s="625">
        <f>+D44</f>
        <v>2411937032</v>
      </c>
      <c r="E258" s="622">
        <f t="shared" ref="E258:E271" si="30">D258-C258</f>
        <v>156175844</v>
      </c>
    </row>
    <row r="259" spans="1:5" x14ac:dyDescent="0.2">
      <c r="A259" s="588">
        <v>2</v>
      </c>
      <c r="B259" s="587" t="s">
        <v>745</v>
      </c>
      <c r="C259" s="622">
        <f>+(C43-C76)</f>
        <v>924599184</v>
      </c>
      <c r="D259" s="625">
        <f>+(D43-D76)</f>
        <v>1087929942</v>
      </c>
      <c r="E259" s="622">
        <f t="shared" si="30"/>
        <v>163330758</v>
      </c>
    </row>
    <row r="260" spans="1:5" x14ac:dyDescent="0.2">
      <c r="A260" s="588">
        <v>3</v>
      </c>
      <c r="B260" s="587" t="s">
        <v>749</v>
      </c>
      <c r="C260" s="622">
        <f>C195</f>
        <v>46485079</v>
      </c>
      <c r="D260" s="622">
        <f>D195</f>
        <v>44011393</v>
      </c>
      <c r="E260" s="622">
        <f t="shared" si="30"/>
        <v>-2473686</v>
      </c>
    </row>
    <row r="261" spans="1:5" x14ac:dyDescent="0.2">
      <c r="A261" s="588">
        <v>4</v>
      </c>
      <c r="B261" s="587" t="s">
        <v>750</v>
      </c>
      <c r="C261" s="622">
        <f>C188</f>
        <v>341149564</v>
      </c>
      <c r="D261" s="622">
        <f>D188</f>
        <v>337021984</v>
      </c>
      <c r="E261" s="622">
        <f t="shared" si="30"/>
        <v>-4127580</v>
      </c>
    </row>
    <row r="262" spans="1:5" x14ac:dyDescent="0.2">
      <c r="A262" s="588">
        <v>5</v>
      </c>
      <c r="B262" s="587" t="s">
        <v>751</v>
      </c>
      <c r="C262" s="622">
        <f>C191</f>
        <v>14687365</v>
      </c>
      <c r="D262" s="622">
        <f>D191</f>
        <v>16324509</v>
      </c>
      <c r="E262" s="622">
        <f t="shared" si="30"/>
        <v>1637144</v>
      </c>
    </row>
    <row r="263" spans="1:5" x14ac:dyDescent="0.2">
      <c r="A263" s="588">
        <v>6</v>
      </c>
      <c r="B263" s="587" t="s">
        <v>752</v>
      </c>
      <c r="C263" s="622">
        <f>+C259+C260+C261+C262</f>
        <v>1326921192</v>
      </c>
      <c r="D263" s="622">
        <f>+D259+D260+D261+D262</f>
        <v>1485287828</v>
      </c>
      <c r="E263" s="622">
        <f t="shared" si="30"/>
        <v>158366636</v>
      </c>
    </row>
    <row r="264" spans="1:5" x14ac:dyDescent="0.2">
      <c r="A264" s="588">
        <v>7</v>
      </c>
      <c r="B264" s="587" t="s">
        <v>657</v>
      </c>
      <c r="C264" s="622">
        <f>+C258-C263</f>
        <v>928839996</v>
      </c>
      <c r="D264" s="622">
        <f>+D258-D263</f>
        <v>926649204</v>
      </c>
      <c r="E264" s="622">
        <f t="shared" si="30"/>
        <v>-2190792</v>
      </c>
    </row>
    <row r="265" spans="1:5" x14ac:dyDescent="0.2">
      <c r="A265" s="588">
        <v>8</v>
      </c>
      <c r="B265" s="587" t="s">
        <v>838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839</v>
      </c>
      <c r="C266" s="622">
        <f>+C264+C265</f>
        <v>928839996</v>
      </c>
      <c r="D266" s="622">
        <f>+D264+D265</f>
        <v>926649204</v>
      </c>
      <c r="E266" s="641">
        <f t="shared" si="30"/>
        <v>-2190792</v>
      </c>
    </row>
    <row r="267" spans="1:5" x14ac:dyDescent="0.2">
      <c r="A267" s="588">
        <v>10</v>
      </c>
      <c r="B267" s="587" t="s">
        <v>840</v>
      </c>
      <c r="C267" s="642">
        <f>IF(C258=0,0,C266/C258)</f>
        <v>0.41176344417182159</v>
      </c>
      <c r="D267" s="642">
        <f>IF(D258=0,0,D266/D258)</f>
        <v>0.38419295019141281</v>
      </c>
      <c r="E267" s="643">
        <f t="shared" si="30"/>
        <v>-2.7570493980408783E-2</v>
      </c>
    </row>
    <row r="268" spans="1:5" x14ac:dyDescent="0.2">
      <c r="A268" s="588">
        <v>11</v>
      </c>
      <c r="B268" s="587" t="s">
        <v>719</v>
      </c>
      <c r="C268" s="622">
        <f>+C260*C267</f>
        <v>19140856.231639218</v>
      </c>
      <c r="D268" s="644">
        <f>+D260*D267</f>
        <v>16908866.918703694</v>
      </c>
      <c r="E268" s="622">
        <f t="shared" si="30"/>
        <v>-2231989.3129355237</v>
      </c>
    </row>
    <row r="269" spans="1:5" x14ac:dyDescent="0.2">
      <c r="A269" s="588">
        <v>12</v>
      </c>
      <c r="B269" s="587" t="s">
        <v>841</v>
      </c>
      <c r="C269" s="622">
        <f>((C17+C18+C28+C29)*C267)-(C50+C51+C61+C62)</f>
        <v>54118011.588879079</v>
      </c>
      <c r="D269" s="644">
        <f>((D17+D18+D28+D29)*D267)-(D50+D51+D61+D62)</f>
        <v>63723220.13589713</v>
      </c>
      <c r="E269" s="622">
        <f t="shared" si="30"/>
        <v>9605208.5470180511</v>
      </c>
    </row>
    <row r="270" spans="1:5" s="648" customFormat="1" x14ac:dyDescent="0.2">
      <c r="A270" s="645">
        <v>13</v>
      </c>
      <c r="B270" s="646" t="s">
        <v>842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843</v>
      </c>
      <c r="C271" s="622">
        <f>+C268+C269+C270</f>
        <v>73258867.8205183</v>
      </c>
      <c r="D271" s="622">
        <f>+D268+D269+D270</f>
        <v>80632087.05460082</v>
      </c>
      <c r="E271" s="625">
        <f t="shared" si="30"/>
        <v>7373219.23408252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844</v>
      </c>
      <c r="B273" s="626" t="s">
        <v>845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846</v>
      </c>
      <c r="C275" s="425"/>
      <c r="D275" s="425"/>
      <c r="E275" s="596"/>
    </row>
    <row r="276" spans="1:5" x14ac:dyDescent="0.2">
      <c r="A276" s="588">
        <v>1</v>
      </c>
      <c r="B276" s="587" t="s">
        <v>659</v>
      </c>
      <c r="C276" s="623">
        <f t="shared" ref="C276:D284" si="31">IF(C14=0,0,+C47/C14)</f>
        <v>0.5646403013123622</v>
      </c>
      <c r="D276" s="623">
        <f t="shared" si="31"/>
        <v>0.60825270736805981</v>
      </c>
      <c r="E276" s="650">
        <f t="shared" ref="E276:E284" si="32">D276-C276</f>
        <v>4.3612406055697606E-2</v>
      </c>
    </row>
    <row r="277" spans="1:5" x14ac:dyDescent="0.2">
      <c r="A277" s="588">
        <v>2</v>
      </c>
      <c r="B277" s="587" t="s">
        <v>638</v>
      </c>
      <c r="C277" s="623">
        <f t="shared" si="31"/>
        <v>0.38795075450214117</v>
      </c>
      <c r="D277" s="623">
        <f t="shared" si="31"/>
        <v>0.34555006789249076</v>
      </c>
      <c r="E277" s="650">
        <f t="shared" si="32"/>
        <v>-4.2400686609650406E-2</v>
      </c>
    </row>
    <row r="278" spans="1:5" x14ac:dyDescent="0.2">
      <c r="A278" s="588">
        <v>3</v>
      </c>
      <c r="B278" s="587" t="s">
        <v>780</v>
      </c>
      <c r="C278" s="623">
        <f t="shared" si="31"/>
        <v>0.29309084890699411</v>
      </c>
      <c r="D278" s="623">
        <f t="shared" si="31"/>
        <v>0.2632608221421906</v>
      </c>
      <c r="E278" s="650">
        <f t="shared" si="32"/>
        <v>-2.9830026764803508E-2</v>
      </c>
    </row>
    <row r="279" spans="1:5" x14ac:dyDescent="0.2">
      <c r="A279" s="588">
        <v>4</v>
      </c>
      <c r="B279" s="587" t="s">
        <v>115</v>
      </c>
      <c r="C279" s="623">
        <f t="shared" si="31"/>
        <v>0.29309084890699411</v>
      </c>
      <c r="D279" s="623">
        <f t="shared" si="31"/>
        <v>0.2632608221421906</v>
      </c>
      <c r="E279" s="650">
        <f t="shared" si="32"/>
        <v>-2.9830026764803508E-2</v>
      </c>
    </row>
    <row r="280" spans="1:5" x14ac:dyDescent="0.2">
      <c r="A280" s="588">
        <v>5</v>
      </c>
      <c r="B280" s="587" t="s">
        <v>746</v>
      </c>
      <c r="C280" s="623">
        <f t="shared" si="31"/>
        <v>0</v>
      </c>
      <c r="D280" s="623">
        <f t="shared" si="31"/>
        <v>0</v>
      </c>
      <c r="E280" s="650">
        <f t="shared" si="32"/>
        <v>0</v>
      </c>
    </row>
    <row r="281" spans="1:5" x14ac:dyDescent="0.2">
      <c r="A281" s="588">
        <v>6</v>
      </c>
      <c r="B281" s="587" t="s">
        <v>424</v>
      </c>
      <c r="C281" s="623">
        <f t="shared" si="31"/>
        <v>0.18393321196308626</v>
      </c>
      <c r="D281" s="623">
        <f t="shared" si="31"/>
        <v>0.34077058830419199</v>
      </c>
      <c r="E281" s="650">
        <f t="shared" si="32"/>
        <v>0.15683737634110573</v>
      </c>
    </row>
    <row r="282" spans="1:5" x14ac:dyDescent="0.2">
      <c r="A282" s="588">
        <v>7</v>
      </c>
      <c r="B282" s="587" t="s">
        <v>761</v>
      </c>
      <c r="C282" s="623">
        <f t="shared" si="31"/>
        <v>0.12496448882036738</v>
      </c>
      <c r="D282" s="623">
        <f t="shared" si="31"/>
        <v>2.3410897451267836E-2</v>
      </c>
      <c r="E282" s="650">
        <f t="shared" si="32"/>
        <v>-0.10155359136909956</v>
      </c>
    </row>
    <row r="283" spans="1:5" ht="29.25" customHeight="1" x14ac:dyDescent="0.2">
      <c r="A283" s="588"/>
      <c r="B283" s="592" t="s">
        <v>847</v>
      </c>
      <c r="C283" s="651">
        <f t="shared" si="31"/>
        <v>0.36150725323446503</v>
      </c>
      <c r="D283" s="651">
        <f t="shared" si="31"/>
        <v>0.32387177006541323</v>
      </c>
      <c r="E283" s="652">
        <f t="shared" si="32"/>
        <v>-3.7635483169051798E-2</v>
      </c>
    </row>
    <row r="284" spans="1:5" x14ac:dyDescent="0.2">
      <c r="A284" s="588"/>
      <c r="B284" s="592" t="s">
        <v>848</v>
      </c>
      <c r="C284" s="651">
        <f t="shared" si="31"/>
        <v>0.42754811693998329</v>
      </c>
      <c r="D284" s="651">
        <f t="shared" si="31"/>
        <v>0.4097406404319322</v>
      </c>
      <c r="E284" s="652">
        <f t="shared" si="32"/>
        <v>-1.780747650805109E-2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849</v>
      </c>
      <c r="C286" s="596"/>
      <c r="D286" s="596"/>
      <c r="E286" s="596"/>
    </row>
    <row r="287" spans="1:5" x14ac:dyDescent="0.2">
      <c r="A287" s="588">
        <v>1</v>
      </c>
      <c r="B287" s="587" t="s">
        <v>659</v>
      </c>
      <c r="C287" s="623">
        <f t="shared" ref="C287:D295" si="33">IF(C25=0,0,+C58/C25)</f>
        <v>0.48744697687882144</v>
      </c>
      <c r="D287" s="623">
        <f t="shared" si="33"/>
        <v>0.46922527600751168</v>
      </c>
      <c r="E287" s="650">
        <f t="shared" ref="E287:E295" si="34">D287-C287</f>
        <v>-1.8221700871309754E-2</v>
      </c>
    </row>
    <row r="288" spans="1:5" x14ac:dyDescent="0.2">
      <c r="A288" s="588">
        <v>2</v>
      </c>
      <c r="B288" s="587" t="s">
        <v>638</v>
      </c>
      <c r="C288" s="623">
        <f t="shared" si="33"/>
        <v>0.36490840359082172</v>
      </c>
      <c r="D288" s="623">
        <f t="shared" si="33"/>
        <v>0.28743156330685898</v>
      </c>
      <c r="E288" s="650">
        <f t="shared" si="34"/>
        <v>-7.7476840283962733E-2</v>
      </c>
    </row>
    <row r="289" spans="1:5" x14ac:dyDescent="0.2">
      <c r="A289" s="588">
        <v>3</v>
      </c>
      <c r="B289" s="587" t="s">
        <v>780</v>
      </c>
      <c r="C289" s="623">
        <f t="shared" si="33"/>
        <v>0.26159045164457695</v>
      </c>
      <c r="D289" s="623">
        <f t="shared" si="33"/>
        <v>0.21508000295846144</v>
      </c>
      <c r="E289" s="650">
        <f t="shared" si="34"/>
        <v>-4.6510448686115508E-2</v>
      </c>
    </row>
    <row r="290" spans="1:5" x14ac:dyDescent="0.2">
      <c r="A290" s="588">
        <v>4</v>
      </c>
      <c r="B290" s="587" t="s">
        <v>115</v>
      </c>
      <c r="C290" s="623">
        <f t="shared" si="33"/>
        <v>0.26159045164457695</v>
      </c>
      <c r="D290" s="623">
        <f t="shared" si="33"/>
        <v>0.21508000295846144</v>
      </c>
      <c r="E290" s="650">
        <f t="shared" si="34"/>
        <v>-4.6510448686115508E-2</v>
      </c>
    </row>
    <row r="291" spans="1:5" x14ac:dyDescent="0.2">
      <c r="A291" s="588">
        <v>5</v>
      </c>
      <c r="B291" s="587" t="s">
        <v>746</v>
      </c>
      <c r="C291" s="623">
        <f t="shared" si="33"/>
        <v>0</v>
      </c>
      <c r="D291" s="623">
        <f t="shared" si="33"/>
        <v>0</v>
      </c>
      <c r="E291" s="650">
        <f t="shared" si="34"/>
        <v>0</v>
      </c>
    </row>
    <row r="292" spans="1:5" x14ac:dyDescent="0.2">
      <c r="A292" s="588">
        <v>6</v>
      </c>
      <c r="B292" s="587" t="s">
        <v>424</v>
      </c>
      <c r="C292" s="623">
        <f t="shared" si="33"/>
        <v>0.55507867056456905</v>
      </c>
      <c r="D292" s="623">
        <f t="shared" si="33"/>
        <v>0.39684923089584945</v>
      </c>
      <c r="E292" s="650">
        <f t="shared" si="34"/>
        <v>-0.15822943966871961</v>
      </c>
    </row>
    <row r="293" spans="1:5" x14ac:dyDescent="0.2">
      <c r="A293" s="588">
        <v>7</v>
      </c>
      <c r="B293" s="587" t="s">
        <v>761</v>
      </c>
      <c r="C293" s="623">
        <f t="shared" si="33"/>
        <v>0.12496451264806531</v>
      </c>
      <c r="D293" s="623">
        <f t="shared" si="33"/>
        <v>0.10384967986024408</v>
      </c>
      <c r="E293" s="650">
        <f t="shared" si="34"/>
        <v>-2.1114832787821225E-2</v>
      </c>
    </row>
    <row r="294" spans="1:5" ht="29.25" customHeight="1" x14ac:dyDescent="0.2">
      <c r="A294" s="588"/>
      <c r="B294" s="592" t="s">
        <v>850</v>
      </c>
      <c r="C294" s="651">
        <f t="shared" si="33"/>
        <v>0.32966537209307811</v>
      </c>
      <c r="D294" s="651">
        <f t="shared" si="33"/>
        <v>0.26246639820657769</v>
      </c>
      <c r="E294" s="652">
        <f t="shared" si="34"/>
        <v>-6.7198973886500424E-2</v>
      </c>
    </row>
    <row r="295" spans="1:5" x14ac:dyDescent="0.2">
      <c r="A295" s="588"/>
      <c r="B295" s="592" t="s">
        <v>851</v>
      </c>
      <c r="C295" s="651">
        <f t="shared" si="33"/>
        <v>0.40047150567944112</v>
      </c>
      <c r="D295" s="651">
        <f t="shared" si="33"/>
        <v>0.3532985337274096</v>
      </c>
      <c r="E295" s="652">
        <f t="shared" si="34"/>
        <v>-4.7172971952031517E-2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852</v>
      </c>
      <c r="B297" s="579" t="s">
        <v>853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854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657</v>
      </c>
      <c r="C301" s="590">
        <f>+C48+C47+C50+C51+C52+C59+C58+C61+C62+C63</f>
        <v>943527362</v>
      </c>
      <c r="D301" s="590">
        <f>+D48+D47+D50+D51+D52+D59+D58+D61+D62+D63</f>
        <v>939563530</v>
      </c>
      <c r="E301" s="590">
        <f>D301-C301</f>
        <v>-3963832</v>
      </c>
    </row>
    <row r="302" spans="1:5" ht="25.5" x14ac:dyDescent="0.2">
      <c r="A302" s="588">
        <v>2</v>
      </c>
      <c r="B302" s="587" t="s">
        <v>855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856</v>
      </c>
      <c r="C303" s="593">
        <f>+C301+C302</f>
        <v>943527362</v>
      </c>
      <c r="D303" s="593">
        <f>+D301+D302</f>
        <v>939563530</v>
      </c>
      <c r="E303" s="593">
        <f>D303-C303</f>
        <v>-3963832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857</v>
      </c>
      <c r="C305" s="589">
        <v>-16894306</v>
      </c>
      <c r="D305" s="654">
        <v>-35778755</v>
      </c>
      <c r="E305" s="655">
        <f>D305-C305</f>
        <v>-18884449</v>
      </c>
    </row>
    <row r="306" spans="1:5" x14ac:dyDescent="0.2">
      <c r="A306" s="588">
        <v>4</v>
      </c>
      <c r="B306" s="592" t="s">
        <v>858</v>
      </c>
      <c r="C306" s="593">
        <f>+C303+C305+C194+C190-C191</f>
        <v>960562669</v>
      </c>
      <c r="D306" s="593">
        <f>+D303+D305</f>
        <v>903784775</v>
      </c>
      <c r="E306" s="656">
        <f>D306-C306</f>
        <v>-56777894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859</v>
      </c>
      <c r="C308" s="589">
        <v>926633051</v>
      </c>
      <c r="D308" s="589">
        <v>903784775</v>
      </c>
      <c r="E308" s="590">
        <f>D308-C308</f>
        <v>-22848276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860</v>
      </c>
      <c r="C310" s="657">
        <f>C306-C308</f>
        <v>33929618</v>
      </c>
      <c r="D310" s="658">
        <f>D306-D308</f>
        <v>0</v>
      </c>
      <c r="E310" s="656">
        <f>D310-C310</f>
        <v>-33929618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861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862</v>
      </c>
      <c r="C314" s="590">
        <f>+C14+C15+C16+C19+C25+C26+C27+C30</f>
        <v>2255761188</v>
      </c>
      <c r="D314" s="590">
        <f>+D14+D15+D16+D19+D25+D26+D27+D30</f>
        <v>2411937032</v>
      </c>
      <c r="E314" s="590">
        <f>D314-C314</f>
        <v>156175844</v>
      </c>
    </row>
    <row r="315" spans="1:5" x14ac:dyDescent="0.2">
      <c r="A315" s="588">
        <v>2</v>
      </c>
      <c r="B315" s="659" t="s">
        <v>863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864</v>
      </c>
      <c r="C316" s="657">
        <f>C314+C315</f>
        <v>2255761188</v>
      </c>
      <c r="D316" s="657">
        <f>D314+D315</f>
        <v>2411937032</v>
      </c>
      <c r="E316" s="593">
        <f>D316-C316</f>
        <v>156175844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865</v>
      </c>
      <c r="C318" s="589">
        <v>2255761188</v>
      </c>
      <c r="D318" s="589">
        <v>2411937032</v>
      </c>
      <c r="E318" s="590">
        <f>D318-C318</f>
        <v>156175844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860</v>
      </c>
      <c r="C320" s="657">
        <f>C316-C318</f>
        <v>0</v>
      </c>
      <c r="D320" s="657">
        <f>D316-D318</f>
        <v>0</v>
      </c>
      <c r="E320" s="593">
        <f>D320-C320</f>
        <v>0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866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867</v>
      </c>
      <c r="C324" s="589">
        <f>+C193+C194</f>
        <v>46485079</v>
      </c>
      <c r="D324" s="589">
        <f>+D193+D194</f>
        <v>44011393</v>
      </c>
      <c r="E324" s="590">
        <f>D324-C324</f>
        <v>-2473686</v>
      </c>
    </row>
    <row r="325" spans="1:5" x14ac:dyDescent="0.2">
      <c r="A325" s="588">
        <v>2</v>
      </c>
      <c r="B325" s="587" t="s">
        <v>868</v>
      </c>
      <c r="C325" s="589">
        <v>1554984</v>
      </c>
      <c r="D325" s="589">
        <v>1632896</v>
      </c>
      <c r="E325" s="590">
        <f>D325-C325</f>
        <v>77912</v>
      </c>
    </row>
    <row r="326" spans="1:5" x14ac:dyDescent="0.2">
      <c r="A326" s="588"/>
      <c r="B326" s="592" t="s">
        <v>869</v>
      </c>
      <c r="C326" s="657">
        <f>C324+C325</f>
        <v>48040063</v>
      </c>
      <c r="D326" s="657">
        <f>D324+D325</f>
        <v>45644289</v>
      </c>
      <c r="E326" s="593">
        <f>D326-C326</f>
        <v>-2395774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870</v>
      </c>
      <c r="C328" s="589">
        <v>48040065</v>
      </c>
      <c r="D328" s="589">
        <v>45644289</v>
      </c>
      <c r="E328" s="590">
        <f>D328-C328</f>
        <v>-2395776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871</v>
      </c>
      <c r="C330" s="657">
        <f>C326-C328</f>
        <v>-2</v>
      </c>
      <c r="D330" s="657">
        <f>D326-D328</f>
        <v>0</v>
      </c>
      <c r="E330" s="593">
        <f>D330-C330</f>
        <v>2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25" right="0.25" top="0.5" bottom="0.5" header="0.25" footer="0.25"/>
  <pageSetup scale="71" fitToHeight="0" orientation="portrait" horizontalDpi="1200" verticalDpi="1200" r:id="rId1"/>
  <headerFooter>
    <oddHeader>&amp;LOFFICE OF HEALTH CARE ACCESS&amp;CTWELVE MONTHS ACTUAL FILING&amp;RHARTFORD HOSPITAL</oddHeader>
    <oddFooter>&amp;LREPORT 100&amp;CPAGE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632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872</v>
      </c>
      <c r="B5" s="824"/>
      <c r="C5" s="825"/>
      <c r="D5" s="661"/>
    </row>
    <row r="6" spans="1:58" s="662" customFormat="1" ht="15.75" customHeight="1" x14ac:dyDescent="0.25">
      <c r="A6" s="823" t="s">
        <v>873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874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875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779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659</v>
      </c>
      <c r="C14" s="589">
        <v>467725563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638</v>
      </c>
      <c r="C15" s="591">
        <v>789518832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780</v>
      </c>
      <c r="C16" s="591">
        <v>284428877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284428877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746</v>
      </c>
      <c r="C18" s="591">
        <v>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7342494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761</v>
      </c>
      <c r="C20" s="591">
        <v>10885059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781</v>
      </c>
      <c r="C21" s="593">
        <f>SUM(C15+C16+C19)</f>
        <v>1081290203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1549015766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782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659</v>
      </c>
      <c r="C25" s="589">
        <v>379093668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638</v>
      </c>
      <c r="C26" s="591">
        <v>306136212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780</v>
      </c>
      <c r="C27" s="591">
        <v>173414462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173414462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746</v>
      </c>
      <c r="C29" s="591">
        <v>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4276924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761</v>
      </c>
      <c r="C31" s="594">
        <v>37249513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783</v>
      </c>
      <c r="C32" s="593">
        <f>SUM(C26+C27+C30)</f>
        <v>483827598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862921266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656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876</v>
      </c>
      <c r="C36" s="590">
        <f>SUM(C14+C25)</f>
        <v>846819231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877</v>
      </c>
      <c r="C37" s="594">
        <f>SUM(C21+C32)</f>
        <v>1565117801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656</v>
      </c>
      <c r="C38" s="593">
        <f>SUM(+C36+C37)</f>
        <v>2411937032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792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659</v>
      </c>
      <c r="C41" s="589">
        <v>284495340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638</v>
      </c>
      <c r="C42" s="591">
        <v>272818286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780</v>
      </c>
      <c r="C43" s="591">
        <v>74878980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74878980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746</v>
      </c>
      <c r="C45" s="591">
        <v>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2502106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761</v>
      </c>
      <c r="C47" s="591">
        <v>254829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793</v>
      </c>
      <c r="C48" s="593">
        <f>SUM(C42+C43+C46)</f>
        <v>350199372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634694712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794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659</v>
      </c>
      <c r="C52" s="589">
        <v>177880331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638</v>
      </c>
      <c r="C53" s="591">
        <v>87993210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780</v>
      </c>
      <c r="C54" s="591">
        <v>37297983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37297983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746</v>
      </c>
      <c r="C56" s="591">
        <v>0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1697294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761</v>
      </c>
      <c r="C58" s="591">
        <v>3868350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795</v>
      </c>
      <c r="C59" s="593">
        <f>SUM(C53+C54+C57)</f>
        <v>126988487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304868818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657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878</v>
      </c>
      <c r="C63" s="590">
        <f>SUM(C41+C52)</f>
        <v>462375671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879</v>
      </c>
      <c r="C64" s="594">
        <f>SUM(C48+C59)</f>
        <v>477187859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657</v>
      </c>
      <c r="C65" s="593">
        <f>SUM(+C63+C64)</f>
        <v>939563530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880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881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659</v>
      </c>
      <c r="C70" s="606">
        <v>14784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638</v>
      </c>
      <c r="C71" s="606">
        <v>17247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780</v>
      </c>
      <c r="C72" s="606">
        <v>9578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9578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746</v>
      </c>
      <c r="C74" s="606">
        <v>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200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761</v>
      </c>
      <c r="C76" s="621">
        <v>357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810</v>
      </c>
      <c r="C77" s="608">
        <f>SUM(C71+C72+C75)</f>
        <v>27025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41809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814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659</v>
      </c>
      <c r="C81" s="617">
        <v>1.45099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638</v>
      </c>
      <c r="C82" s="617">
        <v>1.8692200000000001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780</v>
      </c>
      <c r="C83" s="617">
        <f>((C73*C84)+(C74*C85))/(C73+C74)</f>
        <v>1.23159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1.23159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746</v>
      </c>
      <c r="C85" s="617">
        <v>0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1.1076299999999999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761</v>
      </c>
      <c r="C87" s="617">
        <v>1.3452500000000001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815</v>
      </c>
      <c r="C88" s="619">
        <f>((C71*C82)+(C73*C84)+(C74*C85)+(C75*C86))/(C71+C73+C74+C75)</f>
        <v>1.6375997172987973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726</v>
      </c>
      <c r="C89" s="619">
        <f>((C70*C81)+(C71*C82)+(C73*C84)+(C74*C85)+(C75*C86))/(C70+C71+C73+C74+C75)</f>
        <v>1.571613014422732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816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817</v>
      </c>
      <c r="C92" s="589">
        <v>774051584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818</v>
      </c>
      <c r="C93" s="622">
        <v>437029600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671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750</v>
      </c>
      <c r="C95" s="589">
        <f>+C92-C93</f>
        <v>337021984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673</v>
      </c>
      <c r="C96" s="681">
        <f>(+C92-C93)/C92</f>
        <v>0.43539990223700648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765</v>
      </c>
      <c r="C98" s="589">
        <v>30498596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751</v>
      </c>
      <c r="C99" s="589">
        <v>16324509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882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820</v>
      </c>
      <c r="C103" s="589">
        <v>26543780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821</v>
      </c>
      <c r="C104" s="589">
        <v>17467613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822</v>
      </c>
      <c r="C105" s="654">
        <f>+C103+C104</f>
        <v>44011393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823</v>
      </c>
      <c r="C107" s="589">
        <v>159284016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713</v>
      </c>
      <c r="C108" s="589">
        <v>1075242367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853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854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657</v>
      </c>
      <c r="C114" s="590">
        <f>+C65</f>
        <v>939563530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855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856</v>
      </c>
      <c r="C116" s="593">
        <f>+C114+C115</f>
        <v>939563530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857</v>
      </c>
      <c r="C118" s="654">
        <v>-35778755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858</v>
      </c>
      <c r="C119" s="656">
        <f>+C116+C118</f>
        <v>903784775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859</v>
      </c>
      <c r="C121" s="589">
        <v>903784775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860</v>
      </c>
      <c r="C123" s="658">
        <f>C119-C121</f>
        <v>0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861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862</v>
      </c>
      <c r="C127" s="590">
        <f>C38</f>
        <v>2411937032</v>
      </c>
      <c r="D127" s="664"/>
      <c r="AR127" s="485"/>
    </row>
    <row r="128" spans="1:58" s="421" customFormat="1" ht="12.75" x14ac:dyDescent="0.2">
      <c r="A128" s="588">
        <v>2</v>
      </c>
      <c r="B128" s="659" t="s">
        <v>863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864</v>
      </c>
      <c r="C129" s="657">
        <f>C127+C128</f>
        <v>2411937032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865</v>
      </c>
      <c r="C131" s="589">
        <v>2411937032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860</v>
      </c>
      <c r="C133" s="657">
        <f>C129-C131</f>
        <v>0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866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867</v>
      </c>
      <c r="C137" s="589">
        <f>C105</f>
        <v>44011393</v>
      </c>
      <c r="D137" s="664"/>
      <c r="AR137" s="485"/>
    </row>
    <row r="138" spans="1:44" s="421" customFormat="1" ht="12.75" x14ac:dyDescent="0.2">
      <c r="A138" s="588">
        <v>2</v>
      </c>
      <c r="B138" s="669" t="s">
        <v>883</v>
      </c>
      <c r="C138" s="589">
        <v>1632896</v>
      </c>
      <c r="D138" s="664"/>
      <c r="AR138" s="485"/>
    </row>
    <row r="139" spans="1:44" s="421" customFormat="1" ht="12.75" x14ac:dyDescent="0.2">
      <c r="A139" s="588"/>
      <c r="B139" s="671" t="s">
        <v>869</v>
      </c>
      <c r="C139" s="657">
        <f>C137+C138</f>
        <v>45644289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884</v>
      </c>
      <c r="C141" s="589">
        <v>45644289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871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25" right="0.25" top="0.5" bottom="0.5" header="0.25" footer="0.25"/>
  <pageSetup scale="79" fitToHeight="0" orientation="portrait" horizontalDpi="1200" verticalDpi="1200" r:id="rId1"/>
  <headerFooter>
    <oddHeader>&amp;LOFFICE OF HEALTH CARE ACCESS&amp;CTWELVE MONTHS ACTUAL FILING&amp;RHARTFORD HOSPITAL</oddHeader>
    <oddFooter>&amp;LREPORT 100&amp;CPAGE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sqref="A1:F1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9"/>
      <c r="B1" s="830"/>
      <c r="C1" s="830"/>
      <c r="D1" s="830"/>
      <c r="E1" s="830"/>
      <c r="F1" s="831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632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885</v>
      </c>
      <c r="B5" s="833"/>
      <c r="C5" s="833"/>
      <c r="D5" s="833"/>
      <c r="E5" s="833"/>
      <c r="F5" s="834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635</v>
      </c>
      <c r="D8" s="177" t="s">
        <v>635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886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887</v>
      </c>
      <c r="C12" s="185">
        <v>8384</v>
      </c>
      <c r="D12" s="185">
        <v>12857</v>
      </c>
      <c r="E12" s="185">
        <f>+D12-C12</f>
        <v>4473</v>
      </c>
      <c r="F12" s="77">
        <f>IF(C12=0,0,+E12/C12)</f>
        <v>0.53351622137404575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888</v>
      </c>
      <c r="C13" s="185">
        <v>7965</v>
      </c>
      <c r="D13" s="185">
        <v>12214</v>
      </c>
      <c r="E13" s="185">
        <f>+D13-C13</f>
        <v>4249</v>
      </c>
      <c r="F13" s="77">
        <f>IF(C13=0,0,+E13/C13)</f>
        <v>0.53345888261142493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889</v>
      </c>
      <c r="C15" s="76">
        <v>23839114</v>
      </c>
      <c r="D15" s="76">
        <v>26543780</v>
      </c>
      <c r="E15" s="76">
        <f>+D15-C15</f>
        <v>2704666</v>
      </c>
      <c r="F15" s="77">
        <f>IF(C15=0,0,+E15/C15)</f>
        <v>0.11345497152285106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890</v>
      </c>
      <c r="C16" s="79">
        <f>IF(C13=0,0,+C15/+C13)</f>
        <v>2992.9835530445698</v>
      </c>
      <c r="D16" s="79">
        <f>IF(D13=0,0,+D15/+D13)</f>
        <v>2173.2258064516127</v>
      </c>
      <c r="E16" s="79">
        <f>+D16-C16</f>
        <v>-819.75774659295712</v>
      </c>
      <c r="F16" s="80">
        <f>IF(C16=0,0,+E16/C16)</f>
        <v>-0.27389316782548645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891</v>
      </c>
      <c r="C18" s="704">
        <v>0.44400899999999999</v>
      </c>
      <c r="D18" s="704">
        <v>0.432168</v>
      </c>
      <c r="E18" s="704">
        <f>+D18-C18</f>
        <v>-1.184099999999999E-2</v>
      </c>
      <c r="F18" s="77">
        <f>IF(C18=0,0,+E18/C18)</f>
        <v>-2.66683783436822E-2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892</v>
      </c>
      <c r="C19" s="79">
        <f>+C15*C18</f>
        <v>10584781.168026</v>
      </c>
      <c r="D19" s="79">
        <f>+D15*D18</f>
        <v>11471372.31504</v>
      </c>
      <c r="E19" s="79">
        <f>+D19-C19</f>
        <v>886591.14701399952</v>
      </c>
      <c r="F19" s="80">
        <f>IF(C19=0,0,+E19/C19)</f>
        <v>8.3760933073625699E-2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893</v>
      </c>
      <c r="C20" s="79">
        <f>IF(C13=0,0,+C19/C13)</f>
        <v>1328.9116344037666</v>
      </c>
      <c r="D20" s="79">
        <f>IF(D13=0,0,+D19/D13)</f>
        <v>939.19865032258065</v>
      </c>
      <c r="E20" s="79">
        <f>+D20-C20</f>
        <v>-389.71298408118594</v>
      </c>
      <c r="F20" s="80">
        <f>IF(C20=0,0,+E20/C20)</f>
        <v>-0.29325725954384901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894</v>
      </c>
      <c r="C22" s="76">
        <v>11131667</v>
      </c>
      <c r="D22" s="76">
        <v>8533518</v>
      </c>
      <c r="E22" s="76">
        <f>+D22-C22</f>
        <v>-2598149</v>
      </c>
      <c r="F22" s="77">
        <f>IF(C22=0,0,+E22/C22)</f>
        <v>-0.23340161001941578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895</v>
      </c>
      <c r="C23" s="185">
        <v>8954625</v>
      </c>
      <c r="D23" s="185">
        <v>7114706</v>
      </c>
      <c r="E23" s="185">
        <f>+D23-C23</f>
        <v>-1839919</v>
      </c>
      <c r="F23" s="77">
        <f>IF(C23=0,0,+E23/C23)</f>
        <v>-0.20547136256403814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896</v>
      </c>
      <c r="C24" s="185">
        <v>3752822</v>
      </c>
      <c r="D24" s="185">
        <v>10895556</v>
      </c>
      <c r="E24" s="185">
        <f>+D24-C24</f>
        <v>7142734</v>
      </c>
      <c r="F24" s="77">
        <f>IF(C24=0,0,+E24/C24)</f>
        <v>1.9032967724022083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897</v>
      </c>
      <c r="C25" s="79">
        <f>+C22+C23+C24</f>
        <v>23839114</v>
      </c>
      <c r="D25" s="79">
        <f>+D22+D23+D24</f>
        <v>26543780</v>
      </c>
      <c r="E25" s="79">
        <f>+E22+E23+E24</f>
        <v>2704666</v>
      </c>
      <c r="F25" s="80">
        <f>IF(C25=0,0,+E25/C25)</f>
        <v>0.11345497152285106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898</v>
      </c>
      <c r="C27" s="185">
        <v>1879</v>
      </c>
      <c r="D27" s="185">
        <v>1281</v>
      </c>
      <c r="E27" s="185">
        <f>+D27-C27</f>
        <v>-598</v>
      </c>
      <c r="F27" s="77">
        <f>IF(C27=0,0,+E27/C27)</f>
        <v>-0.31825439063331562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899</v>
      </c>
      <c r="C28" s="185">
        <v>308</v>
      </c>
      <c r="D28" s="185">
        <v>221</v>
      </c>
      <c r="E28" s="185">
        <f>+D28-C28</f>
        <v>-87</v>
      </c>
      <c r="F28" s="77">
        <f>IF(C28=0,0,+E28/C28)</f>
        <v>-0.28246753246753248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900</v>
      </c>
      <c r="C29" s="185">
        <v>3873</v>
      </c>
      <c r="D29" s="185">
        <v>7439</v>
      </c>
      <c r="E29" s="185">
        <f>+D29-C29</f>
        <v>3566</v>
      </c>
      <c r="F29" s="77">
        <f>IF(C29=0,0,+E29/C29)</f>
        <v>0.92073328169377744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901</v>
      </c>
      <c r="C30" s="185">
        <v>9724</v>
      </c>
      <c r="D30" s="185">
        <v>14398</v>
      </c>
      <c r="E30" s="185">
        <f>+D30-C30</f>
        <v>4674</v>
      </c>
      <c r="F30" s="77">
        <f>IF(C30=0,0,+E30/C30)</f>
        <v>0.48066639243109832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902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903</v>
      </c>
      <c r="C33" s="76">
        <v>7565598</v>
      </c>
      <c r="D33" s="76">
        <v>3565799</v>
      </c>
      <c r="E33" s="76">
        <f>+D33-C33</f>
        <v>-3999799</v>
      </c>
      <c r="F33" s="77">
        <f>IF(C33=0,0,+E33/C33)</f>
        <v>-0.52868246502127125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904</v>
      </c>
      <c r="C34" s="185">
        <v>9349827</v>
      </c>
      <c r="D34" s="185">
        <v>8619124</v>
      </c>
      <c r="E34" s="185">
        <f>+D34-C34</f>
        <v>-730703</v>
      </c>
      <c r="F34" s="77">
        <f>IF(C34=0,0,+E34/C34)</f>
        <v>-7.8151499487637582E-2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905</v>
      </c>
      <c r="C35" s="185">
        <v>5730540</v>
      </c>
      <c r="D35" s="185">
        <v>5282690</v>
      </c>
      <c r="E35" s="185">
        <f>+D35-C35</f>
        <v>-447850</v>
      </c>
      <c r="F35" s="77">
        <f>IF(C35=0,0,+E35/C35)</f>
        <v>-7.8151448205579233E-2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906</v>
      </c>
      <c r="C36" s="79">
        <f>+C33+C34+C35</f>
        <v>22645965</v>
      </c>
      <c r="D36" s="79">
        <f>+D33+D34+D35</f>
        <v>17467613</v>
      </c>
      <c r="E36" s="79">
        <f>+E33+E34+E35</f>
        <v>-5178352</v>
      </c>
      <c r="F36" s="80">
        <f>IF(C36=0,0,+E36/C36)</f>
        <v>-0.22866554814511106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907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908</v>
      </c>
      <c r="C39" s="76">
        <f>+C25</f>
        <v>23839114</v>
      </c>
      <c r="D39" s="76">
        <f>+D25</f>
        <v>26543780</v>
      </c>
      <c r="E39" s="76">
        <f>+D39-C39</f>
        <v>2704666</v>
      </c>
      <c r="F39" s="77">
        <f>IF(C39=0,0,+E39/C39)</f>
        <v>0.11345497152285106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909</v>
      </c>
      <c r="C40" s="185">
        <f>+C36</f>
        <v>22645965</v>
      </c>
      <c r="D40" s="185">
        <f>+D36</f>
        <v>17467613</v>
      </c>
      <c r="E40" s="185">
        <f>+D40-C40</f>
        <v>-5178352</v>
      </c>
      <c r="F40" s="77">
        <f>IF(C40=0,0,+E40/C40)</f>
        <v>-0.22866554814511106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910</v>
      </c>
      <c r="C41" s="79">
        <f>+C39+C40</f>
        <v>46485079</v>
      </c>
      <c r="D41" s="79">
        <f>+D39+D40</f>
        <v>44011393</v>
      </c>
      <c r="E41" s="79">
        <f>+E39+E40</f>
        <v>-2473686</v>
      </c>
      <c r="F41" s="80">
        <f>IF(C41=0,0,+E41/C41)</f>
        <v>-5.3214623987193829E-2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911</v>
      </c>
      <c r="C43" s="76">
        <f t="shared" ref="C43:D45" si="0">+C22+C33</f>
        <v>18697265</v>
      </c>
      <c r="D43" s="76">
        <f t="shared" si="0"/>
        <v>12099317</v>
      </c>
      <c r="E43" s="76">
        <f>+D43-C43</f>
        <v>-6597948</v>
      </c>
      <c r="F43" s="77">
        <f>IF(C43=0,0,+E43/C43)</f>
        <v>-0.35288305535595715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912</v>
      </c>
      <c r="C44" s="185">
        <f t="shared" si="0"/>
        <v>18304452</v>
      </c>
      <c r="D44" s="185">
        <f t="shared" si="0"/>
        <v>15733830</v>
      </c>
      <c r="E44" s="185">
        <f>+D44-C44</f>
        <v>-2570622</v>
      </c>
      <c r="F44" s="77">
        <f>IF(C44=0,0,+E44/C44)</f>
        <v>-0.14043698221612971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913</v>
      </c>
      <c r="C45" s="185">
        <f t="shared" si="0"/>
        <v>9483362</v>
      </c>
      <c r="D45" s="185">
        <f t="shared" si="0"/>
        <v>16178246</v>
      </c>
      <c r="E45" s="185">
        <f>+D45-C45</f>
        <v>6694884</v>
      </c>
      <c r="F45" s="77">
        <f>IF(C45=0,0,+E45/C45)</f>
        <v>0.70596102943238903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910</v>
      </c>
      <c r="C46" s="79">
        <f>+C43+C44+C45</f>
        <v>46485079</v>
      </c>
      <c r="D46" s="79">
        <f>+D43+D44+D45</f>
        <v>44011393</v>
      </c>
      <c r="E46" s="79">
        <f>+E43+E44+E45</f>
        <v>-2473686</v>
      </c>
      <c r="F46" s="80">
        <f>IF(C46=0,0,+E46/C46)</f>
        <v>-5.3214623987193829E-2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26" t="s">
        <v>914</v>
      </c>
      <c r="B48" s="827"/>
      <c r="C48" s="827"/>
      <c r="D48" s="827"/>
      <c r="E48" s="827"/>
      <c r="F48" s="828"/>
    </row>
  </sheetData>
  <mergeCells count="6">
    <mergeCell ref="A48:F48"/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FILING&amp;RHARTFORD HOSPITAL</oddHeader>
    <oddFooter>&amp;LREPORT 100&amp;CPAGE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/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632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915</v>
      </c>
      <c r="B5" s="833"/>
      <c r="C5" s="833"/>
      <c r="D5" s="833"/>
      <c r="E5" s="833"/>
      <c r="F5" s="834"/>
    </row>
    <row r="6" spans="1:14" ht="15.75" customHeight="1" x14ac:dyDescent="0.25">
      <c r="A6" s="832" t="s">
        <v>916</v>
      </c>
      <c r="B6" s="833"/>
      <c r="C6" s="833"/>
      <c r="D6" s="833"/>
      <c r="E6" s="833"/>
      <c r="F6" s="834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917</v>
      </c>
      <c r="D10" s="177" t="s">
        <v>917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918</v>
      </c>
      <c r="D11" s="693" t="s">
        <v>918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919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755770258</v>
      </c>
      <c r="D15" s="76">
        <v>774051584</v>
      </c>
      <c r="E15" s="76">
        <f>+D15-C15</f>
        <v>18281326</v>
      </c>
      <c r="F15" s="77">
        <f>IF(C15=0,0,E15/C15)</f>
        <v>2.4188998980163624E-2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920</v>
      </c>
      <c r="C17" s="76">
        <v>341149564</v>
      </c>
      <c r="D17" s="76">
        <v>337021984</v>
      </c>
      <c r="E17" s="76">
        <f>+D17-C17</f>
        <v>-4127580</v>
      </c>
      <c r="F17" s="77">
        <f>IF(C17=0,0,E17/C17)</f>
        <v>-1.2099033490190831E-2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921</v>
      </c>
      <c r="C19" s="79">
        <f>+C15-C17</f>
        <v>414620694</v>
      </c>
      <c r="D19" s="79">
        <f>+D15-D17</f>
        <v>437029600</v>
      </c>
      <c r="E19" s="79">
        <f>+D19-C19</f>
        <v>22408906</v>
      </c>
      <c r="F19" s="80">
        <f>IF(C19=0,0,E19/C19)</f>
        <v>5.4046762075025616E-2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922</v>
      </c>
      <c r="C21" s="720">
        <f>IF(C15=0,0,C17/C15)</f>
        <v>0.45139321161272794</v>
      </c>
      <c r="D21" s="720">
        <f>IF(D15=0,0,D17/D15)</f>
        <v>0.43539990223700648</v>
      </c>
      <c r="E21" s="720">
        <f>+D21-C21</f>
        <v>-1.5993309375721465E-2</v>
      </c>
      <c r="F21" s="80">
        <f>IF(C21=0,0,E21/C21)</f>
        <v>-3.5430992235308358E-2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923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rintOptions gridLines="1"/>
  <pageMargins left="0.25" right="0.25" top="0.5" bottom="0.5" header="0.25" footer="0.25"/>
  <pageSetup scale="67" fitToHeight="0" orientation="portrait" horizontalDpi="1200" verticalDpi="1200" r:id="rId1"/>
  <headerFooter>
    <oddHeader>&amp;LOFFICE OF HEALTH CARE ACCESS&amp;CTWELVE MONTHS ACTUAL FILING&amp;RHARTFORD HOSPITAL</oddHeader>
    <oddFooter>&amp;LREPORT 100&amp;CPAGE &amp;P of &amp;N&amp;R&amp;D,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zoomScale="75" workbookViewId="0">
      <selection sqref="A1:E1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924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925</v>
      </c>
      <c r="B6" s="734" t="s">
        <v>926</v>
      </c>
      <c r="C6" s="734" t="s">
        <v>927</v>
      </c>
      <c r="D6" s="734" t="s">
        <v>928</v>
      </c>
      <c r="E6" s="734" t="s">
        <v>929</v>
      </c>
    </row>
    <row r="7" spans="1:6" ht="37.5" customHeight="1" x14ac:dyDescent="0.25">
      <c r="A7" s="735" t="s">
        <v>8</v>
      </c>
      <c r="B7" s="736" t="s">
        <v>9</v>
      </c>
      <c r="C7" s="737" t="s">
        <v>930</v>
      </c>
      <c r="D7" s="737" t="s">
        <v>931</v>
      </c>
      <c r="E7" s="737" t="s">
        <v>932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933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934</v>
      </c>
      <c r="C10" s="744">
        <v>1378020729</v>
      </c>
      <c r="D10" s="744">
        <v>1483172403</v>
      </c>
      <c r="E10" s="744">
        <v>1549015766</v>
      </c>
    </row>
    <row r="11" spans="1:6" ht="26.1" customHeight="1" x14ac:dyDescent="0.25">
      <c r="A11" s="742">
        <v>2</v>
      </c>
      <c r="B11" s="743" t="s">
        <v>935</v>
      </c>
      <c r="C11" s="744">
        <v>671298555</v>
      </c>
      <c r="D11" s="744">
        <v>772588785</v>
      </c>
      <c r="E11" s="744">
        <v>862921266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2049319284</v>
      </c>
      <c r="D12" s="744">
        <f>+D11+D10</f>
        <v>2255761188</v>
      </c>
      <c r="E12" s="744">
        <f>+E11+E10</f>
        <v>2411937032</v>
      </c>
    </row>
    <row r="13" spans="1:6" ht="26.1" customHeight="1" x14ac:dyDescent="0.25">
      <c r="A13" s="742">
        <v>4</v>
      </c>
      <c r="B13" s="743" t="s">
        <v>507</v>
      </c>
      <c r="C13" s="744">
        <v>853959278</v>
      </c>
      <c r="D13" s="744">
        <v>926633051</v>
      </c>
      <c r="E13" s="744">
        <v>903784775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936</v>
      </c>
      <c r="C16" s="744">
        <v>963927041</v>
      </c>
      <c r="D16" s="744">
        <v>1046001610</v>
      </c>
      <c r="E16" s="744">
        <v>1075242367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937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223555</v>
      </c>
      <c r="D19" s="747">
        <v>233332</v>
      </c>
      <c r="E19" s="747">
        <v>235012</v>
      </c>
    </row>
    <row r="20" spans="1:5" ht="26.1" customHeight="1" x14ac:dyDescent="0.25">
      <c r="A20" s="742">
        <v>2</v>
      </c>
      <c r="B20" s="743" t="s">
        <v>381</v>
      </c>
      <c r="C20" s="748">
        <v>40674</v>
      </c>
      <c r="D20" s="748">
        <v>41251</v>
      </c>
      <c r="E20" s="748">
        <v>41809</v>
      </c>
    </row>
    <row r="21" spans="1:5" ht="26.1" customHeight="1" x14ac:dyDescent="0.25">
      <c r="A21" s="742">
        <v>3</v>
      </c>
      <c r="B21" s="743" t="s">
        <v>938</v>
      </c>
      <c r="C21" s="749">
        <f>IF(C20=0,0,+C19/C20)</f>
        <v>5.4962629689728084</v>
      </c>
      <c r="D21" s="749">
        <f>IF(D20=0,0,+D19/D20)</f>
        <v>5.6563962085767621</v>
      </c>
      <c r="E21" s="749">
        <f>IF(E20=0,0,+E19/E20)</f>
        <v>5.6210863689636206</v>
      </c>
    </row>
    <row r="22" spans="1:5" ht="26.1" customHeight="1" x14ac:dyDescent="0.25">
      <c r="A22" s="742">
        <v>4</v>
      </c>
      <c r="B22" s="743" t="s">
        <v>939</v>
      </c>
      <c r="C22" s="748">
        <f>IF(C10=0,0,C19*(C12/C10))</f>
        <v>332459.12989065057</v>
      </c>
      <c r="D22" s="748">
        <f>IF(D10=0,0,D19*(D12/D10))</f>
        <v>354875.31217125535</v>
      </c>
      <c r="E22" s="748">
        <f>IF(E10=0,0,E19*(E12/E10))</f>
        <v>365931.8118033823</v>
      </c>
    </row>
    <row r="23" spans="1:5" ht="26.1" customHeight="1" x14ac:dyDescent="0.25">
      <c r="A23" s="742">
        <v>0</v>
      </c>
      <c r="B23" s="743" t="s">
        <v>940</v>
      </c>
      <c r="C23" s="748">
        <f>IF(C10=0,0,C20*(C12/C10))</f>
        <v>60488.213858658142</v>
      </c>
      <c r="D23" s="748">
        <f>IF(D10=0,0,D20*(D12/D10))</f>
        <v>62738.764945984498</v>
      </c>
      <c r="E23" s="748">
        <f>IF(E10=0,0,E20*(E12/E10))</f>
        <v>65099.837964391649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941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1.5400943428234251</v>
      </c>
      <c r="D26" s="750">
        <v>1.5716669341349303</v>
      </c>
      <c r="E26" s="750">
        <v>1.571613014422732</v>
      </c>
    </row>
    <row r="27" spans="1:5" ht="26.1" customHeight="1" x14ac:dyDescent="0.25">
      <c r="A27" s="742">
        <v>2</v>
      </c>
      <c r="B27" s="743" t="s">
        <v>942</v>
      </c>
      <c r="C27" s="748">
        <f>C19*C26</f>
        <v>344295.79080989078</v>
      </c>
      <c r="D27" s="748">
        <f>D19*D26</f>
        <v>366720.18907557154</v>
      </c>
      <c r="E27" s="748">
        <f>E19*E26</f>
        <v>369347.91774551512</v>
      </c>
    </row>
    <row r="28" spans="1:5" ht="26.1" customHeight="1" x14ac:dyDescent="0.25">
      <c r="A28" s="742">
        <v>3</v>
      </c>
      <c r="B28" s="743" t="s">
        <v>943</v>
      </c>
      <c r="C28" s="748">
        <f>C20*C26</f>
        <v>62641.797299999991</v>
      </c>
      <c r="D28" s="748">
        <f>D20*D26</f>
        <v>64832.832700000014</v>
      </c>
      <c r="E28" s="748">
        <f>E20*E26</f>
        <v>65707.568520000001</v>
      </c>
    </row>
    <row r="29" spans="1:5" ht="26.1" customHeight="1" x14ac:dyDescent="0.25">
      <c r="A29" s="742">
        <v>4</v>
      </c>
      <c r="B29" s="743" t="s">
        <v>944</v>
      </c>
      <c r="C29" s="748">
        <f>C22*C26</f>
        <v>512018.42516458919</v>
      </c>
      <c r="D29" s="748">
        <f>D22*D26</f>
        <v>557745.79388037324</v>
      </c>
      <c r="E29" s="748">
        <f>E22*E26</f>
        <v>575103.19782148558</v>
      </c>
    </row>
    <row r="30" spans="1:5" ht="26.1" customHeight="1" x14ac:dyDescent="0.25">
      <c r="A30" s="742">
        <v>5</v>
      </c>
      <c r="B30" s="743" t="s">
        <v>945</v>
      </c>
      <c r="C30" s="748">
        <f>C23*C26</f>
        <v>93157.555971212903</v>
      </c>
      <c r="D30" s="748">
        <f>D23*D26</f>
        <v>98604.442354067491</v>
      </c>
      <c r="E30" s="748">
        <f>E23*E26</f>
        <v>102311.75258164897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946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947</v>
      </c>
      <c r="C33" s="744">
        <f>IF(C19=0,0,C12/C19)</f>
        <v>9166.9579477086172</v>
      </c>
      <c r="D33" s="744">
        <f>IF(D19=0,0,D12/D19)</f>
        <v>9667.6031920182395</v>
      </c>
      <c r="E33" s="744">
        <f>IF(E19=0,0,E12/E19)</f>
        <v>10263.037768284174</v>
      </c>
    </row>
    <row r="34" spans="1:5" ht="26.1" customHeight="1" x14ac:dyDescent="0.25">
      <c r="A34" s="742">
        <v>2</v>
      </c>
      <c r="B34" s="743" t="s">
        <v>948</v>
      </c>
      <c r="C34" s="744">
        <f>IF(C20=0,0,C12/C20)</f>
        <v>50384.011506121846</v>
      </c>
      <c r="D34" s="744">
        <f>IF(D20=0,0,D12/D20)</f>
        <v>54683.794041356574</v>
      </c>
      <c r="E34" s="744">
        <f>IF(E20=0,0,E12/E20)</f>
        <v>57689.421703460976</v>
      </c>
    </row>
    <row r="35" spans="1:5" ht="26.1" customHeight="1" x14ac:dyDescent="0.25">
      <c r="A35" s="742">
        <v>3</v>
      </c>
      <c r="B35" s="743" t="s">
        <v>949</v>
      </c>
      <c r="C35" s="744">
        <f>IF(C22=0,0,C12/C22)</f>
        <v>6164.1239471271056</v>
      </c>
      <c r="D35" s="744">
        <f>IF(D22=0,0,D12/D22)</f>
        <v>6356.4894785113065</v>
      </c>
      <c r="E35" s="744">
        <f>IF(E22=0,0,E12/E22)</f>
        <v>6591.219878133882</v>
      </c>
    </row>
    <row r="36" spans="1:5" ht="26.1" customHeight="1" x14ac:dyDescent="0.25">
      <c r="A36" s="742">
        <v>4</v>
      </c>
      <c r="B36" s="743" t="s">
        <v>950</v>
      </c>
      <c r="C36" s="744">
        <f>IF(C23=0,0,C12/C23)</f>
        <v>33879.646186753213</v>
      </c>
      <c r="D36" s="744">
        <f>IF(D23=0,0,D12/D23)</f>
        <v>35954.82298610943</v>
      </c>
      <c r="E36" s="744">
        <f>IF(E23=0,0,E12/E23)</f>
        <v>37049.81621182042</v>
      </c>
    </row>
    <row r="37" spans="1:5" ht="26.1" customHeight="1" x14ac:dyDescent="0.25">
      <c r="A37" s="742">
        <v>5</v>
      </c>
      <c r="B37" s="743" t="s">
        <v>951</v>
      </c>
      <c r="C37" s="744">
        <f>IF(C29=0,0,C12/C29)</f>
        <v>4002.4326924196971</v>
      </c>
      <c r="D37" s="744">
        <f>IF(D29=0,0,D12/D29)</f>
        <v>4044.4252789539128</v>
      </c>
      <c r="E37" s="744">
        <f>IF(E29=0,0,E12/E29)</f>
        <v>4193.9203974808624</v>
      </c>
    </row>
    <row r="38" spans="1:5" ht="26.1" customHeight="1" x14ac:dyDescent="0.25">
      <c r="A38" s="742">
        <v>6</v>
      </c>
      <c r="B38" s="743" t="s">
        <v>952</v>
      </c>
      <c r="C38" s="744">
        <f>IF(C30=0,0,C12/C30)</f>
        <v>21998.422593152514</v>
      </c>
      <c r="D38" s="744">
        <f>IF(D30=0,0,D12/D30)</f>
        <v>22876.871813746926</v>
      </c>
      <c r="E38" s="744">
        <f>IF(E30=0,0,E12/E30)</f>
        <v>23574.388778798169</v>
      </c>
    </row>
    <row r="39" spans="1:5" ht="26.1" customHeight="1" x14ac:dyDescent="0.25">
      <c r="A39" s="742">
        <v>7</v>
      </c>
      <c r="B39" s="743" t="s">
        <v>953</v>
      </c>
      <c r="C39" s="744">
        <f>IF(C22=0,0,C10/C22)</f>
        <v>4144.9327303877808</v>
      </c>
      <c r="D39" s="744">
        <f>IF(D22=0,0,D10/D22)</f>
        <v>4179.4183819815908</v>
      </c>
      <c r="E39" s="744">
        <f>IF(E22=0,0,E10/E22)</f>
        <v>4233.072162723849</v>
      </c>
    </row>
    <row r="40" spans="1:5" ht="26.1" customHeight="1" x14ac:dyDescent="0.25">
      <c r="A40" s="742">
        <v>8</v>
      </c>
      <c r="B40" s="743" t="s">
        <v>954</v>
      </c>
      <c r="C40" s="744">
        <f>IF(C23=0,0,C10/C23)</f>
        <v>22781.640274913712</v>
      </c>
      <c r="D40" s="744">
        <f>IF(D23=0,0,D10/D23)</f>
        <v>23640.446289896696</v>
      </c>
      <c r="E40" s="744">
        <f>IF(E23=0,0,E10/E23)</f>
        <v>23794.464232726379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955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956</v>
      </c>
      <c r="C43" s="744">
        <f>IF(C19=0,0,C13/C19)</f>
        <v>3819.9068596094921</v>
      </c>
      <c r="D43" s="744">
        <f>IF(D19=0,0,D13/D19)</f>
        <v>3971.3071974697</v>
      </c>
      <c r="E43" s="744">
        <f>IF(E19=0,0,E13/E19)</f>
        <v>3845.6962835940294</v>
      </c>
    </row>
    <row r="44" spans="1:5" ht="26.1" customHeight="1" x14ac:dyDescent="0.25">
      <c r="A44" s="742">
        <v>2</v>
      </c>
      <c r="B44" s="743" t="s">
        <v>957</v>
      </c>
      <c r="C44" s="744">
        <f>IF(C20=0,0,C13/C20)</f>
        <v>20995.212617396865</v>
      </c>
      <c r="D44" s="744">
        <f>IF(D20=0,0,D13/D20)</f>
        <v>22463.286974861214</v>
      </c>
      <c r="E44" s="744">
        <f>IF(E20=0,0,E13/E20)</f>
        <v>21616.990958884449</v>
      </c>
    </row>
    <row r="45" spans="1:5" ht="26.1" customHeight="1" x14ac:dyDescent="0.25">
      <c r="A45" s="742">
        <v>3</v>
      </c>
      <c r="B45" s="743" t="s">
        <v>958</v>
      </c>
      <c r="C45" s="744">
        <f>IF(C22=0,0,C13/C22)</f>
        <v>2568.6143084140194</v>
      </c>
      <c r="D45" s="744">
        <f>IF(D22=0,0,D13/D22)</f>
        <v>2611.1510697391832</v>
      </c>
      <c r="E45" s="744">
        <f>IF(E22=0,0,E13/E22)</f>
        <v>2469.8174519071599</v>
      </c>
    </row>
    <row r="46" spans="1:5" ht="26.1" customHeight="1" x14ac:dyDescent="0.25">
      <c r="A46" s="742">
        <v>4</v>
      </c>
      <c r="B46" s="743" t="s">
        <v>959</v>
      </c>
      <c r="C46" s="744">
        <f>IF(C23=0,0,C13/C23)</f>
        <v>14117.779704909673</v>
      </c>
      <c r="D46" s="744">
        <f>IF(D23=0,0,D13/D23)</f>
        <v>14769.705010893871</v>
      </c>
      <c r="E46" s="744">
        <f>IF(E23=0,0,E13/E23)</f>
        <v>13883.057212743797</v>
      </c>
    </row>
    <row r="47" spans="1:5" ht="26.1" customHeight="1" x14ac:dyDescent="0.25">
      <c r="A47" s="742">
        <v>5</v>
      </c>
      <c r="B47" s="743" t="s">
        <v>960</v>
      </c>
      <c r="C47" s="744">
        <f>IF(C29=0,0,C13/C29)</f>
        <v>1667.829195258927</v>
      </c>
      <c r="D47" s="744">
        <f>IF(D29=0,0,D13/D29)</f>
        <v>1661.3895813596162</v>
      </c>
      <c r="E47" s="744">
        <f>IF(E29=0,0,E13/E29)</f>
        <v>1571.5175614108452</v>
      </c>
    </row>
    <row r="48" spans="1:5" ht="26.1" customHeight="1" x14ac:dyDescent="0.25">
      <c r="A48" s="742">
        <v>6</v>
      </c>
      <c r="B48" s="743" t="s">
        <v>961</v>
      </c>
      <c r="C48" s="744">
        <f>IF(C30=0,0,C13/C30)</f>
        <v>9166.8278444733605</v>
      </c>
      <c r="D48" s="744">
        <f>IF(D30=0,0,D13/D30)</f>
        <v>9397.4777289714657</v>
      </c>
      <c r="E48" s="744">
        <f>IF(E30=0,0,E13/E30)</f>
        <v>8833.6359430334523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962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963</v>
      </c>
      <c r="C51" s="744">
        <f>IF(C19=0,0,C16/C19)</f>
        <v>4311.8115944622132</v>
      </c>
      <c r="D51" s="744">
        <f>IF(D19=0,0,D16/D19)</f>
        <v>4482.8896593694817</v>
      </c>
      <c r="E51" s="744">
        <f>IF(E19=0,0,E16/E19)</f>
        <v>4575.2658034483347</v>
      </c>
    </row>
    <row r="52" spans="1:6" ht="26.1" customHeight="1" x14ac:dyDescent="0.25">
      <c r="A52" s="742">
        <v>2</v>
      </c>
      <c r="B52" s="743" t="s">
        <v>964</v>
      </c>
      <c r="C52" s="744">
        <f>IF(C20=0,0,C16/C20)</f>
        <v>23698.850395830261</v>
      </c>
      <c r="D52" s="744">
        <f>IF(D20=0,0,D16/D20)</f>
        <v>25357.00007272551</v>
      </c>
      <c r="E52" s="744">
        <f>IF(E20=0,0,E16/E20)</f>
        <v>25717.964242148821</v>
      </c>
    </row>
    <row r="53" spans="1:6" ht="26.1" customHeight="1" x14ac:dyDescent="0.25">
      <c r="A53" s="742">
        <v>3</v>
      </c>
      <c r="B53" s="743" t="s">
        <v>965</v>
      </c>
      <c r="C53" s="744">
        <f>IF(C22=0,0,C16/C22)</f>
        <v>2899.3850802564698</v>
      </c>
      <c r="D53" s="744">
        <f>IF(D22=0,0,D16/D22)</f>
        <v>2947.5186752219656</v>
      </c>
      <c r="E53" s="744">
        <f>IF(E22=0,0,E16/E22)</f>
        <v>2938.3681120835026</v>
      </c>
    </row>
    <row r="54" spans="1:6" ht="26.1" customHeight="1" x14ac:dyDescent="0.25">
      <c r="A54" s="742">
        <v>4</v>
      </c>
      <c r="B54" s="743" t="s">
        <v>966</v>
      </c>
      <c r="C54" s="744">
        <f>IF(C23=0,0,C16/C23)</f>
        <v>15935.782849405889</v>
      </c>
      <c r="D54" s="744">
        <f>IF(D23=0,0,D16/D23)</f>
        <v>16672.333459234724</v>
      </c>
      <c r="E54" s="744">
        <f>IF(E23=0,0,E16/E23)</f>
        <v>16516.820941829945</v>
      </c>
    </row>
    <row r="55" spans="1:6" ht="26.1" customHeight="1" x14ac:dyDescent="0.25">
      <c r="A55" s="742">
        <v>5</v>
      </c>
      <c r="B55" s="743" t="s">
        <v>967</v>
      </c>
      <c r="C55" s="744">
        <f>IF(C29=0,0,C16/C29)</f>
        <v>1882.6022534055176</v>
      </c>
      <c r="D55" s="744">
        <f>IF(D29=0,0,D16/D29)</f>
        <v>1875.4092302923743</v>
      </c>
      <c r="E55" s="744">
        <f>IF(E29=0,0,E16/E29)</f>
        <v>1869.6511705604526</v>
      </c>
    </row>
    <row r="56" spans="1:6" ht="26.1" customHeight="1" x14ac:dyDescent="0.25">
      <c r="A56" s="742">
        <v>6</v>
      </c>
      <c r="B56" s="743" t="s">
        <v>968</v>
      </c>
      <c r="C56" s="744">
        <f>IF(C30=0,0,C16/C30)</f>
        <v>10347.277050697508</v>
      </c>
      <c r="D56" s="744">
        <f>IF(D30=0,0,D16/D30)</f>
        <v>10608.057659755648</v>
      </c>
      <c r="E56" s="744">
        <f>IF(E30=0,0,E16/E30)</f>
        <v>10509.470709554238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969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970</v>
      </c>
      <c r="C59" s="752">
        <v>140350779</v>
      </c>
      <c r="D59" s="752">
        <v>140913540</v>
      </c>
      <c r="E59" s="752">
        <v>140683001</v>
      </c>
    </row>
    <row r="60" spans="1:6" ht="26.1" customHeight="1" x14ac:dyDescent="0.25">
      <c r="A60" s="742">
        <v>2</v>
      </c>
      <c r="B60" s="743" t="s">
        <v>971</v>
      </c>
      <c r="C60" s="752">
        <v>41738240</v>
      </c>
      <c r="D60" s="752">
        <v>47150448</v>
      </c>
      <c r="E60" s="752">
        <v>50716032</v>
      </c>
    </row>
    <row r="61" spans="1:6" ht="26.1" customHeight="1" x14ac:dyDescent="0.25">
      <c r="A61" s="753">
        <v>3</v>
      </c>
      <c r="B61" s="754" t="s">
        <v>972</v>
      </c>
      <c r="C61" s="755">
        <f>C59+C60</f>
        <v>182089019</v>
      </c>
      <c r="D61" s="755">
        <f>D59+D60</f>
        <v>188063988</v>
      </c>
      <c r="E61" s="755">
        <f>E59+E60</f>
        <v>191399033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973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974</v>
      </c>
      <c r="C64" s="744">
        <v>42066899</v>
      </c>
      <c r="D64" s="744">
        <v>40875101</v>
      </c>
      <c r="E64" s="752">
        <v>42632896</v>
      </c>
      <c r="F64" s="756"/>
    </row>
    <row r="65" spans="1:6" ht="26.1" customHeight="1" x14ac:dyDescent="0.25">
      <c r="A65" s="742">
        <v>2</v>
      </c>
      <c r="B65" s="743" t="s">
        <v>975</v>
      </c>
      <c r="C65" s="752">
        <v>12510072</v>
      </c>
      <c r="D65" s="752">
        <v>13677034</v>
      </c>
      <c r="E65" s="752">
        <v>15369101</v>
      </c>
      <c r="F65" s="756"/>
    </row>
    <row r="66" spans="1:6" ht="26.1" customHeight="1" x14ac:dyDescent="0.25">
      <c r="A66" s="753">
        <v>3</v>
      </c>
      <c r="B66" s="754" t="s">
        <v>976</v>
      </c>
      <c r="C66" s="757">
        <f>C64+C65</f>
        <v>54576971</v>
      </c>
      <c r="D66" s="757">
        <f>D64+D65</f>
        <v>54552135</v>
      </c>
      <c r="E66" s="757">
        <f>E64+E65</f>
        <v>58001997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977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978</v>
      </c>
      <c r="C69" s="752">
        <v>250921753</v>
      </c>
      <c r="D69" s="752">
        <v>271163840</v>
      </c>
      <c r="E69" s="752">
        <v>287140095</v>
      </c>
    </row>
    <row r="70" spans="1:6" ht="26.1" customHeight="1" x14ac:dyDescent="0.25">
      <c r="A70" s="742">
        <v>2</v>
      </c>
      <c r="B70" s="743" t="s">
        <v>979</v>
      </c>
      <c r="C70" s="752">
        <v>74620408</v>
      </c>
      <c r="D70" s="752">
        <v>90732918</v>
      </c>
      <c r="E70" s="752">
        <v>98724685</v>
      </c>
    </row>
    <row r="71" spans="1:6" ht="26.1" customHeight="1" x14ac:dyDescent="0.25">
      <c r="A71" s="753">
        <v>3</v>
      </c>
      <c r="B71" s="754" t="s">
        <v>980</v>
      </c>
      <c r="C71" s="755">
        <f>C69+C70</f>
        <v>325542161</v>
      </c>
      <c r="D71" s="755">
        <f>D69+D70</f>
        <v>361896758</v>
      </c>
      <c r="E71" s="755">
        <f>E69+E70</f>
        <v>385864780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981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982</v>
      </c>
      <c r="C75" s="744">
        <f t="shared" ref="C75:E76" si="0">+C59+C64+C69</f>
        <v>433339431</v>
      </c>
      <c r="D75" s="744">
        <f t="shared" si="0"/>
        <v>452952481</v>
      </c>
      <c r="E75" s="744">
        <f t="shared" si="0"/>
        <v>470455992</v>
      </c>
    </row>
    <row r="76" spans="1:6" ht="26.1" customHeight="1" x14ac:dyDescent="0.25">
      <c r="A76" s="742">
        <v>2</v>
      </c>
      <c r="B76" s="743" t="s">
        <v>983</v>
      </c>
      <c r="C76" s="744">
        <f t="shared" si="0"/>
        <v>128868720</v>
      </c>
      <c r="D76" s="744">
        <f t="shared" si="0"/>
        <v>151560400</v>
      </c>
      <c r="E76" s="744">
        <f t="shared" si="0"/>
        <v>164809818</v>
      </c>
    </row>
    <row r="77" spans="1:6" ht="26.1" customHeight="1" x14ac:dyDescent="0.25">
      <c r="A77" s="753">
        <v>3</v>
      </c>
      <c r="B77" s="754" t="s">
        <v>981</v>
      </c>
      <c r="C77" s="757">
        <f>C75+C76</f>
        <v>562208151</v>
      </c>
      <c r="D77" s="757">
        <f>D75+D76</f>
        <v>604512881</v>
      </c>
      <c r="E77" s="757">
        <f>E75+E76</f>
        <v>635265810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984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1567.4</v>
      </c>
      <c r="D80" s="749">
        <v>1573.5</v>
      </c>
      <c r="E80" s="749">
        <v>1562</v>
      </c>
    </row>
    <row r="81" spans="1:5" ht="26.1" customHeight="1" x14ac:dyDescent="0.25">
      <c r="A81" s="742">
        <v>2</v>
      </c>
      <c r="B81" s="743" t="s">
        <v>617</v>
      </c>
      <c r="C81" s="749">
        <v>226.2</v>
      </c>
      <c r="D81" s="749">
        <v>222</v>
      </c>
      <c r="E81" s="749">
        <v>230.2</v>
      </c>
    </row>
    <row r="82" spans="1:5" ht="26.1" customHeight="1" x14ac:dyDescent="0.25">
      <c r="A82" s="742">
        <v>3</v>
      </c>
      <c r="B82" s="743" t="s">
        <v>985</v>
      </c>
      <c r="C82" s="749">
        <v>4044.7</v>
      </c>
      <c r="D82" s="749">
        <v>4238</v>
      </c>
      <c r="E82" s="749">
        <v>4332.7</v>
      </c>
    </row>
    <row r="83" spans="1:5" ht="26.1" customHeight="1" x14ac:dyDescent="0.25">
      <c r="A83" s="753">
        <v>4</v>
      </c>
      <c r="B83" s="754" t="s">
        <v>984</v>
      </c>
      <c r="C83" s="759">
        <f>C80+C81+C82</f>
        <v>5838.3</v>
      </c>
      <c r="D83" s="759">
        <f>D80+D81+D82</f>
        <v>6033.5</v>
      </c>
      <c r="E83" s="759">
        <f>E80+E81+E82</f>
        <v>6124.9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986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987</v>
      </c>
      <c r="C86" s="752">
        <f>IF(C80=0,0,C59/C80)</f>
        <v>89543.689549572533</v>
      </c>
      <c r="D86" s="752">
        <f>IF(D80=0,0,D59/D80)</f>
        <v>89554.204003813153</v>
      </c>
      <c r="E86" s="752">
        <f>IF(E80=0,0,E59/E80)</f>
        <v>90065.941741357237</v>
      </c>
    </row>
    <row r="87" spans="1:5" ht="26.1" customHeight="1" x14ac:dyDescent="0.25">
      <c r="A87" s="742">
        <v>2</v>
      </c>
      <c r="B87" s="743" t="s">
        <v>988</v>
      </c>
      <c r="C87" s="752">
        <f>IF(C80=0,0,C60/C80)</f>
        <v>26628.9651652418</v>
      </c>
      <c r="D87" s="752">
        <f>IF(D80=0,0,D60/D80)</f>
        <v>29965.330791229742</v>
      </c>
      <c r="E87" s="752">
        <f>IF(E80=0,0,E60/E80)</f>
        <v>32468.650448143406</v>
      </c>
    </row>
    <row r="88" spans="1:5" ht="26.1" customHeight="1" x14ac:dyDescent="0.25">
      <c r="A88" s="753">
        <v>3</v>
      </c>
      <c r="B88" s="754" t="s">
        <v>989</v>
      </c>
      <c r="C88" s="755">
        <f>+C86+C87</f>
        <v>116172.65471481433</v>
      </c>
      <c r="D88" s="755">
        <f>+D86+D87</f>
        <v>119519.5347950429</v>
      </c>
      <c r="E88" s="755">
        <f>+E86+E87</f>
        <v>122534.59218950065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990</v>
      </c>
    </row>
    <row r="91" spans="1:5" ht="26.1" customHeight="1" x14ac:dyDescent="0.25">
      <c r="A91" s="742">
        <v>1</v>
      </c>
      <c r="B91" s="743" t="s">
        <v>991</v>
      </c>
      <c r="C91" s="744">
        <f>IF(C81=0,0,C64/C81)</f>
        <v>185972.14412024757</v>
      </c>
      <c r="D91" s="744">
        <f>IF(D81=0,0,D64/D81)</f>
        <v>184122.07657657657</v>
      </c>
      <c r="E91" s="744">
        <f>IF(E81=0,0,E64/E81)</f>
        <v>185199.37445699392</v>
      </c>
    </row>
    <row r="92" spans="1:5" ht="26.1" customHeight="1" x14ac:dyDescent="0.25">
      <c r="A92" s="742">
        <v>2</v>
      </c>
      <c r="B92" s="743" t="s">
        <v>992</v>
      </c>
      <c r="C92" s="744">
        <f>IF(C81=0,0,C65/C81)</f>
        <v>55305.358090185677</v>
      </c>
      <c r="D92" s="744">
        <f>IF(D81=0,0,D65/D81)</f>
        <v>61608.261261261265</v>
      </c>
      <c r="E92" s="744">
        <f>IF(E81=0,0,E65/E81)</f>
        <v>66764.122502172031</v>
      </c>
    </row>
    <row r="93" spans="1:5" ht="26.1" customHeight="1" x14ac:dyDescent="0.25">
      <c r="A93" s="753">
        <v>3</v>
      </c>
      <c r="B93" s="754" t="s">
        <v>993</v>
      </c>
      <c r="C93" s="757">
        <f>+C91+C92</f>
        <v>241277.50221043325</v>
      </c>
      <c r="D93" s="757">
        <f>+D91+D92</f>
        <v>245730.33783783784</v>
      </c>
      <c r="E93" s="757">
        <f>+E91+E92</f>
        <v>251963.49695916596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994</v>
      </c>
      <c r="B95" s="745" t="s">
        <v>995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996</v>
      </c>
      <c r="C96" s="752">
        <f>IF(C82=0,0,C69/C82)</f>
        <v>62037.172843474182</v>
      </c>
      <c r="D96" s="752">
        <f>IF(D82=0,0,D69/D82)</f>
        <v>63983.91694195375</v>
      </c>
      <c r="E96" s="752">
        <f>IF(E82=0,0,E69/E82)</f>
        <v>66272.784868557719</v>
      </c>
    </row>
    <row r="97" spans="1:5" ht="26.1" customHeight="1" x14ac:dyDescent="0.25">
      <c r="A97" s="742">
        <v>2</v>
      </c>
      <c r="B97" s="743" t="s">
        <v>997</v>
      </c>
      <c r="C97" s="752">
        <f>IF(C82=0,0,C70/C82)</f>
        <v>18448.93514970208</v>
      </c>
      <c r="D97" s="752">
        <f>IF(D82=0,0,D70/D82)</f>
        <v>21409.371873525248</v>
      </c>
      <c r="E97" s="752">
        <f>IF(E82=0,0,E70/E82)</f>
        <v>22785.949869596327</v>
      </c>
    </row>
    <row r="98" spans="1:5" ht="26.1" customHeight="1" x14ac:dyDescent="0.25">
      <c r="A98" s="753">
        <v>3</v>
      </c>
      <c r="B98" s="754" t="s">
        <v>998</v>
      </c>
      <c r="C98" s="757">
        <f>+C96+C97</f>
        <v>80486.107993176265</v>
      </c>
      <c r="D98" s="757">
        <f>+D96+D97</f>
        <v>85393.288815478998</v>
      </c>
      <c r="E98" s="757">
        <f>+E96+E97</f>
        <v>89058.734738154046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999</v>
      </c>
      <c r="B100" s="745" t="s">
        <v>1000</v>
      </c>
    </row>
    <row r="101" spans="1:5" ht="26.1" customHeight="1" x14ac:dyDescent="0.25">
      <c r="A101" s="742">
        <v>1</v>
      </c>
      <c r="B101" s="743" t="s">
        <v>1001</v>
      </c>
      <c r="C101" s="744">
        <f>IF(C83=0,0,C75/C83)</f>
        <v>74223.563537331065</v>
      </c>
      <c r="D101" s="744">
        <f>IF(D83=0,0,D75/D83)</f>
        <v>75072.923013176434</v>
      </c>
      <c r="E101" s="744">
        <f>IF(E83=0,0,E75/E83)</f>
        <v>76810.395598295494</v>
      </c>
    </row>
    <row r="102" spans="1:5" ht="26.1" customHeight="1" x14ac:dyDescent="0.25">
      <c r="A102" s="742">
        <v>2</v>
      </c>
      <c r="B102" s="743" t="s">
        <v>1002</v>
      </c>
      <c r="C102" s="761">
        <f>IF(C83=0,0,C76/C83)</f>
        <v>22072.986999640307</v>
      </c>
      <c r="D102" s="761">
        <f>IF(D83=0,0,D76/D83)</f>
        <v>25119.814369768792</v>
      </c>
      <c r="E102" s="761">
        <f>IF(E83=0,0,E76/E83)</f>
        <v>26908.164704729876</v>
      </c>
    </row>
    <row r="103" spans="1:5" ht="26.1" customHeight="1" x14ac:dyDescent="0.25">
      <c r="A103" s="753">
        <v>3</v>
      </c>
      <c r="B103" s="754" t="s">
        <v>1000</v>
      </c>
      <c r="C103" s="757">
        <f>+C101+C102</f>
        <v>96296.550536971365</v>
      </c>
      <c r="D103" s="757">
        <f>+D101+D102</f>
        <v>100192.73738294523</v>
      </c>
      <c r="E103" s="757">
        <f>+E101+E102</f>
        <v>103718.56030302537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1003</v>
      </c>
      <c r="B107" s="736" t="s">
        <v>1004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1005</v>
      </c>
      <c r="C108" s="744">
        <f>IF(C19=0,0,C77/C19)</f>
        <v>2514.8538435731698</v>
      </c>
      <c r="D108" s="744">
        <f>IF(D19=0,0,D77/D19)</f>
        <v>2590.7842944816825</v>
      </c>
      <c r="E108" s="744">
        <f>IF(E19=0,0,E77/E19)</f>
        <v>2703.1207342603784</v>
      </c>
    </row>
    <row r="109" spans="1:5" ht="26.1" customHeight="1" x14ac:dyDescent="0.25">
      <c r="A109" s="742">
        <v>2</v>
      </c>
      <c r="B109" s="743" t="s">
        <v>1006</v>
      </c>
      <c r="C109" s="744">
        <f>IF(C20=0,0,C77/C20)</f>
        <v>13822.298052810149</v>
      </c>
      <c r="D109" s="744">
        <f>IF(D20=0,0,D77/D20)</f>
        <v>14654.502460546411</v>
      </c>
      <c r="E109" s="744">
        <f>IF(E20=0,0,E77/E20)</f>
        <v>15194.475113013945</v>
      </c>
    </row>
    <row r="110" spans="1:5" ht="26.1" customHeight="1" x14ac:dyDescent="0.25">
      <c r="A110" s="742">
        <v>3</v>
      </c>
      <c r="B110" s="743" t="s">
        <v>1007</v>
      </c>
      <c r="C110" s="744">
        <f>IF(C22=0,0,C77/C22)</f>
        <v>1691.0594429604516</v>
      </c>
      <c r="D110" s="744">
        <f>IF(D22=0,0,D77/D22)</f>
        <v>1703.4514948401786</v>
      </c>
      <c r="E110" s="744">
        <f>IF(E22=0,0,E77/E22)</f>
        <v>1736.0223667608673</v>
      </c>
    </row>
    <row r="111" spans="1:5" ht="26.1" customHeight="1" x14ac:dyDescent="0.25">
      <c r="A111" s="742">
        <v>4</v>
      </c>
      <c r="B111" s="743" t="s">
        <v>1008</v>
      </c>
      <c r="C111" s="744">
        <f>IF(C23=0,0,C77/C23)</f>
        <v>9294.5073946753146</v>
      </c>
      <c r="D111" s="744">
        <f>IF(D23=0,0,D77/D23)</f>
        <v>9635.3965769084043</v>
      </c>
      <c r="E111" s="744">
        <f>IF(E23=0,0,E77/E23)</f>
        <v>9758.3316620154746</v>
      </c>
    </row>
    <row r="112" spans="1:5" ht="26.1" customHeight="1" x14ac:dyDescent="0.25">
      <c r="A112" s="742">
        <v>5</v>
      </c>
      <c r="B112" s="743" t="s">
        <v>1009</v>
      </c>
      <c r="C112" s="744">
        <f>IF(C29=0,0,C77/C29)</f>
        <v>1098.023280742831</v>
      </c>
      <c r="D112" s="744">
        <f>IF(D29=0,0,D77/D29)</f>
        <v>1083.8501834218359</v>
      </c>
      <c r="E112" s="744">
        <f>IF(E29=0,0,E77/E29)</f>
        <v>1104.6118547182712</v>
      </c>
    </row>
    <row r="113" spans="1:7" ht="25.5" customHeight="1" x14ac:dyDescent="0.25">
      <c r="A113" s="742">
        <v>6</v>
      </c>
      <c r="B113" s="743" t="s">
        <v>1010</v>
      </c>
      <c r="C113" s="744">
        <f>IF(C30=0,0,C77/C30)</f>
        <v>6035.0246970168564</v>
      </c>
      <c r="D113" s="744">
        <f>IF(D30=0,0,D77/D30)</f>
        <v>6130.6860681725002</v>
      </c>
      <c r="E113" s="744">
        <f>IF(E30=0,0,E77/E30)</f>
        <v>6209.1186395524983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68" fitToHeight="0" orientation="portrait" horizontalDpi="1200" verticalDpi="1200" r:id="rId1"/>
  <headerFooter>
    <oddHeader>&amp;LOFFICE OF HEALTH CARE ACCESS&amp;CTWELVE MONTHS ACTUAL FILING&amp;RHARTFORD HOSPITAL</oddHeader>
    <oddFooter>&amp;LREPORT 100&amp;CPAGE &amp;P of &amp;N&amp;R&amp;D,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2255761188</v>
      </c>
      <c r="D12" s="76">
        <v>2411937033</v>
      </c>
      <c r="E12" s="76">
        <f t="shared" ref="E12:E21" si="0">D12-C12</f>
        <v>156175845</v>
      </c>
      <c r="F12" s="77">
        <f t="shared" ref="F12:F21" si="1">IF(C12=0,0,E12/C12)</f>
        <v>6.9234210532041485E-2</v>
      </c>
    </row>
    <row r="13" spans="1:8" ht="23.1" customHeight="1" x14ac:dyDescent="0.2">
      <c r="A13" s="74">
        <v>2</v>
      </c>
      <c r="B13" s="75" t="s">
        <v>72</v>
      </c>
      <c r="C13" s="76">
        <v>1303734039</v>
      </c>
      <c r="D13" s="76">
        <v>1462507969</v>
      </c>
      <c r="E13" s="76">
        <f t="shared" si="0"/>
        <v>158773930</v>
      </c>
      <c r="F13" s="77">
        <f t="shared" si="1"/>
        <v>0.12178398756987582</v>
      </c>
    </row>
    <row r="14" spans="1:8" ht="23.1" customHeight="1" x14ac:dyDescent="0.2">
      <c r="A14" s="74">
        <v>3</v>
      </c>
      <c r="B14" s="75" t="s">
        <v>73</v>
      </c>
      <c r="C14" s="76">
        <v>25394098</v>
      </c>
      <c r="D14" s="76">
        <v>28176676</v>
      </c>
      <c r="E14" s="76">
        <f t="shared" si="0"/>
        <v>2782578</v>
      </c>
      <c r="F14" s="77">
        <f t="shared" si="1"/>
        <v>0.10957577622957901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926633051</v>
      </c>
      <c r="D16" s="79">
        <f>D12-D13-D14-D15</f>
        <v>921252388</v>
      </c>
      <c r="E16" s="79">
        <f t="shared" si="0"/>
        <v>-5380663</v>
      </c>
      <c r="F16" s="80">
        <f t="shared" si="1"/>
        <v>-5.8066815059028146E-3</v>
      </c>
    </row>
    <row r="17" spans="1:7" ht="23.1" customHeight="1" x14ac:dyDescent="0.2">
      <c r="A17" s="74">
        <v>5</v>
      </c>
      <c r="B17" s="75" t="s">
        <v>76</v>
      </c>
      <c r="C17" s="76">
        <v>0</v>
      </c>
      <c r="D17" s="76">
        <v>17467613</v>
      </c>
      <c r="E17" s="76">
        <f t="shared" si="0"/>
        <v>17467613</v>
      </c>
      <c r="F17" s="77">
        <f t="shared" si="1"/>
        <v>0</v>
      </c>
      <c r="G17" s="65"/>
    </row>
    <row r="18" spans="1:7" ht="31.5" customHeight="1" x14ac:dyDescent="0.25">
      <c r="A18" s="71"/>
      <c r="B18" s="81" t="s">
        <v>77</v>
      </c>
      <c r="C18" s="79">
        <f>C16-C17</f>
        <v>926633051</v>
      </c>
      <c r="D18" s="79">
        <f>D16-D17</f>
        <v>903784775</v>
      </c>
      <c r="E18" s="79">
        <f t="shared" si="0"/>
        <v>-22848276</v>
      </c>
      <c r="F18" s="80">
        <f t="shared" si="1"/>
        <v>-2.4657307415640629E-2</v>
      </c>
    </row>
    <row r="19" spans="1:7" ht="23.1" customHeight="1" x14ac:dyDescent="0.2">
      <c r="A19" s="74">
        <v>6</v>
      </c>
      <c r="B19" s="75" t="s">
        <v>78</v>
      </c>
      <c r="C19" s="76">
        <v>164600638</v>
      </c>
      <c r="D19" s="76">
        <v>158990982</v>
      </c>
      <c r="E19" s="76">
        <f t="shared" si="0"/>
        <v>-5609656</v>
      </c>
      <c r="F19" s="77">
        <f t="shared" si="1"/>
        <v>-3.4080402531611084E-2</v>
      </c>
      <c r="G19" s="65"/>
    </row>
    <row r="20" spans="1:7" ht="33" customHeight="1" x14ac:dyDescent="0.2">
      <c r="A20" s="74">
        <v>7</v>
      </c>
      <c r="B20" s="82" t="s">
        <v>79</v>
      </c>
      <c r="C20" s="76">
        <v>7374565</v>
      </c>
      <c r="D20" s="76">
        <v>7604749</v>
      </c>
      <c r="E20" s="76">
        <f t="shared" si="0"/>
        <v>230184</v>
      </c>
      <c r="F20" s="77">
        <f t="shared" si="1"/>
        <v>3.1213230882092706E-2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1098608254</v>
      </c>
      <c r="D21" s="79">
        <f>SUM(D18:D20)</f>
        <v>1070380506</v>
      </c>
      <c r="E21" s="79">
        <f t="shared" si="0"/>
        <v>-28227748</v>
      </c>
      <c r="F21" s="80">
        <f t="shared" si="1"/>
        <v>-2.5694097870850332E-2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452952481</v>
      </c>
      <c r="D24" s="76">
        <v>470455992</v>
      </c>
      <c r="E24" s="76">
        <f t="shared" ref="E24:E33" si="2">D24-C24</f>
        <v>17503511</v>
      </c>
      <c r="F24" s="77">
        <f t="shared" ref="F24:F33" si="3">IF(C24=0,0,E24/C24)</f>
        <v>3.8643150737041665E-2</v>
      </c>
    </row>
    <row r="25" spans="1:7" ht="23.1" customHeight="1" x14ac:dyDescent="0.2">
      <c r="A25" s="74">
        <v>2</v>
      </c>
      <c r="B25" s="75" t="s">
        <v>83</v>
      </c>
      <c r="C25" s="76">
        <v>151560400</v>
      </c>
      <c r="D25" s="76">
        <v>164809818</v>
      </c>
      <c r="E25" s="76">
        <f t="shared" si="2"/>
        <v>13249418</v>
      </c>
      <c r="F25" s="77">
        <f t="shared" si="3"/>
        <v>8.7420051675767552E-2</v>
      </c>
    </row>
    <row r="26" spans="1:7" ht="23.1" customHeight="1" x14ac:dyDescent="0.2">
      <c r="A26" s="74">
        <v>3</v>
      </c>
      <c r="B26" s="75" t="s">
        <v>84</v>
      </c>
      <c r="C26" s="76">
        <v>44286457</v>
      </c>
      <c r="D26" s="76">
        <v>49772864</v>
      </c>
      <c r="E26" s="76">
        <f t="shared" si="2"/>
        <v>5486407</v>
      </c>
      <c r="F26" s="77">
        <f t="shared" si="3"/>
        <v>0.12388453201392922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133308976</v>
      </c>
      <c r="D27" s="76">
        <v>138139487</v>
      </c>
      <c r="E27" s="76">
        <f t="shared" si="2"/>
        <v>4830511</v>
      </c>
      <c r="F27" s="77">
        <f t="shared" si="3"/>
        <v>3.6235451992369966E-2</v>
      </c>
    </row>
    <row r="28" spans="1:7" ht="23.1" customHeight="1" x14ac:dyDescent="0.2">
      <c r="A28" s="74">
        <v>5</v>
      </c>
      <c r="B28" s="75" t="s">
        <v>86</v>
      </c>
      <c r="C28" s="76">
        <v>46274726</v>
      </c>
      <c r="D28" s="76">
        <v>48416843</v>
      </c>
      <c r="E28" s="76">
        <f t="shared" si="2"/>
        <v>2142117</v>
      </c>
      <c r="F28" s="77">
        <f t="shared" si="3"/>
        <v>4.6291295166177755E-2</v>
      </c>
    </row>
    <row r="29" spans="1:7" ht="23.1" customHeight="1" x14ac:dyDescent="0.2">
      <c r="A29" s="74">
        <v>6</v>
      </c>
      <c r="B29" s="75" t="s">
        <v>87</v>
      </c>
      <c r="C29" s="76">
        <v>22645968</v>
      </c>
      <c r="D29" s="76">
        <v>0</v>
      </c>
      <c r="E29" s="76">
        <f t="shared" si="2"/>
        <v>-22645968</v>
      </c>
      <c r="F29" s="77">
        <f t="shared" si="3"/>
        <v>-1</v>
      </c>
    </row>
    <row r="30" spans="1:7" ht="23.1" customHeight="1" x14ac:dyDescent="0.2">
      <c r="A30" s="74">
        <v>7</v>
      </c>
      <c r="B30" s="75" t="s">
        <v>88</v>
      </c>
      <c r="C30" s="76">
        <v>4517043</v>
      </c>
      <c r="D30" s="76">
        <v>5704487</v>
      </c>
      <c r="E30" s="76">
        <f t="shared" si="2"/>
        <v>1187444</v>
      </c>
      <c r="F30" s="77">
        <f t="shared" si="3"/>
        <v>0.26288082712517902</v>
      </c>
    </row>
    <row r="31" spans="1:7" ht="23.1" customHeight="1" x14ac:dyDescent="0.2">
      <c r="A31" s="74">
        <v>8</v>
      </c>
      <c r="B31" s="75" t="s">
        <v>89</v>
      </c>
      <c r="C31" s="76">
        <v>12815577</v>
      </c>
      <c r="D31" s="76">
        <v>7770477</v>
      </c>
      <c r="E31" s="76">
        <f t="shared" si="2"/>
        <v>-5045100</v>
      </c>
      <c r="F31" s="77">
        <f t="shared" si="3"/>
        <v>-0.3936693603417154</v>
      </c>
    </row>
    <row r="32" spans="1:7" ht="23.1" customHeight="1" x14ac:dyDescent="0.2">
      <c r="A32" s="74">
        <v>9</v>
      </c>
      <c r="B32" s="75" t="s">
        <v>90</v>
      </c>
      <c r="C32" s="76">
        <v>177639982</v>
      </c>
      <c r="D32" s="76">
        <v>190172399</v>
      </c>
      <c r="E32" s="76">
        <f t="shared" si="2"/>
        <v>12532417</v>
      </c>
      <c r="F32" s="77">
        <f t="shared" si="3"/>
        <v>7.0549528652845736E-2</v>
      </c>
    </row>
    <row r="33" spans="1:6" ht="23.1" customHeight="1" x14ac:dyDescent="0.25">
      <c r="A33" s="71"/>
      <c r="B33" s="78" t="s">
        <v>91</v>
      </c>
      <c r="C33" s="79">
        <f>SUM(C24:C32)</f>
        <v>1046001610</v>
      </c>
      <c r="D33" s="79">
        <f>SUM(D24:D32)</f>
        <v>1075242367</v>
      </c>
      <c r="E33" s="79">
        <f t="shared" si="2"/>
        <v>29240757</v>
      </c>
      <c r="F33" s="80">
        <f t="shared" si="3"/>
        <v>2.7954791580100915E-2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52606644</v>
      </c>
      <c r="D35" s="79">
        <f>+D21-D33</f>
        <v>-4861861</v>
      </c>
      <c r="E35" s="79">
        <f>D35-C35</f>
        <v>-57468505</v>
      </c>
      <c r="F35" s="80">
        <f>IF(C35=0,0,E35/C35)</f>
        <v>-1.0924191438632733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7177252</v>
      </c>
      <c r="D38" s="76">
        <v>19092651</v>
      </c>
      <c r="E38" s="76">
        <f>D38-C38</f>
        <v>11915399</v>
      </c>
      <c r="F38" s="77">
        <f>IF(C38=0,0,E38/C38)</f>
        <v>1.6601617164898208</v>
      </c>
    </row>
    <row r="39" spans="1:6" ht="23.1" customHeight="1" x14ac:dyDescent="0.2">
      <c r="A39" s="85">
        <v>2</v>
      </c>
      <c r="B39" s="75" t="s">
        <v>95</v>
      </c>
      <c r="C39" s="76">
        <v>804629</v>
      </c>
      <c r="D39" s="76">
        <v>240481</v>
      </c>
      <c r="E39" s="76">
        <f>D39-C39</f>
        <v>-564148</v>
      </c>
      <c r="F39" s="77">
        <f>IF(C39=0,0,E39/C39)</f>
        <v>-0.70112809754557692</v>
      </c>
    </row>
    <row r="40" spans="1:6" ht="23.1" customHeight="1" x14ac:dyDescent="0.2">
      <c r="A40" s="85">
        <v>3</v>
      </c>
      <c r="B40" s="75" t="s">
        <v>96</v>
      </c>
      <c r="C40" s="76">
        <v>2252498</v>
      </c>
      <c r="D40" s="76">
        <v>37101288</v>
      </c>
      <c r="E40" s="76">
        <f>D40-C40</f>
        <v>34848790</v>
      </c>
      <c r="F40" s="77">
        <f>IF(C40=0,0,E40/C40)</f>
        <v>15.471174669189496</v>
      </c>
    </row>
    <row r="41" spans="1:6" ht="23.1" customHeight="1" x14ac:dyDescent="0.25">
      <c r="A41" s="83"/>
      <c r="B41" s="78" t="s">
        <v>97</v>
      </c>
      <c r="C41" s="79">
        <f>SUM(C38:C40)</f>
        <v>10234379</v>
      </c>
      <c r="D41" s="79">
        <f>SUM(D38:D40)</f>
        <v>56434420</v>
      </c>
      <c r="E41" s="79">
        <f>D41-C41</f>
        <v>46200041</v>
      </c>
      <c r="F41" s="80">
        <f>IF(C41=0,0,E41/C41)</f>
        <v>4.5142007150604835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62841023</v>
      </c>
      <c r="D43" s="79">
        <f>D35+D41</f>
        <v>51572559</v>
      </c>
      <c r="E43" s="79">
        <f>D43-C43</f>
        <v>-11268464</v>
      </c>
      <c r="F43" s="80">
        <f>IF(C43=0,0,E43/C43)</f>
        <v>-0.17931700443514423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28516089</v>
      </c>
      <c r="D46" s="76">
        <v>-27113441</v>
      </c>
      <c r="E46" s="76">
        <f>D46-C46</f>
        <v>-55629530</v>
      </c>
      <c r="F46" s="77">
        <f>IF(C46=0,0,E46/C46)</f>
        <v>-1.9508120485947424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28516089</v>
      </c>
      <c r="D48" s="79">
        <f>SUM(D46:D47)</f>
        <v>-27113441</v>
      </c>
      <c r="E48" s="79">
        <f>D48-C48</f>
        <v>-55629530</v>
      </c>
      <c r="F48" s="80">
        <f>IF(C48=0,0,E48/C48)</f>
        <v>-1.9508120485947424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91357112</v>
      </c>
      <c r="D50" s="79">
        <f>D43+D48</f>
        <v>24459118</v>
      </c>
      <c r="E50" s="79">
        <f>D50-C50</f>
        <v>-66897994</v>
      </c>
      <c r="F50" s="80">
        <f>IF(C50=0,0,E50/C50)</f>
        <v>-0.73226914178285318</v>
      </c>
    </row>
    <row r="51" spans="1:6" ht="23.1" customHeight="1" x14ac:dyDescent="0.2">
      <c r="A51" s="85"/>
      <c r="B51" s="75" t="s">
        <v>104</v>
      </c>
      <c r="C51" s="76">
        <v>3376907</v>
      </c>
      <c r="D51" s="76">
        <v>5971334</v>
      </c>
      <c r="E51" s="76">
        <f>D51-C51</f>
        <v>2594427</v>
      </c>
      <c r="F51" s="77">
        <f>IF(C51=0,0,E51/C51)</f>
        <v>0.76828500163018998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FILING&amp;RHARTFORD HOSPITAL</oddHeader>
    <oddFooter>&amp;LREPORT 100&amp;CPAGE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/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601093875</v>
      </c>
      <c r="D14" s="113">
        <v>622787027</v>
      </c>
      <c r="E14" s="113">
        <f t="shared" ref="E14:E25" si="0">D14-C14</f>
        <v>21693152</v>
      </c>
      <c r="F14" s="114">
        <f t="shared" ref="F14:F25" si="1">IF(C14=0,0,E14/C14)</f>
        <v>3.6089457740689841E-2</v>
      </c>
    </row>
    <row r="15" spans="1:6" x14ac:dyDescent="0.2">
      <c r="A15" s="115">
        <v>2</v>
      </c>
      <c r="B15" s="116" t="s">
        <v>114</v>
      </c>
      <c r="C15" s="113">
        <v>128941429</v>
      </c>
      <c r="D15" s="113">
        <v>166731805</v>
      </c>
      <c r="E15" s="113">
        <f t="shared" si="0"/>
        <v>37790376</v>
      </c>
      <c r="F15" s="114">
        <f t="shared" si="1"/>
        <v>0.29308172162416474</v>
      </c>
    </row>
    <row r="16" spans="1:6" x14ac:dyDescent="0.2">
      <c r="A16" s="115">
        <v>3</v>
      </c>
      <c r="B16" s="116" t="s">
        <v>115</v>
      </c>
      <c r="C16" s="113">
        <v>251661540</v>
      </c>
      <c r="D16" s="113">
        <v>284428877</v>
      </c>
      <c r="E16" s="113">
        <f t="shared" si="0"/>
        <v>32767337</v>
      </c>
      <c r="F16" s="114">
        <f t="shared" si="1"/>
        <v>0.13020399144024947</v>
      </c>
    </row>
    <row r="17" spans="1:6" x14ac:dyDescent="0.2">
      <c r="A17" s="115">
        <v>4</v>
      </c>
      <c r="B17" s="116" t="s">
        <v>116</v>
      </c>
      <c r="C17" s="113">
        <v>12244673</v>
      </c>
      <c r="D17" s="113">
        <v>0</v>
      </c>
      <c r="E17" s="113">
        <f t="shared" si="0"/>
        <v>-12244673</v>
      </c>
      <c r="F17" s="114">
        <f t="shared" si="1"/>
        <v>-1</v>
      </c>
    </row>
    <row r="18" spans="1:6" x14ac:dyDescent="0.2">
      <c r="A18" s="115">
        <v>5</v>
      </c>
      <c r="B18" s="116" t="s">
        <v>117</v>
      </c>
      <c r="C18" s="113">
        <v>7034673</v>
      </c>
      <c r="D18" s="113">
        <v>7342494</v>
      </c>
      <c r="E18" s="113">
        <f t="shared" si="0"/>
        <v>307821</v>
      </c>
      <c r="F18" s="114">
        <f t="shared" si="1"/>
        <v>4.3757684259097755E-2</v>
      </c>
    </row>
    <row r="19" spans="1:6" x14ac:dyDescent="0.2">
      <c r="A19" s="115">
        <v>6</v>
      </c>
      <c r="B19" s="116" t="s">
        <v>118</v>
      </c>
      <c r="C19" s="113">
        <v>14613673</v>
      </c>
      <c r="D19" s="113">
        <v>14809888</v>
      </c>
      <c r="E19" s="113">
        <f t="shared" si="0"/>
        <v>196215</v>
      </c>
      <c r="F19" s="114">
        <f t="shared" si="1"/>
        <v>1.3426809262804772E-2</v>
      </c>
    </row>
    <row r="20" spans="1:6" x14ac:dyDescent="0.2">
      <c r="A20" s="115">
        <v>7</v>
      </c>
      <c r="B20" s="116" t="s">
        <v>119</v>
      </c>
      <c r="C20" s="113">
        <v>451950139</v>
      </c>
      <c r="D20" s="113">
        <v>442030616</v>
      </c>
      <c r="E20" s="113">
        <f t="shared" si="0"/>
        <v>-9919523</v>
      </c>
      <c r="F20" s="114">
        <f t="shared" si="1"/>
        <v>-2.1948268501362271E-2</v>
      </c>
    </row>
    <row r="21" spans="1:6" x14ac:dyDescent="0.2">
      <c r="A21" s="115">
        <v>8</v>
      </c>
      <c r="B21" s="116" t="s">
        <v>120</v>
      </c>
      <c r="C21" s="113">
        <v>0</v>
      </c>
      <c r="D21" s="113">
        <v>0</v>
      </c>
      <c r="E21" s="113">
        <f t="shared" si="0"/>
        <v>0</v>
      </c>
      <c r="F21" s="114">
        <f t="shared" si="1"/>
        <v>0</v>
      </c>
    </row>
    <row r="22" spans="1:6" x14ac:dyDescent="0.2">
      <c r="A22" s="115">
        <v>9</v>
      </c>
      <c r="B22" s="116" t="s">
        <v>121</v>
      </c>
      <c r="C22" s="113">
        <v>15632401</v>
      </c>
      <c r="D22" s="113">
        <v>10885059</v>
      </c>
      <c r="E22" s="113">
        <f t="shared" si="0"/>
        <v>-4747342</v>
      </c>
      <c r="F22" s="114">
        <f t="shared" si="1"/>
        <v>-0.30368604285419754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0</v>
      </c>
      <c r="D24" s="113">
        <v>0</v>
      </c>
      <c r="E24" s="113">
        <f t="shared" si="0"/>
        <v>0</v>
      </c>
      <c r="F24" s="114">
        <f t="shared" si="1"/>
        <v>0</v>
      </c>
    </row>
    <row r="25" spans="1:6" ht="15.75" x14ac:dyDescent="0.25">
      <c r="A25" s="117"/>
      <c r="B25" s="118" t="s">
        <v>124</v>
      </c>
      <c r="C25" s="119">
        <f>SUM(C14:C24)</f>
        <v>1483172403</v>
      </c>
      <c r="D25" s="119">
        <f>SUM(D14:D24)</f>
        <v>1549015766</v>
      </c>
      <c r="E25" s="119">
        <f t="shared" si="0"/>
        <v>65843363</v>
      </c>
      <c r="F25" s="120">
        <f t="shared" si="1"/>
        <v>4.4393600411401397E-2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213037705</v>
      </c>
      <c r="D27" s="113">
        <v>237035573</v>
      </c>
      <c r="E27" s="113">
        <f t="shared" ref="E27:E38" si="2">D27-C27</f>
        <v>23997868</v>
      </c>
      <c r="F27" s="114">
        <f t="shared" ref="F27:F38" si="3">IF(C27=0,0,E27/C27)</f>
        <v>0.1126461064720914</v>
      </c>
    </row>
    <row r="28" spans="1:6" x14ac:dyDescent="0.2">
      <c r="A28" s="115">
        <v>2</v>
      </c>
      <c r="B28" s="116" t="s">
        <v>114</v>
      </c>
      <c r="C28" s="113">
        <v>57463947</v>
      </c>
      <c r="D28" s="113">
        <v>69100639</v>
      </c>
      <c r="E28" s="113">
        <f t="shared" si="2"/>
        <v>11636692</v>
      </c>
      <c r="F28" s="114">
        <f t="shared" si="3"/>
        <v>0.20250422408331958</v>
      </c>
    </row>
    <row r="29" spans="1:6" x14ac:dyDescent="0.2">
      <c r="A29" s="115">
        <v>3</v>
      </c>
      <c r="B29" s="116" t="s">
        <v>115</v>
      </c>
      <c r="C29" s="113">
        <v>141407879</v>
      </c>
      <c r="D29" s="113">
        <v>173414462</v>
      </c>
      <c r="E29" s="113">
        <f t="shared" si="2"/>
        <v>32006583</v>
      </c>
      <c r="F29" s="114">
        <f t="shared" si="3"/>
        <v>0.22634228889042315</v>
      </c>
    </row>
    <row r="30" spans="1:6" x14ac:dyDescent="0.2">
      <c r="A30" s="115">
        <v>4</v>
      </c>
      <c r="B30" s="116" t="s">
        <v>116</v>
      </c>
      <c r="C30" s="113">
        <v>10414203</v>
      </c>
      <c r="D30" s="113">
        <v>0</v>
      </c>
      <c r="E30" s="113">
        <f t="shared" si="2"/>
        <v>-10414203</v>
      </c>
      <c r="F30" s="114">
        <f t="shared" si="3"/>
        <v>-1</v>
      </c>
    </row>
    <row r="31" spans="1:6" x14ac:dyDescent="0.2">
      <c r="A31" s="115">
        <v>5</v>
      </c>
      <c r="B31" s="116" t="s">
        <v>117</v>
      </c>
      <c r="C31" s="113">
        <v>3557811</v>
      </c>
      <c r="D31" s="113">
        <v>4276924</v>
      </c>
      <c r="E31" s="113">
        <f t="shared" si="2"/>
        <v>719113</v>
      </c>
      <c r="F31" s="114">
        <f t="shared" si="3"/>
        <v>0.20212231622196908</v>
      </c>
    </row>
    <row r="32" spans="1:6" x14ac:dyDescent="0.2">
      <c r="A32" s="115">
        <v>6</v>
      </c>
      <c r="B32" s="116" t="s">
        <v>118</v>
      </c>
      <c r="C32" s="113">
        <v>9114525</v>
      </c>
      <c r="D32" s="113">
        <v>9823187</v>
      </c>
      <c r="E32" s="113">
        <f t="shared" si="2"/>
        <v>708662</v>
      </c>
      <c r="F32" s="114">
        <f t="shared" si="3"/>
        <v>7.7750842748250726E-2</v>
      </c>
    </row>
    <row r="33" spans="1:6" x14ac:dyDescent="0.2">
      <c r="A33" s="115">
        <v>7</v>
      </c>
      <c r="B33" s="116" t="s">
        <v>119</v>
      </c>
      <c r="C33" s="113">
        <v>303820119</v>
      </c>
      <c r="D33" s="113">
        <v>332020968</v>
      </c>
      <c r="E33" s="113">
        <f t="shared" si="2"/>
        <v>28200849</v>
      </c>
      <c r="F33" s="114">
        <f t="shared" si="3"/>
        <v>9.282087405146465E-2</v>
      </c>
    </row>
    <row r="34" spans="1:6" x14ac:dyDescent="0.2">
      <c r="A34" s="115">
        <v>8</v>
      </c>
      <c r="B34" s="116" t="s">
        <v>120</v>
      </c>
      <c r="C34" s="113">
        <v>0</v>
      </c>
      <c r="D34" s="113">
        <v>0</v>
      </c>
      <c r="E34" s="113">
        <f t="shared" si="2"/>
        <v>0</v>
      </c>
      <c r="F34" s="114">
        <f t="shared" si="3"/>
        <v>0</v>
      </c>
    </row>
    <row r="35" spans="1:6" x14ac:dyDescent="0.2">
      <c r="A35" s="115">
        <v>9</v>
      </c>
      <c r="B35" s="116" t="s">
        <v>121</v>
      </c>
      <c r="C35" s="113">
        <v>33772596</v>
      </c>
      <c r="D35" s="113">
        <v>37249513</v>
      </c>
      <c r="E35" s="113">
        <f t="shared" si="2"/>
        <v>3476917</v>
      </c>
      <c r="F35" s="114">
        <f t="shared" si="3"/>
        <v>0.10295083623420598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0</v>
      </c>
      <c r="D37" s="113">
        <v>0</v>
      </c>
      <c r="E37" s="113">
        <f t="shared" si="2"/>
        <v>0</v>
      </c>
      <c r="F37" s="114">
        <f t="shared" si="3"/>
        <v>0</v>
      </c>
    </row>
    <row r="38" spans="1:6" ht="15.75" x14ac:dyDescent="0.25">
      <c r="A38" s="117"/>
      <c r="B38" s="118" t="s">
        <v>126</v>
      </c>
      <c r="C38" s="119">
        <f>SUM(C27:C37)</f>
        <v>772588785</v>
      </c>
      <c r="D38" s="119">
        <f>SUM(D27:D37)</f>
        <v>862921266</v>
      </c>
      <c r="E38" s="119">
        <f t="shared" si="2"/>
        <v>90332481</v>
      </c>
      <c r="F38" s="120">
        <f t="shared" si="3"/>
        <v>0.11692181242315082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814131580</v>
      </c>
      <c r="D41" s="119">
        <f t="shared" si="4"/>
        <v>859822600</v>
      </c>
      <c r="E41" s="123">
        <f t="shared" ref="E41:E52" si="5">D41-C41</f>
        <v>45691020</v>
      </c>
      <c r="F41" s="124">
        <f t="shared" ref="F41:F52" si="6">IF(C41=0,0,E41/C41)</f>
        <v>5.6122402228887869E-2</v>
      </c>
    </row>
    <row r="42" spans="1:6" ht="15.75" x14ac:dyDescent="0.25">
      <c r="A42" s="121">
        <v>2</v>
      </c>
      <c r="B42" s="122" t="s">
        <v>114</v>
      </c>
      <c r="C42" s="119">
        <f t="shared" si="4"/>
        <v>186405376</v>
      </c>
      <c r="D42" s="119">
        <f t="shared" si="4"/>
        <v>235832444</v>
      </c>
      <c r="E42" s="123">
        <f t="shared" si="5"/>
        <v>49427068</v>
      </c>
      <c r="F42" s="124">
        <f t="shared" si="6"/>
        <v>0.26515902631477756</v>
      </c>
    </row>
    <row r="43" spans="1:6" ht="15.75" x14ac:dyDescent="0.25">
      <c r="A43" s="121">
        <v>3</v>
      </c>
      <c r="B43" s="122" t="s">
        <v>115</v>
      </c>
      <c r="C43" s="119">
        <f t="shared" si="4"/>
        <v>393069419</v>
      </c>
      <c r="D43" s="119">
        <f t="shared" si="4"/>
        <v>457843339</v>
      </c>
      <c r="E43" s="123">
        <f t="shared" si="5"/>
        <v>64773920</v>
      </c>
      <c r="F43" s="124">
        <f t="shared" si="6"/>
        <v>0.16479002656780073</v>
      </c>
    </row>
    <row r="44" spans="1:6" ht="15.75" x14ac:dyDescent="0.25">
      <c r="A44" s="121">
        <v>4</v>
      </c>
      <c r="B44" s="122" t="s">
        <v>116</v>
      </c>
      <c r="C44" s="119">
        <f t="shared" si="4"/>
        <v>22658876</v>
      </c>
      <c r="D44" s="119">
        <f t="shared" si="4"/>
        <v>0</v>
      </c>
      <c r="E44" s="123">
        <f t="shared" si="5"/>
        <v>-22658876</v>
      </c>
      <c r="F44" s="124">
        <f t="shared" si="6"/>
        <v>-1</v>
      </c>
    </row>
    <row r="45" spans="1:6" ht="15.75" x14ac:dyDescent="0.25">
      <c r="A45" s="121">
        <v>5</v>
      </c>
      <c r="B45" s="122" t="s">
        <v>117</v>
      </c>
      <c r="C45" s="119">
        <f t="shared" si="4"/>
        <v>10592484</v>
      </c>
      <c r="D45" s="119">
        <f t="shared" si="4"/>
        <v>11619418</v>
      </c>
      <c r="E45" s="123">
        <f t="shared" si="5"/>
        <v>1026934</v>
      </c>
      <c r="F45" s="124">
        <f t="shared" si="6"/>
        <v>9.6949308585219482E-2</v>
      </c>
    </row>
    <row r="46" spans="1:6" ht="15.75" x14ac:dyDescent="0.25">
      <c r="A46" s="121">
        <v>6</v>
      </c>
      <c r="B46" s="122" t="s">
        <v>118</v>
      </c>
      <c r="C46" s="119">
        <f t="shared" si="4"/>
        <v>23728198</v>
      </c>
      <c r="D46" s="119">
        <f t="shared" si="4"/>
        <v>24633075</v>
      </c>
      <c r="E46" s="123">
        <f t="shared" si="5"/>
        <v>904877</v>
      </c>
      <c r="F46" s="124">
        <f t="shared" si="6"/>
        <v>3.8135091421607321E-2</v>
      </c>
    </row>
    <row r="47" spans="1:6" ht="15.75" x14ac:dyDescent="0.25">
      <c r="A47" s="121">
        <v>7</v>
      </c>
      <c r="B47" s="122" t="s">
        <v>119</v>
      </c>
      <c r="C47" s="119">
        <f t="shared" si="4"/>
        <v>755770258</v>
      </c>
      <c r="D47" s="119">
        <f t="shared" si="4"/>
        <v>774051584</v>
      </c>
      <c r="E47" s="123">
        <f t="shared" si="5"/>
        <v>18281326</v>
      </c>
      <c r="F47" s="124">
        <f t="shared" si="6"/>
        <v>2.4188998980163624E-2</v>
      </c>
    </row>
    <row r="48" spans="1:6" ht="15.75" x14ac:dyDescent="0.25">
      <c r="A48" s="121">
        <v>8</v>
      </c>
      <c r="B48" s="122" t="s">
        <v>120</v>
      </c>
      <c r="C48" s="119">
        <f t="shared" si="4"/>
        <v>0</v>
      </c>
      <c r="D48" s="119">
        <f t="shared" si="4"/>
        <v>0</v>
      </c>
      <c r="E48" s="123">
        <f t="shared" si="5"/>
        <v>0</v>
      </c>
      <c r="F48" s="124">
        <f t="shared" si="6"/>
        <v>0</v>
      </c>
    </row>
    <row r="49" spans="1:6" ht="15.75" x14ac:dyDescent="0.25">
      <c r="A49" s="121">
        <v>9</v>
      </c>
      <c r="B49" s="122" t="s">
        <v>121</v>
      </c>
      <c r="C49" s="119">
        <f t="shared" si="4"/>
        <v>49404997</v>
      </c>
      <c r="D49" s="119">
        <f t="shared" si="4"/>
        <v>48134572</v>
      </c>
      <c r="E49" s="123">
        <f t="shared" si="5"/>
        <v>-1270425</v>
      </c>
      <c r="F49" s="124">
        <f t="shared" si="6"/>
        <v>-2.5714504142161976E-2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0</v>
      </c>
      <c r="D51" s="119">
        <f t="shared" si="4"/>
        <v>0</v>
      </c>
      <c r="E51" s="123">
        <f t="shared" si="5"/>
        <v>0</v>
      </c>
      <c r="F51" s="124">
        <f t="shared" si="6"/>
        <v>0</v>
      </c>
    </row>
    <row r="52" spans="1:6" ht="18.75" customHeight="1" thickBot="1" x14ac:dyDescent="0.3">
      <c r="A52" s="125"/>
      <c r="B52" s="126" t="s">
        <v>128</v>
      </c>
      <c r="C52" s="127">
        <f>SUM(C41:C51)</f>
        <v>2255761188</v>
      </c>
      <c r="D52" s="128">
        <f>SUM(D41:D51)</f>
        <v>2411937032</v>
      </c>
      <c r="E52" s="127">
        <f t="shared" si="5"/>
        <v>156175844</v>
      </c>
      <c r="F52" s="129">
        <f t="shared" si="6"/>
        <v>6.9234210088732137E-2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235544623</v>
      </c>
      <c r="D57" s="113">
        <v>214744713</v>
      </c>
      <c r="E57" s="113">
        <f t="shared" ref="E57:E68" si="7">D57-C57</f>
        <v>-20799910</v>
      </c>
      <c r="F57" s="114">
        <f t="shared" ref="F57:F68" si="8">IF(C57=0,0,E57/C57)</f>
        <v>-8.8305603138306404E-2</v>
      </c>
    </row>
    <row r="58" spans="1:6" x14ac:dyDescent="0.2">
      <c r="A58" s="115">
        <v>2</v>
      </c>
      <c r="B58" s="116" t="s">
        <v>114</v>
      </c>
      <c r="C58" s="113">
        <v>47673124</v>
      </c>
      <c r="D58" s="113">
        <v>58073573</v>
      </c>
      <c r="E58" s="113">
        <f t="shared" si="7"/>
        <v>10400449</v>
      </c>
      <c r="F58" s="114">
        <f t="shared" si="8"/>
        <v>0.2181616837193216</v>
      </c>
    </row>
    <row r="59" spans="1:6" x14ac:dyDescent="0.2">
      <c r="A59" s="115">
        <v>3</v>
      </c>
      <c r="B59" s="116" t="s">
        <v>115</v>
      </c>
      <c r="C59" s="113">
        <v>73982994</v>
      </c>
      <c r="D59" s="113">
        <v>74878980</v>
      </c>
      <c r="E59" s="113">
        <f t="shared" si="7"/>
        <v>895986</v>
      </c>
      <c r="F59" s="114">
        <f t="shared" si="8"/>
        <v>1.2110702089185523E-2</v>
      </c>
    </row>
    <row r="60" spans="1:6" x14ac:dyDescent="0.2">
      <c r="A60" s="115">
        <v>4</v>
      </c>
      <c r="B60" s="116" t="s">
        <v>116</v>
      </c>
      <c r="C60" s="113">
        <v>3365502</v>
      </c>
      <c r="D60" s="113">
        <v>0</v>
      </c>
      <c r="E60" s="113">
        <f t="shared" si="7"/>
        <v>-3365502</v>
      </c>
      <c r="F60" s="114">
        <f t="shared" si="8"/>
        <v>-1</v>
      </c>
    </row>
    <row r="61" spans="1:6" x14ac:dyDescent="0.2">
      <c r="A61" s="115">
        <v>5</v>
      </c>
      <c r="B61" s="116" t="s">
        <v>117</v>
      </c>
      <c r="C61" s="113">
        <v>1293910</v>
      </c>
      <c r="D61" s="113">
        <v>2502106</v>
      </c>
      <c r="E61" s="113">
        <f t="shared" si="7"/>
        <v>1208196</v>
      </c>
      <c r="F61" s="114">
        <f t="shared" si="8"/>
        <v>0.93375582536652468</v>
      </c>
    </row>
    <row r="62" spans="1:6" x14ac:dyDescent="0.2">
      <c r="A62" s="115">
        <v>6</v>
      </c>
      <c r="B62" s="116" t="s">
        <v>118</v>
      </c>
      <c r="C62" s="113">
        <v>4701648</v>
      </c>
      <c r="D62" s="113">
        <v>14543970</v>
      </c>
      <c r="E62" s="113">
        <f t="shared" si="7"/>
        <v>9842322</v>
      </c>
      <c r="F62" s="114">
        <f t="shared" si="8"/>
        <v>2.0933770456656902</v>
      </c>
    </row>
    <row r="63" spans="1:6" x14ac:dyDescent="0.2">
      <c r="A63" s="115">
        <v>7</v>
      </c>
      <c r="B63" s="116" t="s">
        <v>119</v>
      </c>
      <c r="C63" s="113">
        <v>265612272</v>
      </c>
      <c r="D63" s="113">
        <v>269696541</v>
      </c>
      <c r="E63" s="113">
        <f t="shared" si="7"/>
        <v>4084269</v>
      </c>
      <c r="F63" s="114">
        <f t="shared" si="8"/>
        <v>1.5376808342650674E-2</v>
      </c>
    </row>
    <row r="64" spans="1:6" x14ac:dyDescent="0.2">
      <c r="A64" s="115">
        <v>8</v>
      </c>
      <c r="B64" s="116" t="s">
        <v>120</v>
      </c>
      <c r="C64" s="113">
        <v>0</v>
      </c>
      <c r="D64" s="113">
        <v>0</v>
      </c>
      <c r="E64" s="113">
        <f t="shared" si="7"/>
        <v>0</v>
      </c>
      <c r="F64" s="114">
        <f t="shared" si="8"/>
        <v>0</v>
      </c>
    </row>
    <row r="65" spans="1:6" x14ac:dyDescent="0.2">
      <c r="A65" s="115">
        <v>9</v>
      </c>
      <c r="B65" s="116" t="s">
        <v>121</v>
      </c>
      <c r="C65" s="113">
        <v>1953495</v>
      </c>
      <c r="D65" s="113">
        <v>254829</v>
      </c>
      <c r="E65" s="113">
        <f t="shared" si="7"/>
        <v>-1698666</v>
      </c>
      <c r="F65" s="114">
        <f t="shared" si="8"/>
        <v>-0.86955226401910424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0</v>
      </c>
      <c r="D67" s="113">
        <v>0</v>
      </c>
      <c r="E67" s="113">
        <f t="shared" si="7"/>
        <v>0</v>
      </c>
      <c r="F67" s="114">
        <f t="shared" si="8"/>
        <v>0</v>
      </c>
    </row>
    <row r="68" spans="1:6" ht="15.75" x14ac:dyDescent="0.25">
      <c r="A68" s="117"/>
      <c r="B68" s="118" t="s">
        <v>131</v>
      </c>
      <c r="C68" s="119">
        <f>SUM(C57:C67)</f>
        <v>634127568</v>
      </c>
      <c r="D68" s="119">
        <f>SUM(D57:D67)</f>
        <v>634694712</v>
      </c>
      <c r="E68" s="119">
        <f t="shared" si="7"/>
        <v>567144</v>
      </c>
      <c r="F68" s="120">
        <f t="shared" si="8"/>
        <v>8.943689387117136E-4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81719721</v>
      </c>
      <c r="D70" s="113">
        <v>67218544</v>
      </c>
      <c r="E70" s="113">
        <f t="shared" ref="E70:E81" si="9">D70-C70</f>
        <v>-14501177</v>
      </c>
      <c r="F70" s="114">
        <f t="shared" ref="F70:F81" si="10">IF(C70=0,0,E70/C70)</f>
        <v>-0.17745015306647952</v>
      </c>
    </row>
    <row r="71" spans="1:6" x14ac:dyDescent="0.2">
      <c r="A71" s="115">
        <v>2</v>
      </c>
      <c r="B71" s="116" t="s">
        <v>114</v>
      </c>
      <c r="C71" s="113">
        <v>16988605</v>
      </c>
      <c r="D71" s="113">
        <v>20774666</v>
      </c>
      <c r="E71" s="113">
        <f t="shared" si="9"/>
        <v>3786061</v>
      </c>
      <c r="F71" s="114">
        <f t="shared" si="10"/>
        <v>0.22285885156550522</v>
      </c>
    </row>
    <row r="72" spans="1:6" x14ac:dyDescent="0.2">
      <c r="A72" s="115">
        <v>3</v>
      </c>
      <c r="B72" s="116" t="s">
        <v>115</v>
      </c>
      <c r="C72" s="113">
        <v>36726614</v>
      </c>
      <c r="D72" s="113">
        <v>37297983</v>
      </c>
      <c r="E72" s="113">
        <f t="shared" si="9"/>
        <v>571369</v>
      </c>
      <c r="F72" s="114">
        <f t="shared" si="10"/>
        <v>1.5557355763861053E-2</v>
      </c>
    </row>
    <row r="73" spans="1:6" x14ac:dyDescent="0.2">
      <c r="A73" s="115">
        <v>4</v>
      </c>
      <c r="B73" s="116" t="s">
        <v>116</v>
      </c>
      <c r="C73" s="113">
        <v>2988593</v>
      </c>
      <c r="D73" s="113">
        <v>0</v>
      </c>
      <c r="E73" s="113">
        <f t="shared" si="9"/>
        <v>-2988593</v>
      </c>
      <c r="F73" s="114">
        <f t="shared" si="10"/>
        <v>-1</v>
      </c>
    </row>
    <row r="74" spans="1:6" x14ac:dyDescent="0.2">
      <c r="A74" s="115">
        <v>5</v>
      </c>
      <c r="B74" s="116" t="s">
        <v>117</v>
      </c>
      <c r="C74" s="113">
        <v>1974865</v>
      </c>
      <c r="D74" s="113">
        <v>1697294</v>
      </c>
      <c r="E74" s="113">
        <f t="shared" si="9"/>
        <v>-277571</v>
      </c>
      <c r="F74" s="114">
        <f t="shared" si="10"/>
        <v>-0.14055188582510703</v>
      </c>
    </row>
    <row r="75" spans="1:6" x14ac:dyDescent="0.2">
      <c r="A75" s="115">
        <v>6</v>
      </c>
      <c r="B75" s="116" t="s">
        <v>118</v>
      </c>
      <c r="C75" s="113">
        <v>8578847</v>
      </c>
      <c r="D75" s="113">
        <v>8211492</v>
      </c>
      <c r="E75" s="113">
        <f t="shared" si="9"/>
        <v>-367355</v>
      </c>
      <c r="F75" s="114">
        <f t="shared" si="10"/>
        <v>-4.2821022452084759E-2</v>
      </c>
    </row>
    <row r="76" spans="1:6" x14ac:dyDescent="0.2">
      <c r="A76" s="115">
        <v>7</v>
      </c>
      <c r="B76" s="116" t="s">
        <v>119</v>
      </c>
      <c r="C76" s="113">
        <v>156202173</v>
      </c>
      <c r="D76" s="113">
        <v>165800489</v>
      </c>
      <c r="E76" s="113">
        <f t="shared" si="9"/>
        <v>9598316</v>
      </c>
      <c r="F76" s="114">
        <f t="shared" si="10"/>
        <v>6.1448031199924473E-2</v>
      </c>
    </row>
    <row r="77" spans="1:6" x14ac:dyDescent="0.2">
      <c r="A77" s="115">
        <v>8</v>
      </c>
      <c r="B77" s="116" t="s">
        <v>120</v>
      </c>
      <c r="C77" s="113">
        <v>0</v>
      </c>
      <c r="D77" s="113">
        <v>0</v>
      </c>
      <c r="E77" s="113">
        <f t="shared" si="9"/>
        <v>0</v>
      </c>
      <c r="F77" s="114">
        <f t="shared" si="10"/>
        <v>0</v>
      </c>
    </row>
    <row r="78" spans="1:6" x14ac:dyDescent="0.2">
      <c r="A78" s="115">
        <v>9</v>
      </c>
      <c r="B78" s="116" t="s">
        <v>121</v>
      </c>
      <c r="C78" s="113">
        <v>4220376</v>
      </c>
      <c r="D78" s="113">
        <v>3868350</v>
      </c>
      <c r="E78" s="113">
        <f t="shared" si="9"/>
        <v>-352026</v>
      </c>
      <c r="F78" s="114">
        <f t="shared" si="10"/>
        <v>-8.3411051527162508E-2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0</v>
      </c>
      <c r="D80" s="113">
        <v>0</v>
      </c>
      <c r="E80" s="113">
        <f t="shared" si="9"/>
        <v>0</v>
      </c>
      <c r="F80" s="114">
        <f t="shared" si="10"/>
        <v>0</v>
      </c>
    </row>
    <row r="81" spans="1:6" ht="15.75" x14ac:dyDescent="0.25">
      <c r="A81" s="117"/>
      <c r="B81" s="118" t="s">
        <v>133</v>
      </c>
      <c r="C81" s="119">
        <f>SUM(C70:C80)</f>
        <v>309399794</v>
      </c>
      <c r="D81" s="119">
        <f>SUM(D70:D80)</f>
        <v>304868818</v>
      </c>
      <c r="E81" s="119">
        <f t="shared" si="9"/>
        <v>-4530976</v>
      </c>
      <c r="F81" s="120">
        <f t="shared" si="10"/>
        <v>-1.4644405354710741E-2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317264344</v>
      </c>
      <c r="D84" s="119">
        <f t="shared" si="11"/>
        <v>281963257</v>
      </c>
      <c r="E84" s="119">
        <f t="shared" ref="E84:E95" si="12">D84-C84</f>
        <v>-35301087</v>
      </c>
      <c r="F84" s="120">
        <f t="shared" ref="F84:F95" si="13">IF(C84=0,0,E84/C84)</f>
        <v>-0.11126711106243947</v>
      </c>
    </row>
    <row r="85" spans="1:6" ht="15.75" x14ac:dyDescent="0.25">
      <c r="A85" s="130">
        <v>2</v>
      </c>
      <c r="B85" s="122" t="s">
        <v>114</v>
      </c>
      <c r="C85" s="119">
        <f t="shared" si="11"/>
        <v>64661729</v>
      </c>
      <c r="D85" s="119">
        <f t="shared" si="11"/>
        <v>78848239</v>
      </c>
      <c r="E85" s="119">
        <f t="shared" si="12"/>
        <v>14186510</v>
      </c>
      <c r="F85" s="120">
        <f t="shared" si="13"/>
        <v>0.21939577272980126</v>
      </c>
    </row>
    <row r="86" spans="1:6" ht="15.75" x14ac:dyDescent="0.25">
      <c r="A86" s="130">
        <v>3</v>
      </c>
      <c r="B86" s="122" t="s">
        <v>115</v>
      </c>
      <c r="C86" s="119">
        <f t="shared" si="11"/>
        <v>110709608</v>
      </c>
      <c r="D86" s="119">
        <f t="shared" si="11"/>
        <v>112176963</v>
      </c>
      <c r="E86" s="119">
        <f t="shared" si="12"/>
        <v>1467355</v>
      </c>
      <c r="F86" s="120">
        <f t="shared" si="13"/>
        <v>1.3254089021794748E-2</v>
      </c>
    </row>
    <row r="87" spans="1:6" ht="15.75" x14ac:dyDescent="0.25">
      <c r="A87" s="130">
        <v>4</v>
      </c>
      <c r="B87" s="122" t="s">
        <v>116</v>
      </c>
      <c r="C87" s="119">
        <f t="shared" si="11"/>
        <v>6354095</v>
      </c>
      <c r="D87" s="119">
        <f t="shared" si="11"/>
        <v>0</v>
      </c>
      <c r="E87" s="119">
        <f t="shared" si="12"/>
        <v>-6354095</v>
      </c>
      <c r="F87" s="120">
        <f t="shared" si="13"/>
        <v>-1</v>
      </c>
    </row>
    <row r="88" spans="1:6" ht="15.75" x14ac:dyDescent="0.25">
      <c r="A88" s="130">
        <v>5</v>
      </c>
      <c r="B88" s="122" t="s">
        <v>117</v>
      </c>
      <c r="C88" s="119">
        <f t="shared" si="11"/>
        <v>3268775</v>
      </c>
      <c r="D88" s="119">
        <f t="shared" si="11"/>
        <v>4199400</v>
      </c>
      <c r="E88" s="119">
        <f t="shared" si="12"/>
        <v>930625</v>
      </c>
      <c r="F88" s="120">
        <f t="shared" si="13"/>
        <v>0.2847014554381993</v>
      </c>
    </row>
    <row r="89" spans="1:6" ht="15.75" x14ac:dyDescent="0.25">
      <c r="A89" s="130">
        <v>6</v>
      </c>
      <c r="B89" s="122" t="s">
        <v>118</v>
      </c>
      <c r="C89" s="119">
        <f t="shared" si="11"/>
        <v>13280495</v>
      </c>
      <c r="D89" s="119">
        <f t="shared" si="11"/>
        <v>22755462</v>
      </c>
      <c r="E89" s="119">
        <f t="shared" si="12"/>
        <v>9474967</v>
      </c>
      <c r="F89" s="120">
        <f t="shared" si="13"/>
        <v>0.71344983752488145</v>
      </c>
    </row>
    <row r="90" spans="1:6" ht="15.75" x14ac:dyDescent="0.25">
      <c r="A90" s="130">
        <v>7</v>
      </c>
      <c r="B90" s="122" t="s">
        <v>119</v>
      </c>
      <c r="C90" s="119">
        <f t="shared" si="11"/>
        <v>421814445</v>
      </c>
      <c r="D90" s="119">
        <f t="shared" si="11"/>
        <v>435497030</v>
      </c>
      <c r="E90" s="119">
        <f t="shared" si="12"/>
        <v>13682585</v>
      </c>
      <c r="F90" s="120">
        <f t="shared" si="13"/>
        <v>3.243745007357441E-2</v>
      </c>
    </row>
    <row r="91" spans="1:6" ht="15.75" x14ac:dyDescent="0.25">
      <c r="A91" s="130">
        <v>8</v>
      </c>
      <c r="B91" s="122" t="s">
        <v>120</v>
      </c>
      <c r="C91" s="119">
        <f t="shared" si="11"/>
        <v>0</v>
      </c>
      <c r="D91" s="119">
        <f t="shared" si="11"/>
        <v>0</v>
      </c>
      <c r="E91" s="119">
        <f t="shared" si="12"/>
        <v>0</v>
      </c>
      <c r="F91" s="120">
        <f t="shared" si="13"/>
        <v>0</v>
      </c>
    </row>
    <row r="92" spans="1:6" ht="15.75" x14ac:dyDescent="0.25">
      <c r="A92" s="130">
        <v>9</v>
      </c>
      <c r="B92" s="122" t="s">
        <v>121</v>
      </c>
      <c r="C92" s="119">
        <f t="shared" si="11"/>
        <v>6173871</v>
      </c>
      <c r="D92" s="119">
        <f t="shared" si="11"/>
        <v>4123179</v>
      </c>
      <c r="E92" s="119">
        <f t="shared" si="12"/>
        <v>-2050692</v>
      </c>
      <c r="F92" s="120">
        <f t="shared" si="13"/>
        <v>-0.3321565999678322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0</v>
      </c>
      <c r="D94" s="119">
        <f t="shared" si="11"/>
        <v>0</v>
      </c>
      <c r="E94" s="119">
        <f t="shared" si="12"/>
        <v>0</v>
      </c>
      <c r="F94" s="120">
        <f t="shared" si="13"/>
        <v>0</v>
      </c>
    </row>
    <row r="95" spans="1:6" ht="18.75" customHeight="1" thickBot="1" x14ac:dyDescent="0.3">
      <c r="A95" s="131"/>
      <c r="B95" s="132" t="s">
        <v>134</v>
      </c>
      <c r="C95" s="128">
        <f>SUM(C84:C94)</f>
        <v>943527362</v>
      </c>
      <c r="D95" s="128">
        <f>SUM(D84:D94)</f>
        <v>939563530</v>
      </c>
      <c r="E95" s="128">
        <f t="shared" si="12"/>
        <v>-3963832</v>
      </c>
      <c r="F95" s="129">
        <f t="shared" si="13"/>
        <v>-4.2010779545363095E-3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13723</v>
      </c>
      <c r="D100" s="133">
        <v>13821</v>
      </c>
      <c r="E100" s="133">
        <f t="shared" ref="E100:E111" si="14">D100-C100</f>
        <v>98</v>
      </c>
      <c r="F100" s="114">
        <f t="shared" ref="F100:F111" si="15">IF(C100=0,0,E100/C100)</f>
        <v>7.1412956350652189E-3</v>
      </c>
    </row>
    <row r="101" spans="1:6" x14ac:dyDescent="0.2">
      <c r="A101" s="115">
        <v>2</v>
      </c>
      <c r="B101" s="116" t="s">
        <v>114</v>
      </c>
      <c r="C101" s="133">
        <v>2833</v>
      </c>
      <c r="D101" s="133">
        <v>3426</v>
      </c>
      <c r="E101" s="133">
        <f t="shared" si="14"/>
        <v>593</v>
      </c>
      <c r="F101" s="114">
        <f t="shared" si="15"/>
        <v>0.2093187433815743</v>
      </c>
    </row>
    <row r="102" spans="1:6" x14ac:dyDescent="0.2">
      <c r="A102" s="115">
        <v>3</v>
      </c>
      <c r="B102" s="116" t="s">
        <v>115</v>
      </c>
      <c r="C102" s="133">
        <v>8739</v>
      </c>
      <c r="D102" s="133">
        <v>9578</v>
      </c>
      <c r="E102" s="133">
        <f t="shared" si="14"/>
        <v>839</v>
      </c>
      <c r="F102" s="114">
        <f t="shared" si="15"/>
        <v>9.6006408055841624E-2</v>
      </c>
    </row>
    <row r="103" spans="1:6" x14ac:dyDescent="0.2">
      <c r="A103" s="115">
        <v>4</v>
      </c>
      <c r="B103" s="116" t="s">
        <v>116</v>
      </c>
      <c r="C103" s="133">
        <v>572</v>
      </c>
      <c r="D103" s="133">
        <v>0</v>
      </c>
      <c r="E103" s="133">
        <f t="shared" si="14"/>
        <v>-572</v>
      </c>
      <c r="F103" s="114">
        <f t="shared" si="15"/>
        <v>-1</v>
      </c>
    </row>
    <row r="104" spans="1:6" x14ac:dyDescent="0.2">
      <c r="A104" s="115">
        <v>5</v>
      </c>
      <c r="B104" s="116" t="s">
        <v>117</v>
      </c>
      <c r="C104" s="133">
        <v>233</v>
      </c>
      <c r="D104" s="133">
        <v>200</v>
      </c>
      <c r="E104" s="133">
        <f t="shared" si="14"/>
        <v>-33</v>
      </c>
      <c r="F104" s="114">
        <f t="shared" si="15"/>
        <v>-0.14163090128755365</v>
      </c>
    </row>
    <row r="105" spans="1:6" x14ac:dyDescent="0.2">
      <c r="A105" s="115">
        <v>6</v>
      </c>
      <c r="B105" s="116" t="s">
        <v>118</v>
      </c>
      <c r="C105" s="133">
        <v>273</v>
      </c>
      <c r="D105" s="133">
        <v>282</v>
      </c>
      <c r="E105" s="133">
        <f t="shared" si="14"/>
        <v>9</v>
      </c>
      <c r="F105" s="114">
        <f t="shared" si="15"/>
        <v>3.2967032967032968E-2</v>
      </c>
    </row>
    <row r="106" spans="1:6" x14ac:dyDescent="0.2">
      <c r="A106" s="115">
        <v>7</v>
      </c>
      <c r="B106" s="116" t="s">
        <v>119</v>
      </c>
      <c r="C106" s="133">
        <v>14425</v>
      </c>
      <c r="D106" s="133">
        <v>14145</v>
      </c>
      <c r="E106" s="133">
        <f t="shared" si="14"/>
        <v>-280</v>
      </c>
      <c r="F106" s="114">
        <f t="shared" si="15"/>
        <v>-1.9410745233968803E-2</v>
      </c>
    </row>
    <row r="107" spans="1:6" x14ac:dyDescent="0.2">
      <c r="A107" s="115">
        <v>8</v>
      </c>
      <c r="B107" s="116" t="s">
        <v>120</v>
      </c>
      <c r="C107" s="133">
        <v>0</v>
      </c>
      <c r="D107" s="133">
        <v>0</v>
      </c>
      <c r="E107" s="133">
        <f t="shared" si="14"/>
        <v>0</v>
      </c>
      <c r="F107" s="114">
        <f t="shared" si="15"/>
        <v>0</v>
      </c>
    </row>
    <row r="108" spans="1:6" x14ac:dyDescent="0.2">
      <c r="A108" s="115">
        <v>9</v>
      </c>
      <c r="B108" s="116" t="s">
        <v>121</v>
      </c>
      <c r="C108" s="133">
        <v>453</v>
      </c>
      <c r="D108" s="133">
        <v>357</v>
      </c>
      <c r="E108" s="133">
        <f t="shared" si="14"/>
        <v>-96</v>
      </c>
      <c r="F108" s="114">
        <f t="shared" si="15"/>
        <v>-0.2119205298013245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0</v>
      </c>
      <c r="D110" s="133">
        <v>0</v>
      </c>
      <c r="E110" s="133">
        <f t="shared" si="14"/>
        <v>0</v>
      </c>
      <c r="F110" s="114">
        <f t="shared" si="15"/>
        <v>0</v>
      </c>
    </row>
    <row r="111" spans="1:6" ht="15.75" x14ac:dyDescent="0.25">
      <c r="A111" s="117"/>
      <c r="B111" s="118" t="s">
        <v>138</v>
      </c>
      <c r="C111" s="134">
        <f>SUM(C100:C110)</f>
        <v>41251</v>
      </c>
      <c r="D111" s="134">
        <f>SUM(D100:D110)</f>
        <v>41809</v>
      </c>
      <c r="E111" s="134">
        <f t="shared" si="14"/>
        <v>558</v>
      </c>
      <c r="F111" s="120">
        <f t="shared" si="15"/>
        <v>1.3526944801338149E-2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91987</v>
      </c>
      <c r="D113" s="133">
        <v>90491</v>
      </c>
      <c r="E113" s="133">
        <f t="shared" ref="E113:E124" si="16">D113-C113</f>
        <v>-1496</v>
      </c>
      <c r="F113" s="114">
        <f t="shared" ref="F113:F124" si="17">IF(C113=0,0,E113/C113)</f>
        <v>-1.6263167621511736E-2</v>
      </c>
    </row>
    <row r="114" spans="1:6" x14ac:dyDescent="0.2">
      <c r="A114" s="115">
        <v>2</v>
      </c>
      <c r="B114" s="116" t="s">
        <v>114</v>
      </c>
      <c r="C114" s="133">
        <v>18161</v>
      </c>
      <c r="D114" s="133">
        <v>21726</v>
      </c>
      <c r="E114" s="133">
        <f t="shared" si="16"/>
        <v>3565</v>
      </c>
      <c r="F114" s="114">
        <f t="shared" si="17"/>
        <v>0.19629976322889708</v>
      </c>
    </row>
    <row r="115" spans="1:6" x14ac:dyDescent="0.2">
      <c r="A115" s="115">
        <v>3</v>
      </c>
      <c r="B115" s="116" t="s">
        <v>115</v>
      </c>
      <c r="C115" s="133">
        <v>48913</v>
      </c>
      <c r="D115" s="133">
        <v>53180</v>
      </c>
      <c r="E115" s="133">
        <f t="shared" si="16"/>
        <v>4267</v>
      </c>
      <c r="F115" s="114">
        <f t="shared" si="17"/>
        <v>8.7236521988019539E-2</v>
      </c>
    </row>
    <row r="116" spans="1:6" x14ac:dyDescent="0.2">
      <c r="A116" s="115">
        <v>4</v>
      </c>
      <c r="B116" s="116" t="s">
        <v>116</v>
      </c>
      <c r="C116" s="133">
        <v>1994</v>
      </c>
      <c r="D116" s="133">
        <v>0</v>
      </c>
      <c r="E116" s="133">
        <f t="shared" si="16"/>
        <v>-1994</v>
      </c>
      <c r="F116" s="114">
        <f t="shared" si="17"/>
        <v>-1</v>
      </c>
    </row>
    <row r="117" spans="1:6" x14ac:dyDescent="0.2">
      <c r="A117" s="115">
        <v>5</v>
      </c>
      <c r="B117" s="116" t="s">
        <v>117</v>
      </c>
      <c r="C117" s="133">
        <v>1453</v>
      </c>
      <c r="D117" s="133">
        <v>1287</v>
      </c>
      <c r="E117" s="133">
        <f t="shared" si="16"/>
        <v>-166</v>
      </c>
      <c r="F117" s="114">
        <f t="shared" si="17"/>
        <v>-0.11424638678596008</v>
      </c>
    </row>
    <row r="118" spans="1:6" x14ac:dyDescent="0.2">
      <c r="A118" s="115">
        <v>6</v>
      </c>
      <c r="B118" s="116" t="s">
        <v>118</v>
      </c>
      <c r="C118" s="133">
        <v>1639</v>
      </c>
      <c r="D118" s="133">
        <v>1739</v>
      </c>
      <c r="E118" s="133">
        <f t="shared" si="16"/>
        <v>100</v>
      </c>
      <c r="F118" s="114">
        <f t="shared" si="17"/>
        <v>6.1012812690665039E-2</v>
      </c>
    </row>
    <row r="119" spans="1:6" x14ac:dyDescent="0.2">
      <c r="A119" s="115">
        <v>7</v>
      </c>
      <c r="B119" s="116" t="s">
        <v>119</v>
      </c>
      <c r="C119" s="133">
        <v>66708</v>
      </c>
      <c r="D119" s="133">
        <v>65013</v>
      </c>
      <c r="E119" s="133">
        <f t="shared" si="16"/>
        <v>-1695</v>
      </c>
      <c r="F119" s="114">
        <f t="shared" si="17"/>
        <v>-2.5409246267314264E-2</v>
      </c>
    </row>
    <row r="120" spans="1:6" x14ac:dyDescent="0.2">
      <c r="A120" s="115">
        <v>8</v>
      </c>
      <c r="B120" s="116" t="s">
        <v>120</v>
      </c>
      <c r="C120" s="133">
        <v>0</v>
      </c>
      <c r="D120" s="133">
        <v>0</v>
      </c>
      <c r="E120" s="133">
        <f t="shared" si="16"/>
        <v>0</v>
      </c>
      <c r="F120" s="114">
        <f t="shared" si="17"/>
        <v>0</v>
      </c>
    </row>
    <row r="121" spans="1:6" x14ac:dyDescent="0.2">
      <c r="A121" s="115">
        <v>9</v>
      </c>
      <c r="B121" s="116" t="s">
        <v>121</v>
      </c>
      <c r="C121" s="133">
        <v>2477</v>
      </c>
      <c r="D121" s="133">
        <v>1576</v>
      </c>
      <c r="E121" s="133">
        <f t="shared" si="16"/>
        <v>-901</v>
      </c>
      <c r="F121" s="114">
        <f t="shared" si="17"/>
        <v>-0.36374646750100931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0</v>
      </c>
      <c r="D123" s="133">
        <v>0</v>
      </c>
      <c r="E123" s="133">
        <f t="shared" si="16"/>
        <v>0</v>
      </c>
      <c r="F123" s="114">
        <f t="shared" si="17"/>
        <v>0</v>
      </c>
    </row>
    <row r="124" spans="1:6" ht="15.75" x14ac:dyDescent="0.25">
      <c r="A124" s="117"/>
      <c r="B124" s="118" t="s">
        <v>140</v>
      </c>
      <c r="C124" s="134">
        <f>SUM(C113:C123)</f>
        <v>233332</v>
      </c>
      <c r="D124" s="134">
        <f>SUM(D113:D123)</f>
        <v>235012</v>
      </c>
      <c r="E124" s="134">
        <f t="shared" si="16"/>
        <v>1680</v>
      </c>
      <c r="F124" s="120">
        <f t="shared" si="17"/>
        <v>7.2000411430922463E-3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80876</v>
      </c>
      <c r="D126" s="133">
        <v>65460</v>
      </c>
      <c r="E126" s="133">
        <f t="shared" ref="E126:E137" si="18">D126-C126</f>
        <v>-15416</v>
      </c>
      <c r="F126" s="114">
        <f t="shared" ref="F126:F137" si="19">IF(C126=0,0,E126/C126)</f>
        <v>-0.19061278995004699</v>
      </c>
    </row>
    <row r="127" spans="1:6" x14ac:dyDescent="0.2">
      <c r="A127" s="115">
        <v>2</v>
      </c>
      <c r="B127" s="116" t="s">
        <v>114</v>
      </c>
      <c r="C127" s="133">
        <v>17473</v>
      </c>
      <c r="D127" s="133">
        <v>15367</v>
      </c>
      <c r="E127" s="133">
        <f t="shared" si="18"/>
        <v>-2106</v>
      </c>
      <c r="F127" s="114">
        <f t="shared" si="19"/>
        <v>-0.12052881588736908</v>
      </c>
    </row>
    <row r="128" spans="1:6" x14ac:dyDescent="0.2">
      <c r="A128" s="115">
        <v>3</v>
      </c>
      <c r="B128" s="116" t="s">
        <v>115</v>
      </c>
      <c r="C128" s="133">
        <v>105992</v>
      </c>
      <c r="D128" s="133">
        <v>97745</v>
      </c>
      <c r="E128" s="133">
        <f t="shared" si="18"/>
        <v>-8247</v>
      </c>
      <c r="F128" s="114">
        <f t="shared" si="19"/>
        <v>-7.7807759076156696E-2</v>
      </c>
    </row>
    <row r="129" spans="1:6" x14ac:dyDescent="0.2">
      <c r="A129" s="115">
        <v>4</v>
      </c>
      <c r="B129" s="116" t="s">
        <v>116</v>
      </c>
      <c r="C129" s="133">
        <v>11805</v>
      </c>
      <c r="D129" s="133">
        <v>0</v>
      </c>
      <c r="E129" s="133">
        <f t="shared" si="18"/>
        <v>-11805</v>
      </c>
      <c r="F129" s="114">
        <f t="shared" si="19"/>
        <v>-1</v>
      </c>
    </row>
    <row r="130" spans="1:6" x14ac:dyDescent="0.2">
      <c r="A130" s="115">
        <v>5</v>
      </c>
      <c r="B130" s="116" t="s">
        <v>117</v>
      </c>
      <c r="C130" s="133">
        <v>2751</v>
      </c>
      <c r="D130" s="133">
        <v>2361</v>
      </c>
      <c r="E130" s="133">
        <f t="shared" si="18"/>
        <v>-390</v>
      </c>
      <c r="F130" s="114">
        <f t="shared" si="19"/>
        <v>-0.14176663031624864</v>
      </c>
    </row>
    <row r="131" spans="1:6" x14ac:dyDescent="0.2">
      <c r="A131" s="115">
        <v>6</v>
      </c>
      <c r="B131" s="116" t="s">
        <v>118</v>
      </c>
      <c r="C131" s="133">
        <v>4573</v>
      </c>
      <c r="D131" s="133">
        <v>3689</v>
      </c>
      <c r="E131" s="133">
        <f t="shared" si="18"/>
        <v>-884</v>
      </c>
      <c r="F131" s="114">
        <f t="shared" si="19"/>
        <v>-0.19330855018587362</v>
      </c>
    </row>
    <row r="132" spans="1:6" x14ac:dyDescent="0.2">
      <c r="A132" s="115">
        <v>7</v>
      </c>
      <c r="B132" s="116" t="s">
        <v>119</v>
      </c>
      <c r="C132" s="133">
        <v>100459</v>
      </c>
      <c r="D132" s="133">
        <v>80953</v>
      </c>
      <c r="E132" s="133">
        <f t="shared" si="18"/>
        <v>-19506</v>
      </c>
      <c r="F132" s="114">
        <f t="shared" si="19"/>
        <v>-0.19416876536696562</v>
      </c>
    </row>
    <row r="133" spans="1:6" x14ac:dyDescent="0.2">
      <c r="A133" s="115">
        <v>8</v>
      </c>
      <c r="B133" s="116" t="s">
        <v>120</v>
      </c>
      <c r="C133" s="133">
        <v>0</v>
      </c>
      <c r="D133" s="133">
        <v>0</v>
      </c>
      <c r="E133" s="133">
        <f t="shared" si="18"/>
        <v>0</v>
      </c>
      <c r="F133" s="114">
        <f t="shared" si="19"/>
        <v>0</v>
      </c>
    </row>
    <row r="134" spans="1:6" x14ac:dyDescent="0.2">
      <c r="A134" s="115">
        <v>9</v>
      </c>
      <c r="B134" s="116" t="s">
        <v>121</v>
      </c>
      <c r="C134" s="133">
        <v>23671</v>
      </c>
      <c r="D134" s="133">
        <v>18851</v>
      </c>
      <c r="E134" s="133">
        <f t="shared" si="18"/>
        <v>-4820</v>
      </c>
      <c r="F134" s="114">
        <f t="shared" si="19"/>
        <v>-0.20362468843732837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0</v>
      </c>
      <c r="D136" s="133">
        <v>0</v>
      </c>
      <c r="E136" s="133">
        <f t="shared" si="18"/>
        <v>0</v>
      </c>
      <c r="F136" s="114">
        <f t="shared" si="19"/>
        <v>0</v>
      </c>
    </row>
    <row r="137" spans="1:6" ht="15.75" x14ac:dyDescent="0.25">
      <c r="A137" s="117"/>
      <c r="B137" s="118" t="s">
        <v>142</v>
      </c>
      <c r="C137" s="134">
        <f>SUM(C126:C136)</f>
        <v>347600</v>
      </c>
      <c r="D137" s="134">
        <f>SUM(D126:D136)</f>
        <v>284426</v>
      </c>
      <c r="E137" s="134">
        <f t="shared" si="18"/>
        <v>-63174</v>
      </c>
      <c r="F137" s="120">
        <f t="shared" si="19"/>
        <v>-0.1817433831990794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25789052</v>
      </c>
      <c r="D142" s="113">
        <v>28924158</v>
      </c>
      <c r="E142" s="113">
        <f t="shared" ref="E142:E153" si="20">D142-C142</f>
        <v>3135106</v>
      </c>
      <c r="F142" s="114">
        <f t="shared" ref="F142:F153" si="21">IF(C142=0,0,E142/C142)</f>
        <v>0.12156732244364779</v>
      </c>
    </row>
    <row r="143" spans="1:6" x14ac:dyDescent="0.2">
      <c r="A143" s="115">
        <v>2</v>
      </c>
      <c r="B143" s="116" t="s">
        <v>114</v>
      </c>
      <c r="C143" s="113">
        <v>8107149</v>
      </c>
      <c r="D143" s="113">
        <v>9800740</v>
      </c>
      <c r="E143" s="113">
        <f t="shared" si="20"/>
        <v>1693591</v>
      </c>
      <c r="F143" s="114">
        <f t="shared" si="21"/>
        <v>0.20890093422484279</v>
      </c>
    </row>
    <row r="144" spans="1:6" x14ac:dyDescent="0.2">
      <c r="A144" s="115">
        <v>3</v>
      </c>
      <c r="B144" s="116" t="s">
        <v>115</v>
      </c>
      <c r="C144" s="113">
        <v>52407691</v>
      </c>
      <c r="D144" s="113">
        <v>60466843</v>
      </c>
      <c r="E144" s="113">
        <f t="shared" si="20"/>
        <v>8059152</v>
      </c>
      <c r="F144" s="114">
        <f t="shared" si="21"/>
        <v>0.15377803994455699</v>
      </c>
    </row>
    <row r="145" spans="1:6" x14ac:dyDescent="0.2">
      <c r="A145" s="115">
        <v>4</v>
      </c>
      <c r="B145" s="116" t="s">
        <v>116</v>
      </c>
      <c r="C145" s="113">
        <v>3893548</v>
      </c>
      <c r="D145" s="113">
        <v>0</v>
      </c>
      <c r="E145" s="113">
        <f t="shared" si="20"/>
        <v>-3893548</v>
      </c>
      <c r="F145" s="114">
        <f t="shared" si="21"/>
        <v>-1</v>
      </c>
    </row>
    <row r="146" spans="1:6" x14ac:dyDescent="0.2">
      <c r="A146" s="115">
        <v>5</v>
      </c>
      <c r="B146" s="116" t="s">
        <v>117</v>
      </c>
      <c r="C146" s="113">
        <v>1312579</v>
      </c>
      <c r="D146" s="113">
        <v>1670646</v>
      </c>
      <c r="E146" s="113">
        <f t="shared" si="20"/>
        <v>358067</v>
      </c>
      <c r="F146" s="114">
        <f t="shared" si="21"/>
        <v>0.27279653262775039</v>
      </c>
    </row>
    <row r="147" spans="1:6" x14ac:dyDescent="0.2">
      <c r="A147" s="115">
        <v>6</v>
      </c>
      <c r="B147" s="116" t="s">
        <v>118</v>
      </c>
      <c r="C147" s="113">
        <v>4751934</v>
      </c>
      <c r="D147" s="113">
        <v>4733516</v>
      </c>
      <c r="E147" s="113">
        <f t="shared" si="20"/>
        <v>-18418</v>
      </c>
      <c r="F147" s="114">
        <f t="shared" si="21"/>
        <v>-3.8758955827248444E-3</v>
      </c>
    </row>
    <row r="148" spans="1:6" x14ac:dyDescent="0.2">
      <c r="A148" s="115">
        <v>7</v>
      </c>
      <c r="B148" s="116" t="s">
        <v>119</v>
      </c>
      <c r="C148" s="113">
        <v>40129660</v>
      </c>
      <c r="D148" s="113">
        <v>43138386</v>
      </c>
      <c r="E148" s="113">
        <f t="shared" si="20"/>
        <v>3008726</v>
      </c>
      <c r="F148" s="114">
        <f t="shared" si="21"/>
        <v>7.4975118154502182E-2</v>
      </c>
    </row>
    <row r="149" spans="1:6" x14ac:dyDescent="0.2">
      <c r="A149" s="115">
        <v>8</v>
      </c>
      <c r="B149" s="116" t="s">
        <v>120</v>
      </c>
      <c r="C149" s="113">
        <v>0</v>
      </c>
      <c r="D149" s="113">
        <v>0</v>
      </c>
      <c r="E149" s="113">
        <f t="shared" si="20"/>
        <v>0</v>
      </c>
      <c r="F149" s="114">
        <f t="shared" si="21"/>
        <v>0</v>
      </c>
    </row>
    <row r="150" spans="1:6" x14ac:dyDescent="0.2">
      <c r="A150" s="115">
        <v>9</v>
      </c>
      <c r="B150" s="116" t="s">
        <v>121</v>
      </c>
      <c r="C150" s="113">
        <v>16859852</v>
      </c>
      <c r="D150" s="113">
        <v>17020448</v>
      </c>
      <c r="E150" s="113">
        <f t="shared" si="20"/>
        <v>160596</v>
      </c>
      <c r="F150" s="114">
        <f t="shared" si="21"/>
        <v>9.5253505190911521E-3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0</v>
      </c>
      <c r="D152" s="113">
        <v>0</v>
      </c>
      <c r="E152" s="113">
        <f t="shared" si="20"/>
        <v>0</v>
      </c>
      <c r="F152" s="114">
        <f t="shared" si="21"/>
        <v>0</v>
      </c>
    </row>
    <row r="153" spans="1:6" ht="33.75" customHeight="1" x14ac:dyDescent="0.25">
      <c r="A153" s="117"/>
      <c r="B153" s="118" t="s">
        <v>146</v>
      </c>
      <c r="C153" s="119">
        <f>SUM(C142:C152)</f>
        <v>153251465</v>
      </c>
      <c r="D153" s="119">
        <f>SUM(D142:D152)</f>
        <v>165754737</v>
      </c>
      <c r="E153" s="119">
        <f t="shared" si="20"/>
        <v>12503272</v>
      </c>
      <c r="F153" s="120">
        <f t="shared" si="21"/>
        <v>8.1586639318586618E-2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13515305</v>
      </c>
      <c r="D155" s="113">
        <v>6439275</v>
      </c>
      <c r="E155" s="113">
        <f t="shared" ref="E155:E166" si="22">D155-C155</f>
        <v>-7076030</v>
      </c>
      <c r="F155" s="114">
        <f t="shared" ref="F155:F166" si="23">IF(C155=0,0,E155/C155)</f>
        <v>-0.52355681207342342</v>
      </c>
    </row>
    <row r="156" spans="1:6" x14ac:dyDescent="0.2">
      <c r="A156" s="115">
        <v>2</v>
      </c>
      <c r="B156" s="116" t="s">
        <v>114</v>
      </c>
      <c r="C156" s="113">
        <v>2809679</v>
      </c>
      <c r="D156" s="113">
        <v>2177757</v>
      </c>
      <c r="E156" s="113">
        <f t="shared" si="22"/>
        <v>-631922</v>
      </c>
      <c r="F156" s="114">
        <f t="shared" si="23"/>
        <v>-0.22490896646912334</v>
      </c>
    </row>
    <row r="157" spans="1:6" x14ac:dyDescent="0.2">
      <c r="A157" s="115">
        <v>3</v>
      </c>
      <c r="B157" s="116" t="s">
        <v>115</v>
      </c>
      <c r="C157" s="113">
        <v>6074071</v>
      </c>
      <c r="D157" s="113">
        <v>15272820</v>
      </c>
      <c r="E157" s="113">
        <f t="shared" si="22"/>
        <v>9198749</v>
      </c>
      <c r="F157" s="114">
        <f t="shared" si="23"/>
        <v>1.5144289554731909</v>
      </c>
    </row>
    <row r="158" spans="1:6" x14ac:dyDescent="0.2">
      <c r="A158" s="115">
        <v>4</v>
      </c>
      <c r="B158" s="116" t="s">
        <v>116</v>
      </c>
      <c r="C158" s="113">
        <v>494272</v>
      </c>
      <c r="D158" s="113">
        <v>0</v>
      </c>
      <c r="E158" s="113">
        <f t="shared" si="22"/>
        <v>-494272</v>
      </c>
      <c r="F158" s="114">
        <f t="shared" si="23"/>
        <v>-1</v>
      </c>
    </row>
    <row r="159" spans="1:6" x14ac:dyDescent="0.2">
      <c r="A159" s="115">
        <v>5</v>
      </c>
      <c r="B159" s="116" t="s">
        <v>117</v>
      </c>
      <c r="C159" s="113">
        <v>326615</v>
      </c>
      <c r="D159" s="113">
        <v>376998</v>
      </c>
      <c r="E159" s="113">
        <f t="shared" si="22"/>
        <v>50383</v>
      </c>
      <c r="F159" s="114">
        <f t="shared" si="23"/>
        <v>0.15425807142966488</v>
      </c>
    </row>
    <row r="160" spans="1:6" x14ac:dyDescent="0.2">
      <c r="A160" s="115">
        <v>6</v>
      </c>
      <c r="B160" s="116" t="s">
        <v>118</v>
      </c>
      <c r="C160" s="113">
        <v>1418822</v>
      </c>
      <c r="D160" s="113">
        <v>4322774</v>
      </c>
      <c r="E160" s="113">
        <f t="shared" si="22"/>
        <v>2903952</v>
      </c>
      <c r="F160" s="114">
        <f t="shared" si="23"/>
        <v>2.0467345445728919</v>
      </c>
    </row>
    <row r="161" spans="1:6" x14ac:dyDescent="0.2">
      <c r="A161" s="115">
        <v>7</v>
      </c>
      <c r="B161" s="116" t="s">
        <v>119</v>
      </c>
      <c r="C161" s="113">
        <v>25833665</v>
      </c>
      <c r="D161" s="113">
        <v>19951320</v>
      </c>
      <c r="E161" s="113">
        <f t="shared" si="22"/>
        <v>-5882345</v>
      </c>
      <c r="F161" s="114">
        <f t="shared" si="23"/>
        <v>-0.22770075403548046</v>
      </c>
    </row>
    <row r="162" spans="1:6" x14ac:dyDescent="0.2">
      <c r="A162" s="115">
        <v>8</v>
      </c>
      <c r="B162" s="116" t="s">
        <v>120</v>
      </c>
      <c r="C162" s="113">
        <v>0</v>
      </c>
      <c r="D162" s="113">
        <v>0</v>
      </c>
      <c r="E162" s="113">
        <f t="shared" si="22"/>
        <v>0</v>
      </c>
      <c r="F162" s="114">
        <f t="shared" si="23"/>
        <v>0</v>
      </c>
    </row>
    <row r="163" spans="1:6" x14ac:dyDescent="0.2">
      <c r="A163" s="115">
        <v>9</v>
      </c>
      <c r="B163" s="116" t="s">
        <v>121</v>
      </c>
      <c r="C163" s="113">
        <v>697991</v>
      </c>
      <c r="D163" s="113">
        <v>885063</v>
      </c>
      <c r="E163" s="113">
        <f t="shared" si="22"/>
        <v>187072</v>
      </c>
      <c r="F163" s="114">
        <f t="shared" si="23"/>
        <v>0.26801491709778491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0</v>
      </c>
      <c r="D165" s="113">
        <v>0</v>
      </c>
      <c r="E165" s="113">
        <f t="shared" si="22"/>
        <v>0</v>
      </c>
      <c r="F165" s="114">
        <f t="shared" si="23"/>
        <v>0</v>
      </c>
    </row>
    <row r="166" spans="1:6" ht="33.75" customHeight="1" x14ac:dyDescent="0.25">
      <c r="A166" s="117"/>
      <c r="B166" s="118" t="s">
        <v>148</v>
      </c>
      <c r="C166" s="119">
        <f>SUM(C155:C165)</f>
        <v>51170420</v>
      </c>
      <c r="D166" s="119">
        <f>SUM(D155:D165)</f>
        <v>49426007</v>
      </c>
      <c r="E166" s="119">
        <f t="shared" si="22"/>
        <v>-1744413</v>
      </c>
      <c r="F166" s="120">
        <f t="shared" si="23"/>
        <v>-3.4090261522184105E-2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9979</v>
      </c>
      <c r="D168" s="133">
        <v>10741</v>
      </c>
      <c r="E168" s="133">
        <f t="shared" ref="E168:E179" si="24">D168-C168</f>
        <v>762</v>
      </c>
      <c r="F168" s="114">
        <f t="shared" ref="F168:F179" si="25">IF(C168=0,0,E168/C168)</f>
        <v>7.6360356749173269E-2</v>
      </c>
    </row>
    <row r="169" spans="1:6" x14ac:dyDescent="0.2">
      <c r="A169" s="115">
        <v>2</v>
      </c>
      <c r="B169" s="116" t="s">
        <v>114</v>
      </c>
      <c r="C169" s="133">
        <v>2930</v>
      </c>
      <c r="D169" s="133">
        <v>3287</v>
      </c>
      <c r="E169" s="133">
        <f t="shared" si="24"/>
        <v>357</v>
      </c>
      <c r="F169" s="114">
        <f t="shared" si="25"/>
        <v>0.12184300341296929</v>
      </c>
    </row>
    <row r="170" spans="1:6" x14ac:dyDescent="0.2">
      <c r="A170" s="115">
        <v>3</v>
      </c>
      <c r="B170" s="116" t="s">
        <v>115</v>
      </c>
      <c r="C170" s="133">
        <v>33650</v>
      </c>
      <c r="D170" s="133">
        <v>35995</v>
      </c>
      <c r="E170" s="133">
        <f t="shared" si="24"/>
        <v>2345</v>
      </c>
      <c r="F170" s="114">
        <f t="shared" si="25"/>
        <v>6.9687964338781577E-2</v>
      </c>
    </row>
    <row r="171" spans="1:6" x14ac:dyDescent="0.2">
      <c r="A171" s="115">
        <v>4</v>
      </c>
      <c r="B171" s="116" t="s">
        <v>116</v>
      </c>
      <c r="C171" s="133">
        <v>2736</v>
      </c>
      <c r="D171" s="133">
        <v>0</v>
      </c>
      <c r="E171" s="133">
        <f t="shared" si="24"/>
        <v>-2736</v>
      </c>
      <c r="F171" s="114">
        <f t="shared" si="25"/>
        <v>-1</v>
      </c>
    </row>
    <row r="172" spans="1:6" x14ac:dyDescent="0.2">
      <c r="A172" s="115">
        <v>5</v>
      </c>
      <c r="B172" s="116" t="s">
        <v>117</v>
      </c>
      <c r="C172" s="133">
        <v>607</v>
      </c>
      <c r="D172" s="133">
        <v>659</v>
      </c>
      <c r="E172" s="133">
        <f t="shared" si="24"/>
        <v>52</v>
      </c>
      <c r="F172" s="114">
        <f t="shared" si="25"/>
        <v>8.5667215815486003E-2</v>
      </c>
    </row>
    <row r="173" spans="1:6" x14ac:dyDescent="0.2">
      <c r="A173" s="115">
        <v>6</v>
      </c>
      <c r="B173" s="116" t="s">
        <v>118</v>
      </c>
      <c r="C173" s="133">
        <v>2493</v>
      </c>
      <c r="D173" s="133">
        <v>2360</v>
      </c>
      <c r="E173" s="133">
        <f t="shared" si="24"/>
        <v>-133</v>
      </c>
      <c r="F173" s="114">
        <f t="shared" si="25"/>
        <v>-5.334937825912555E-2</v>
      </c>
    </row>
    <row r="174" spans="1:6" x14ac:dyDescent="0.2">
      <c r="A174" s="115">
        <v>7</v>
      </c>
      <c r="B174" s="116" t="s">
        <v>119</v>
      </c>
      <c r="C174" s="133">
        <v>16207</v>
      </c>
      <c r="D174" s="133">
        <v>15632</v>
      </c>
      <c r="E174" s="133">
        <f t="shared" si="24"/>
        <v>-575</v>
      </c>
      <c r="F174" s="114">
        <f t="shared" si="25"/>
        <v>-3.5478496945764174E-2</v>
      </c>
    </row>
    <row r="175" spans="1:6" x14ac:dyDescent="0.2">
      <c r="A175" s="115">
        <v>8</v>
      </c>
      <c r="B175" s="116" t="s">
        <v>120</v>
      </c>
      <c r="C175" s="133">
        <v>0</v>
      </c>
      <c r="D175" s="133">
        <v>0</v>
      </c>
      <c r="E175" s="133">
        <f t="shared" si="24"/>
        <v>0</v>
      </c>
      <c r="F175" s="114">
        <f t="shared" si="25"/>
        <v>0</v>
      </c>
    </row>
    <row r="176" spans="1:6" x14ac:dyDescent="0.2">
      <c r="A176" s="115">
        <v>9</v>
      </c>
      <c r="B176" s="116" t="s">
        <v>121</v>
      </c>
      <c r="C176" s="133">
        <v>10621</v>
      </c>
      <c r="D176" s="133">
        <v>9829</v>
      </c>
      <c r="E176" s="133">
        <f t="shared" si="24"/>
        <v>-792</v>
      </c>
      <c r="F176" s="114">
        <f t="shared" si="25"/>
        <v>-7.4569249599849355E-2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0</v>
      </c>
      <c r="D178" s="133">
        <v>0</v>
      </c>
      <c r="E178" s="133">
        <f t="shared" si="24"/>
        <v>0</v>
      </c>
      <c r="F178" s="114">
        <f t="shared" si="25"/>
        <v>0</v>
      </c>
    </row>
    <row r="179" spans="1:6" ht="33.75" customHeight="1" x14ac:dyDescent="0.25">
      <c r="A179" s="117"/>
      <c r="B179" s="118" t="s">
        <v>150</v>
      </c>
      <c r="C179" s="134">
        <f>SUM(C168:C178)</f>
        <v>79223</v>
      </c>
      <c r="D179" s="134">
        <f>SUM(D168:D178)</f>
        <v>78503</v>
      </c>
      <c r="E179" s="134">
        <f t="shared" si="24"/>
        <v>-720</v>
      </c>
      <c r="F179" s="120">
        <f t="shared" si="25"/>
        <v>-9.0882698206328962E-3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FILING&amp;RHARTFORD HOSPITAL</oddHeader>
    <oddFooter>&amp;LREPORT 100&amp;CPAGE &amp;P of &amp;N&amp;R&amp;D, 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1"/>
  <sheetViews>
    <sheetView zoomScale="75" workbookViewId="0">
      <selection sqref="A1:F1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140913540</v>
      </c>
      <c r="D15" s="157">
        <v>140683001</v>
      </c>
      <c r="E15" s="157">
        <f>+D15-C15</f>
        <v>-230539</v>
      </c>
      <c r="F15" s="161">
        <f>IF(C15=0,0,E15/C15)</f>
        <v>-1.6360315694290272E-3</v>
      </c>
    </row>
    <row r="16" spans="1:6" ht="15" customHeight="1" x14ac:dyDescent="0.2">
      <c r="A16" s="147">
        <v>2</v>
      </c>
      <c r="B16" s="160" t="s">
        <v>157</v>
      </c>
      <c r="C16" s="157">
        <v>40875101</v>
      </c>
      <c r="D16" s="157">
        <v>42632896</v>
      </c>
      <c r="E16" s="157">
        <f>+D16-C16</f>
        <v>1757795</v>
      </c>
      <c r="F16" s="161">
        <f>IF(C16=0,0,E16/C16)</f>
        <v>4.3004052760628041E-2</v>
      </c>
    </row>
    <row r="17" spans="1:6" ht="15" customHeight="1" x14ac:dyDescent="0.2">
      <c r="A17" s="147">
        <v>3</v>
      </c>
      <c r="B17" s="160" t="s">
        <v>158</v>
      </c>
      <c r="C17" s="157">
        <v>271163840</v>
      </c>
      <c r="D17" s="157">
        <v>287140095</v>
      </c>
      <c r="E17" s="157">
        <f>+D17-C17</f>
        <v>15976255</v>
      </c>
      <c r="F17" s="161">
        <f>IF(C17=0,0,E17/C17)</f>
        <v>5.8917350484489379E-2</v>
      </c>
    </row>
    <row r="18" spans="1:6" ht="15.75" customHeight="1" x14ac:dyDescent="0.25">
      <c r="A18" s="147"/>
      <c r="B18" s="162" t="s">
        <v>159</v>
      </c>
      <c r="C18" s="158">
        <f>SUM(C15:C17)</f>
        <v>452952481</v>
      </c>
      <c r="D18" s="158">
        <f>SUM(D15:D17)</f>
        <v>470455992</v>
      </c>
      <c r="E18" s="158">
        <f>+D18-C18</f>
        <v>17503511</v>
      </c>
      <c r="F18" s="159">
        <f>IF(C18=0,0,E18/C18)</f>
        <v>3.8643150737041665E-2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47150448</v>
      </c>
      <c r="D21" s="157">
        <v>50716032</v>
      </c>
      <c r="E21" s="157">
        <f>+D21-C21</f>
        <v>3565584</v>
      </c>
      <c r="F21" s="161">
        <f>IF(C21=0,0,E21/C21)</f>
        <v>7.5621423575869318E-2</v>
      </c>
    </row>
    <row r="22" spans="1:6" ht="15" customHeight="1" x14ac:dyDescent="0.2">
      <c r="A22" s="147">
        <v>2</v>
      </c>
      <c r="B22" s="160" t="s">
        <v>162</v>
      </c>
      <c r="C22" s="157">
        <v>13677034</v>
      </c>
      <c r="D22" s="157">
        <v>15369101</v>
      </c>
      <c r="E22" s="157">
        <f>+D22-C22</f>
        <v>1692067</v>
      </c>
      <c r="F22" s="161">
        <f>IF(C22=0,0,E22/C22)</f>
        <v>0.12371593139272739</v>
      </c>
    </row>
    <row r="23" spans="1:6" ht="15" customHeight="1" x14ac:dyDescent="0.2">
      <c r="A23" s="147">
        <v>3</v>
      </c>
      <c r="B23" s="160" t="s">
        <v>163</v>
      </c>
      <c r="C23" s="157">
        <v>90732918</v>
      </c>
      <c r="D23" s="157">
        <v>98724685</v>
      </c>
      <c r="E23" s="157">
        <f>+D23-C23</f>
        <v>7991767</v>
      </c>
      <c r="F23" s="161">
        <f>IF(C23=0,0,E23/C23)</f>
        <v>8.8080127655543933E-2</v>
      </c>
    </row>
    <row r="24" spans="1:6" ht="15.75" customHeight="1" x14ac:dyDescent="0.25">
      <c r="A24" s="147"/>
      <c r="B24" s="162" t="s">
        <v>164</v>
      </c>
      <c r="C24" s="158">
        <f>SUM(C21:C23)</f>
        <v>151560400</v>
      </c>
      <c r="D24" s="158">
        <f>SUM(D21:D23)</f>
        <v>164809818</v>
      </c>
      <c r="E24" s="158">
        <f>+D24-C24</f>
        <v>13249418</v>
      </c>
      <c r="F24" s="159">
        <f>IF(C24=0,0,E24/C24)</f>
        <v>8.7420051675767552E-2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501559</v>
      </c>
      <c r="D27" s="157">
        <v>317013</v>
      </c>
      <c r="E27" s="157">
        <f>+D27-C27</f>
        <v>-184546</v>
      </c>
      <c r="F27" s="161">
        <f>IF(C27=0,0,E27/C27)</f>
        <v>-0.36794474827487894</v>
      </c>
    </row>
    <row r="28" spans="1:6" ht="15" customHeight="1" x14ac:dyDescent="0.2">
      <c r="A28" s="147">
        <v>2</v>
      </c>
      <c r="B28" s="160" t="s">
        <v>167</v>
      </c>
      <c r="C28" s="157">
        <v>44286457</v>
      </c>
      <c r="D28" s="157">
        <v>49772864</v>
      </c>
      <c r="E28" s="157">
        <f>+D28-C28</f>
        <v>5486407</v>
      </c>
      <c r="F28" s="161">
        <f>IF(C28=0,0,E28/C28)</f>
        <v>0.12388453201392922</v>
      </c>
    </row>
    <row r="29" spans="1:6" ht="15" customHeight="1" x14ac:dyDescent="0.2">
      <c r="A29" s="147">
        <v>3</v>
      </c>
      <c r="B29" s="160" t="s">
        <v>168</v>
      </c>
      <c r="C29" s="157">
        <v>4059007</v>
      </c>
      <c r="D29" s="157">
        <v>4377105</v>
      </c>
      <c r="E29" s="157">
        <f>+D29-C29</f>
        <v>318098</v>
      </c>
      <c r="F29" s="161">
        <f>IF(C29=0,0,E29/C29)</f>
        <v>7.8368428534368137E-2</v>
      </c>
    </row>
    <row r="30" spans="1:6" ht="15.75" customHeight="1" x14ac:dyDescent="0.25">
      <c r="A30" s="147"/>
      <c r="B30" s="162" t="s">
        <v>169</v>
      </c>
      <c r="C30" s="158">
        <f>SUM(C27:C29)</f>
        <v>48847023</v>
      </c>
      <c r="D30" s="158">
        <f>SUM(D27:D29)</f>
        <v>54466982</v>
      </c>
      <c r="E30" s="158">
        <f>+D30-C30</f>
        <v>5619959</v>
      </c>
      <c r="F30" s="159">
        <f>IF(C30=0,0,E30/C30)</f>
        <v>0.11505223153517462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106144740</v>
      </c>
      <c r="D33" s="157">
        <v>110160619</v>
      </c>
      <c r="E33" s="157">
        <f>+D33-C33</f>
        <v>4015879</v>
      </c>
      <c r="F33" s="161">
        <f>IF(C33=0,0,E33/C33)</f>
        <v>3.7833989701232487E-2</v>
      </c>
    </row>
    <row r="34" spans="1:6" ht="15" customHeight="1" x14ac:dyDescent="0.2">
      <c r="A34" s="147">
        <v>2</v>
      </c>
      <c r="B34" s="160" t="s">
        <v>173</v>
      </c>
      <c r="C34" s="157">
        <v>27164236</v>
      </c>
      <c r="D34" s="157">
        <v>27978868</v>
      </c>
      <c r="E34" s="157">
        <f>+D34-C34</f>
        <v>814632</v>
      </c>
      <c r="F34" s="161">
        <f>IF(C34=0,0,E34/C34)</f>
        <v>2.9989137187587386E-2</v>
      </c>
    </row>
    <row r="35" spans="1:6" ht="15.75" customHeight="1" x14ac:dyDescent="0.25">
      <c r="A35" s="147"/>
      <c r="B35" s="162" t="s">
        <v>174</v>
      </c>
      <c r="C35" s="158">
        <f>SUM(C33:C34)</f>
        <v>133308976</v>
      </c>
      <c r="D35" s="158">
        <f>SUM(D33:D34)</f>
        <v>138139487</v>
      </c>
      <c r="E35" s="158">
        <f>+D35-C35</f>
        <v>4830511</v>
      </c>
      <c r="F35" s="159">
        <f>IF(C35=0,0,E35/C35)</f>
        <v>3.6235451992369966E-2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20621230</v>
      </c>
      <c r="D38" s="157">
        <v>22432877</v>
      </c>
      <c r="E38" s="157">
        <f>+D38-C38</f>
        <v>1811647</v>
      </c>
      <c r="F38" s="161">
        <f>IF(C38=0,0,E38/C38)</f>
        <v>8.7853488855902384E-2</v>
      </c>
    </row>
    <row r="39" spans="1:6" ht="15" customHeight="1" x14ac:dyDescent="0.2">
      <c r="A39" s="147">
        <v>2</v>
      </c>
      <c r="B39" s="160" t="s">
        <v>178</v>
      </c>
      <c r="C39" s="157">
        <v>25653496</v>
      </c>
      <c r="D39" s="157">
        <v>25983966</v>
      </c>
      <c r="E39" s="157">
        <f>+D39-C39</f>
        <v>330470</v>
      </c>
      <c r="F39" s="161">
        <f>IF(C39=0,0,E39/C39)</f>
        <v>1.2882064885035552E-2</v>
      </c>
    </row>
    <row r="40" spans="1:6" ht="15" customHeight="1" x14ac:dyDescent="0.2">
      <c r="A40" s="147">
        <v>3</v>
      </c>
      <c r="B40" s="160" t="s">
        <v>179</v>
      </c>
      <c r="C40" s="157">
        <v>0</v>
      </c>
      <c r="D40" s="157">
        <v>0</v>
      </c>
      <c r="E40" s="157">
        <f>+D40-C40</f>
        <v>0</v>
      </c>
      <c r="F40" s="161">
        <f>IF(C40=0,0,E40/C40)</f>
        <v>0</v>
      </c>
    </row>
    <row r="41" spans="1:6" ht="15.75" customHeight="1" x14ac:dyDescent="0.25">
      <c r="A41" s="147"/>
      <c r="B41" s="162" t="s">
        <v>180</v>
      </c>
      <c r="C41" s="158">
        <f>SUM(C38:C40)</f>
        <v>46274726</v>
      </c>
      <c r="D41" s="158">
        <f>SUM(D38:D40)</f>
        <v>48416843</v>
      </c>
      <c r="E41" s="158">
        <f>+D41-C41</f>
        <v>2142117</v>
      </c>
      <c r="F41" s="159">
        <f>IF(C41=0,0,E41/C41)</f>
        <v>4.6291295166177755E-2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22645968</v>
      </c>
      <c r="D44" s="157">
        <v>0</v>
      </c>
      <c r="E44" s="157">
        <f>+D44-C44</f>
        <v>-22645968</v>
      </c>
      <c r="F44" s="161">
        <f>IF(C44=0,0,E44/C44)</f>
        <v>-1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4517043</v>
      </c>
      <c r="D47" s="157">
        <v>5704487</v>
      </c>
      <c r="E47" s="157">
        <f>+D47-C47</f>
        <v>1187444</v>
      </c>
      <c r="F47" s="161">
        <f>IF(C47=0,0,E47/C47)</f>
        <v>0.26288082712517902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12815577</v>
      </c>
      <c r="D50" s="157">
        <v>7770477</v>
      </c>
      <c r="E50" s="157">
        <f>+D50-C50</f>
        <v>-5045100</v>
      </c>
      <c r="F50" s="161">
        <f>IF(C50=0,0,E50/C50)</f>
        <v>-0.3936693603417154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884510</v>
      </c>
      <c r="D53" s="157">
        <v>1016491</v>
      </c>
      <c r="E53" s="157">
        <f t="shared" ref="E53:E59" si="0">+D53-C53</f>
        <v>131981</v>
      </c>
      <c r="F53" s="161">
        <f t="shared" ref="F53:F59" si="1">IF(C53=0,0,E53/C53)</f>
        <v>0.14921368893511661</v>
      </c>
    </row>
    <row r="54" spans="1:6" ht="15" customHeight="1" x14ac:dyDescent="0.2">
      <c r="A54" s="147">
        <v>2</v>
      </c>
      <c r="B54" s="160" t="s">
        <v>189</v>
      </c>
      <c r="C54" s="157">
        <v>3390034</v>
      </c>
      <c r="D54" s="157">
        <v>3716701</v>
      </c>
      <c r="E54" s="157">
        <f t="shared" si="0"/>
        <v>326667</v>
      </c>
      <c r="F54" s="161">
        <f t="shared" si="1"/>
        <v>9.6360980450343567E-2</v>
      </c>
    </row>
    <row r="55" spans="1:6" ht="15" customHeight="1" x14ac:dyDescent="0.2">
      <c r="A55" s="147">
        <v>3</v>
      </c>
      <c r="B55" s="160" t="s">
        <v>190</v>
      </c>
      <c r="C55" s="157">
        <v>119244</v>
      </c>
      <c r="D55" s="157">
        <v>112154</v>
      </c>
      <c r="E55" s="157">
        <f t="shared" si="0"/>
        <v>-7090</v>
      </c>
      <c r="F55" s="161">
        <f t="shared" si="1"/>
        <v>-5.9457918218107413E-2</v>
      </c>
    </row>
    <row r="56" spans="1:6" ht="15" customHeight="1" x14ac:dyDescent="0.2">
      <c r="A56" s="147">
        <v>4</v>
      </c>
      <c r="B56" s="160" t="s">
        <v>191</v>
      </c>
      <c r="C56" s="157">
        <v>8483736</v>
      </c>
      <c r="D56" s="157">
        <v>8942965</v>
      </c>
      <c r="E56" s="157">
        <f t="shared" si="0"/>
        <v>459229</v>
      </c>
      <c r="F56" s="161">
        <f t="shared" si="1"/>
        <v>5.4130515140970913E-2</v>
      </c>
    </row>
    <row r="57" spans="1:6" ht="15" customHeight="1" x14ac:dyDescent="0.2">
      <c r="A57" s="147">
        <v>5</v>
      </c>
      <c r="B57" s="160" t="s">
        <v>192</v>
      </c>
      <c r="C57" s="157">
        <v>2787179</v>
      </c>
      <c r="D57" s="157">
        <v>2852651</v>
      </c>
      <c r="E57" s="157">
        <f t="shared" si="0"/>
        <v>65472</v>
      </c>
      <c r="F57" s="161">
        <f t="shared" si="1"/>
        <v>2.3490418089401506E-2</v>
      </c>
    </row>
    <row r="58" spans="1:6" ht="15" customHeight="1" x14ac:dyDescent="0.2">
      <c r="A58" s="147">
        <v>6</v>
      </c>
      <c r="B58" s="160" t="s">
        <v>193</v>
      </c>
      <c r="C58" s="157">
        <v>1563788</v>
      </c>
      <c r="D58" s="157">
        <v>1794060</v>
      </c>
      <c r="E58" s="157">
        <f t="shared" si="0"/>
        <v>230272</v>
      </c>
      <c r="F58" s="161">
        <f t="shared" si="1"/>
        <v>0.14725269665709162</v>
      </c>
    </row>
    <row r="59" spans="1:6" ht="15.75" customHeight="1" x14ac:dyDescent="0.25">
      <c r="A59" s="147"/>
      <c r="B59" s="162" t="s">
        <v>194</v>
      </c>
      <c r="C59" s="158">
        <f>SUM(C53:C58)</f>
        <v>17228491</v>
      </c>
      <c r="D59" s="158">
        <f>SUM(D53:D58)</f>
        <v>18435022</v>
      </c>
      <c r="E59" s="158">
        <f t="shared" si="0"/>
        <v>1206531</v>
      </c>
      <c r="F59" s="159">
        <f t="shared" si="1"/>
        <v>7.0031147823683457E-2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596947</v>
      </c>
      <c r="D62" s="157">
        <v>330637</v>
      </c>
      <c r="E62" s="157">
        <f t="shared" ref="E62:E90" si="2">+D62-C62</f>
        <v>-266310</v>
      </c>
      <c r="F62" s="161">
        <f t="shared" ref="F62:F90" si="3">IF(C62=0,0,E62/C62)</f>
        <v>-0.446120007303831</v>
      </c>
    </row>
    <row r="63" spans="1:6" ht="15" customHeight="1" x14ac:dyDescent="0.2">
      <c r="A63" s="147">
        <v>2</v>
      </c>
      <c r="B63" s="160" t="s">
        <v>198</v>
      </c>
      <c r="C63" s="157">
        <v>919869</v>
      </c>
      <c r="D63" s="157">
        <v>573960</v>
      </c>
      <c r="E63" s="157">
        <f t="shared" si="2"/>
        <v>-345909</v>
      </c>
      <c r="F63" s="161">
        <f t="shared" si="3"/>
        <v>-0.37604158853054076</v>
      </c>
    </row>
    <row r="64" spans="1:6" ht="15" customHeight="1" x14ac:dyDescent="0.2">
      <c r="A64" s="147">
        <v>3</v>
      </c>
      <c r="B64" s="160" t="s">
        <v>199</v>
      </c>
      <c r="C64" s="157">
        <v>6703443</v>
      </c>
      <c r="D64" s="157">
        <v>10536365</v>
      </c>
      <c r="E64" s="157">
        <f t="shared" si="2"/>
        <v>3832922</v>
      </c>
      <c r="F64" s="161">
        <f t="shared" si="3"/>
        <v>0.57178408170249229</v>
      </c>
    </row>
    <row r="65" spans="1:6" ht="15" customHeight="1" x14ac:dyDescent="0.2">
      <c r="A65" s="147">
        <v>4</v>
      </c>
      <c r="B65" s="160" t="s">
        <v>200</v>
      </c>
      <c r="C65" s="157">
        <v>3278006</v>
      </c>
      <c r="D65" s="157">
        <v>3036270</v>
      </c>
      <c r="E65" s="157">
        <f t="shared" si="2"/>
        <v>-241736</v>
      </c>
      <c r="F65" s="161">
        <f t="shared" si="3"/>
        <v>-7.3744831461565352E-2</v>
      </c>
    </row>
    <row r="66" spans="1:6" ht="15" customHeight="1" x14ac:dyDescent="0.2">
      <c r="A66" s="147">
        <v>5</v>
      </c>
      <c r="B66" s="160" t="s">
        <v>201</v>
      </c>
      <c r="C66" s="157">
        <v>8001643</v>
      </c>
      <c r="D66" s="157">
        <v>7403306</v>
      </c>
      <c r="E66" s="157">
        <f t="shared" si="2"/>
        <v>-598337</v>
      </c>
      <c r="F66" s="161">
        <f t="shared" si="3"/>
        <v>-7.4776767721329226E-2</v>
      </c>
    </row>
    <row r="67" spans="1:6" ht="15" customHeight="1" x14ac:dyDescent="0.2">
      <c r="A67" s="147">
        <v>6</v>
      </c>
      <c r="B67" s="160" t="s">
        <v>202</v>
      </c>
      <c r="C67" s="157">
        <v>9165822</v>
      </c>
      <c r="D67" s="157">
        <v>9559902</v>
      </c>
      <c r="E67" s="157">
        <f t="shared" si="2"/>
        <v>394080</v>
      </c>
      <c r="F67" s="161">
        <f t="shared" si="3"/>
        <v>4.2994507202954627E-2</v>
      </c>
    </row>
    <row r="68" spans="1:6" ht="15" customHeight="1" x14ac:dyDescent="0.2">
      <c r="A68" s="147">
        <v>7</v>
      </c>
      <c r="B68" s="160" t="s">
        <v>203</v>
      </c>
      <c r="C68" s="157">
        <v>14783082</v>
      </c>
      <c r="D68" s="157">
        <v>15558879</v>
      </c>
      <c r="E68" s="157">
        <f t="shared" si="2"/>
        <v>775797</v>
      </c>
      <c r="F68" s="161">
        <f t="shared" si="3"/>
        <v>5.2478705049461269E-2</v>
      </c>
    </row>
    <row r="69" spans="1:6" ht="15" customHeight="1" x14ac:dyDescent="0.2">
      <c r="A69" s="147">
        <v>8</v>
      </c>
      <c r="B69" s="160" t="s">
        <v>204</v>
      </c>
      <c r="C69" s="157">
        <v>1587992</v>
      </c>
      <c r="D69" s="157">
        <v>1664112</v>
      </c>
      <c r="E69" s="157">
        <f t="shared" si="2"/>
        <v>76120</v>
      </c>
      <c r="F69" s="161">
        <f t="shared" si="3"/>
        <v>4.793475030100907E-2</v>
      </c>
    </row>
    <row r="70" spans="1:6" ht="15" customHeight="1" x14ac:dyDescent="0.2">
      <c r="A70" s="147">
        <v>9</v>
      </c>
      <c r="B70" s="160" t="s">
        <v>205</v>
      </c>
      <c r="C70" s="157">
        <v>1688168</v>
      </c>
      <c r="D70" s="157">
        <v>1317883</v>
      </c>
      <c r="E70" s="157">
        <f t="shared" si="2"/>
        <v>-370285</v>
      </c>
      <c r="F70" s="161">
        <f t="shared" si="3"/>
        <v>-0.21934132147985272</v>
      </c>
    </row>
    <row r="71" spans="1:6" ht="15" customHeight="1" x14ac:dyDescent="0.2">
      <c r="A71" s="147">
        <v>10</v>
      </c>
      <c r="B71" s="160" t="s">
        <v>206</v>
      </c>
      <c r="C71" s="157">
        <v>389244</v>
      </c>
      <c r="D71" s="157">
        <v>323726</v>
      </c>
      <c r="E71" s="157">
        <f t="shared" si="2"/>
        <v>-65518</v>
      </c>
      <c r="F71" s="161">
        <f t="shared" si="3"/>
        <v>-0.16832115588165777</v>
      </c>
    </row>
    <row r="72" spans="1:6" ht="15" customHeight="1" x14ac:dyDescent="0.2">
      <c r="A72" s="147">
        <v>11</v>
      </c>
      <c r="B72" s="160" t="s">
        <v>207</v>
      </c>
      <c r="C72" s="157">
        <v>256890</v>
      </c>
      <c r="D72" s="157">
        <v>249668</v>
      </c>
      <c r="E72" s="157">
        <f t="shared" si="2"/>
        <v>-7222</v>
      </c>
      <c r="F72" s="161">
        <f t="shared" si="3"/>
        <v>-2.8113200202421269E-2</v>
      </c>
    </row>
    <row r="73" spans="1:6" ht="15" customHeight="1" x14ac:dyDescent="0.2">
      <c r="A73" s="147">
        <v>12</v>
      </c>
      <c r="B73" s="160" t="s">
        <v>208</v>
      </c>
      <c r="C73" s="157">
        <v>6412849</v>
      </c>
      <c r="D73" s="157">
        <v>6760660</v>
      </c>
      <c r="E73" s="157">
        <f t="shared" si="2"/>
        <v>347811</v>
      </c>
      <c r="F73" s="161">
        <f t="shared" si="3"/>
        <v>5.4236580340500766E-2</v>
      </c>
    </row>
    <row r="74" spans="1:6" ht="15" customHeight="1" x14ac:dyDescent="0.2">
      <c r="A74" s="147">
        <v>13</v>
      </c>
      <c r="B74" s="160" t="s">
        <v>209</v>
      </c>
      <c r="C74" s="157">
        <v>536248</v>
      </c>
      <c r="D74" s="157">
        <v>455035</v>
      </c>
      <c r="E74" s="157">
        <f t="shared" si="2"/>
        <v>-81213</v>
      </c>
      <c r="F74" s="161">
        <f t="shared" si="3"/>
        <v>-0.15144671868240067</v>
      </c>
    </row>
    <row r="75" spans="1:6" ht="15" customHeight="1" x14ac:dyDescent="0.2">
      <c r="A75" s="147">
        <v>14</v>
      </c>
      <c r="B75" s="160" t="s">
        <v>210</v>
      </c>
      <c r="C75" s="157">
        <v>935454</v>
      </c>
      <c r="D75" s="157">
        <v>687007</v>
      </c>
      <c r="E75" s="157">
        <f t="shared" si="2"/>
        <v>-248447</v>
      </c>
      <c r="F75" s="161">
        <f t="shared" si="3"/>
        <v>-0.26558975641773941</v>
      </c>
    </row>
    <row r="76" spans="1:6" ht="15" customHeight="1" x14ac:dyDescent="0.2">
      <c r="A76" s="147">
        <v>15</v>
      </c>
      <c r="B76" s="160" t="s">
        <v>211</v>
      </c>
      <c r="C76" s="157">
        <v>5345398</v>
      </c>
      <c r="D76" s="157">
        <v>3183672</v>
      </c>
      <c r="E76" s="157">
        <f t="shared" si="2"/>
        <v>-2161726</v>
      </c>
      <c r="F76" s="161">
        <f t="shared" si="3"/>
        <v>-0.40440880173936533</v>
      </c>
    </row>
    <row r="77" spans="1:6" ht="15" customHeight="1" x14ac:dyDescent="0.2">
      <c r="A77" s="147">
        <v>16</v>
      </c>
      <c r="B77" s="160" t="s">
        <v>212</v>
      </c>
      <c r="C77" s="157">
        <v>8408556</v>
      </c>
      <c r="D77" s="157">
        <v>14538604</v>
      </c>
      <c r="E77" s="157">
        <f t="shared" si="2"/>
        <v>6130048</v>
      </c>
      <c r="F77" s="161">
        <f t="shared" si="3"/>
        <v>0.72902505495592818</v>
      </c>
    </row>
    <row r="78" spans="1:6" ht="15" customHeight="1" x14ac:dyDescent="0.2">
      <c r="A78" s="147">
        <v>17</v>
      </c>
      <c r="B78" s="160" t="s">
        <v>213</v>
      </c>
      <c r="C78" s="157">
        <v>17019602</v>
      </c>
      <c r="D78" s="157">
        <v>18903656</v>
      </c>
      <c r="E78" s="157">
        <f t="shared" si="2"/>
        <v>1884054</v>
      </c>
      <c r="F78" s="161">
        <f t="shared" si="3"/>
        <v>0.11069906335060009</v>
      </c>
    </row>
    <row r="79" spans="1:6" ht="15" customHeight="1" x14ac:dyDescent="0.2">
      <c r="A79" s="147">
        <v>18</v>
      </c>
      <c r="B79" s="160" t="s">
        <v>214</v>
      </c>
      <c r="C79" s="157">
        <v>0</v>
      </c>
      <c r="D79" s="157">
        <v>0</v>
      </c>
      <c r="E79" s="157">
        <f t="shared" si="2"/>
        <v>0</v>
      </c>
      <c r="F79" s="161">
        <f t="shared" si="3"/>
        <v>0</v>
      </c>
    </row>
    <row r="80" spans="1:6" ht="15" customHeight="1" x14ac:dyDescent="0.2">
      <c r="A80" s="147">
        <v>19</v>
      </c>
      <c r="B80" s="160" t="s">
        <v>215</v>
      </c>
      <c r="C80" s="157">
        <v>4199649</v>
      </c>
      <c r="D80" s="157">
        <v>4378717</v>
      </c>
      <c r="E80" s="157">
        <f t="shared" si="2"/>
        <v>179068</v>
      </c>
      <c r="F80" s="161">
        <f t="shared" si="3"/>
        <v>4.2638801480790418E-2</v>
      </c>
    </row>
    <row r="81" spans="1:6" ht="15" customHeight="1" x14ac:dyDescent="0.2">
      <c r="A81" s="147">
        <v>20</v>
      </c>
      <c r="B81" s="160" t="s">
        <v>216</v>
      </c>
      <c r="C81" s="157">
        <v>27000847</v>
      </c>
      <c r="D81" s="157">
        <v>27056699</v>
      </c>
      <c r="E81" s="157">
        <f t="shared" si="2"/>
        <v>55852</v>
      </c>
      <c r="F81" s="161">
        <f t="shared" si="3"/>
        <v>2.068527702112456E-3</v>
      </c>
    </row>
    <row r="82" spans="1:6" ht="15" customHeight="1" x14ac:dyDescent="0.2">
      <c r="A82" s="147">
        <v>21</v>
      </c>
      <c r="B82" s="160" t="s">
        <v>217</v>
      </c>
      <c r="C82" s="157">
        <v>1532545</v>
      </c>
      <c r="D82" s="157">
        <v>1575717</v>
      </c>
      <c r="E82" s="157">
        <f t="shared" si="2"/>
        <v>43172</v>
      </c>
      <c r="F82" s="161">
        <f t="shared" si="3"/>
        <v>2.8170135297821596E-2</v>
      </c>
    </row>
    <row r="83" spans="1:6" ht="15" customHeight="1" x14ac:dyDescent="0.2">
      <c r="A83" s="147">
        <v>22</v>
      </c>
      <c r="B83" s="160" t="s">
        <v>218</v>
      </c>
      <c r="C83" s="157">
        <v>1272599</v>
      </c>
      <c r="D83" s="157">
        <v>1183868</v>
      </c>
      <c r="E83" s="157">
        <f t="shared" si="2"/>
        <v>-88731</v>
      </c>
      <c r="F83" s="161">
        <f t="shared" si="3"/>
        <v>-6.9724241493196212E-2</v>
      </c>
    </row>
    <row r="84" spans="1:6" ht="15" customHeight="1" x14ac:dyDescent="0.2">
      <c r="A84" s="147">
        <v>23</v>
      </c>
      <c r="B84" s="160" t="s">
        <v>219</v>
      </c>
      <c r="C84" s="157">
        <v>2193749</v>
      </c>
      <c r="D84" s="157">
        <v>2034284</v>
      </c>
      <c r="E84" s="157">
        <f t="shared" si="2"/>
        <v>-159465</v>
      </c>
      <c r="F84" s="161">
        <f t="shared" si="3"/>
        <v>-7.2690631425928853E-2</v>
      </c>
    </row>
    <row r="85" spans="1:6" ht="15" customHeight="1" x14ac:dyDescent="0.2">
      <c r="A85" s="147">
        <v>24</v>
      </c>
      <c r="B85" s="160" t="s">
        <v>220</v>
      </c>
      <c r="C85" s="157">
        <v>0</v>
      </c>
      <c r="D85" s="157">
        <v>0</v>
      </c>
      <c r="E85" s="157">
        <f t="shared" si="2"/>
        <v>0</v>
      </c>
      <c r="F85" s="161">
        <f t="shared" si="3"/>
        <v>0</v>
      </c>
    </row>
    <row r="86" spans="1:6" ht="15" customHeight="1" x14ac:dyDescent="0.2">
      <c r="A86" s="147">
        <v>25</v>
      </c>
      <c r="B86" s="160" t="s">
        <v>221</v>
      </c>
      <c r="C86" s="157">
        <v>2006089</v>
      </c>
      <c r="D86" s="157">
        <v>1887151</v>
      </c>
      <c r="E86" s="157">
        <f t="shared" si="2"/>
        <v>-118938</v>
      </c>
      <c r="F86" s="161">
        <f t="shared" si="3"/>
        <v>-5.9288496173400082E-2</v>
      </c>
    </row>
    <row r="87" spans="1:6" ht="15" customHeight="1" x14ac:dyDescent="0.2">
      <c r="A87" s="147">
        <v>26</v>
      </c>
      <c r="B87" s="160" t="s">
        <v>222</v>
      </c>
      <c r="C87" s="157">
        <v>2481879</v>
      </c>
      <c r="D87" s="157">
        <v>2602707</v>
      </c>
      <c r="E87" s="157">
        <f t="shared" si="2"/>
        <v>120828</v>
      </c>
      <c r="F87" s="161">
        <f t="shared" si="3"/>
        <v>4.8684081697778173E-2</v>
      </c>
    </row>
    <row r="88" spans="1:6" ht="15" customHeight="1" x14ac:dyDescent="0.2">
      <c r="A88" s="147">
        <v>27</v>
      </c>
      <c r="B88" s="160" t="s">
        <v>223</v>
      </c>
      <c r="C88" s="157">
        <v>31207</v>
      </c>
      <c r="D88" s="157">
        <v>34764</v>
      </c>
      <c r="E88" s="157">
        <f t="shared" si="2"/>
        <v>3557</v>
      </c>
      <c r="F88" s="161">
        <f t="shared" si="3"/>
        <v>0.11398083763258243</v>
      </c>
    </row>
    <row r="89" spans="1:6" ht="15" customHeight="1" x14ac:dyDescent="0.2">
      <c r="A89" s="147">
        <v>28</v>
      </c>
      <c r="B89" s="160" t="s">
        <v>224</v>
      </c>
      <c r="C89" s="157">
        <v>15039771</v>
      </c>
      <c r="D89" s="157">
        <v>17308391</v>
      </c>
      <c r="E89" s="157">
        <f t="shared" si="2"/>
        <v>2268620</v>
      </c>
      <c r="F89" s="161">
        <f t="shared" si="3"/>
        <v>0.15084139246535069</v>
      </c>
    </row>
    <row r="90" spans="1:6" ht="15.75" customHeight="1" x14ac:dyDescent="0.25">
      <c r="A90" s="147"/>
      <c r="B90" s="162" t="s">
        <v>225</v>
      </c>
      <c r="C90" s="158">
        <f>SUM(C62:C89)</f>
        <v>141787548</v>
      </c>
      <c r="D90" s="158">
        <f>SUM(D62:D89)</f>
        <v>153145640</v>
      </c>
      <c r="E90" s="158">
        <f t="shared" si="2"/>
        <v>11358092</v>
      </c>
      <c r="F90" s="159">
        <f t="shared" si="3"/>
        <v>8.0106413858006764E-2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14063377</v>
      </c>
      <c r="D93" s="157">
        <v>13897619</v>
      </c>
      <c r="E93" s="157">
        <f>+D93-C93</f>
        <v>-165758</v>
      </c>
      <c r="F93" s="161">
        <f>IF(C93=0,0,E93/C93)</f>
        <v>-1.1786500497000117E-2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1046001610</v>
      </c>
      <c r="D95" s="158">
        <f>+D93+D90+D59+D50+D47+D44+D41+D35+D30+D24+D18</f>
        <v>1075242367</v>
      </c>
      <c r="E95" s="158">
        <f>+D95-C95</f>
        <v>29240757</v>
      </c>
      <c r="F95" s="159">
        <f>IF(C95=0,0,E95/C95)</f>
        <v>2.7954791580100915E-2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223858461</v>
      </c>
      <c r="D103" s="157">
        <v>228454760</v>
      </c>
      <c r="E103" s="157">
        <f t="shared" ref="E103:E121" si="4">D103-C103</f>
        <v>4596299</v>
      </c>
      <c r="F103" s="161">
        <f t="shared" ref="F103:F121" si="5">IF(C103=0,0,E103/C103)</f>
        <v>2.053216563478474E-2</v>
      </c>
    </row>
    <row r="104" spans="1:6" ht="15" customHeight="1" x14ac:dyDescent="0.2">
      <c r="A104" s="147">
        <v>2</v>
      </c>
      <c r="B104" s="169" t="s">
        <v>234</v>
      </c>
      <c r="C104" s="157">
        <v>11936461</v>
      </c>
      <c r="D104" s="157">
        <v>15937599</v>
      </c>
      <c r="E104" s="157">
        <f t="shared" si="4"/>
        <v>4001138</v>
      </c>
      <c r="F104" s="161">
        <f t="shared" si="5"/>
        <v>0.33520303882365132</v>
      </c>
    </row>
    <row r="105" spans="1:6" ht="15" customHeight="1" x14ac:dyDescent="0.2">
      <c r="A105" s="147">
        <v>3</v>
      </c>
      <c r="B105" s="169" t="s">
        <v>235</v>
      </c>
      <c r="C105" s="157">
        <v>22799098</v>
      </c>
      <c r="D105" s="157">
        <v>24262552</v>
      </c>
      <c r="E105" s="157">
        <f t="shared" si="4"/>
        <v>1463454</v>
      </c>
      <c r="F105" s="161">
        <f t="shared" si="5"/>
        <v>6.4189118358980696E-2</v>
      </c>
    </row>
    <row r="106" spans="1:6" ht="15" customHeight="1" x14ac:dyDescent="0.2">
      <c r="A106" s="147">
        <v>4</v>
      </c>
      <c r="B106" s="169" t="s">
        <v>236</v>
      </c>
      <c r="C106" s="157">
        <v>4909299</v>
      </c>
      <c r="D106" s="157">
        <v>5364033</v>
      </c>
      <c r="E106" s="157">
        <f t="shared" si="4"/>
        <v>454734</v>
      </c>
      <c r="F106" s="161">
        <f t="shared" si="5"/>
        <v>9.2627073641267321E-2</v>
      </c>
    </row>
    <row r="107" spans="1:6" ht="15" customHeight="1" x14ac:dyDescent="0.2">
      <c r="A107" s="147">
        <v>5</v>
      </c>
      <c r="B107" s="169" t="s">
        <v>237</v>
      </c>
      <c r="C107" s="157">
        <v>38460538</v>
      </c>
      <c r="D107" s="157">
        <v>43402674</v>
      </c>
      <c r="E107" s="157">
        <f t="shared" si="4"/>
        <v>4942136</v>
      </c>
      <c r="F107" s="161">
        <f t="shared" si="5"/>
        <v>0.12849887851282787</v>
      </c>
    </row>
    <row r="108" spans="1:6" ht="15" customHeight="1" x14ac:dyDescent="0.2">
      <c r="A108" s="147">
        <v>6</v>
      </c>
      <c r="B108" s="169" t="s">
        <v>238</v>
      </c>
      <c r="C108" s="157">
        <v>3358780</v>
      </c>
      <c r="D108" s="157">
        <v>4012024</v>
      </c>
      <c r="E108" s="157">
        <f t="shared" si="4"/>
        <v>653244</v>
      </c>
      <c r="F108" s="161">
        <f t="shared" si="5"/>
        <v>0.19448847498198751</v>
      </c>
    </row>
    <row r="109" spans="1:6" ht="15" customHeight="1" x14ac:dyDescent="0.2">
      <c r="A109" s="147">
        <v>7</v>
      </c>
      <c r="B109" s="169" t="s">
        <v>239</v>
      </c>
      <c r="C109" s="157">
        <v>18012149</v>
      </c>
      <c r="D109" s="157">
        <v>16354920</v>
      </c>
      <c r="E109" s="157">
        <f t="shared" si="4"/>
        <v>-1657229</v>
      </c>
      <c r="F109" s="161">
        <f t="shared" si="5"/>
        <v>-9.2006178718597093E-2</v>
      </c>
    </row>
    <row r="110" spans="1:6" ht="15" customHeight="1" x14ac:dyDescent="0.2">
      <c r="A110" s="147">
        <v>8</v>
      </c>
      <c r="B110" s="169" t="s">
        <v>240</v>
      </c>
      <c r="C110" s="157">
        <v>9197600</v>
      </c>
      <c r="D110" s="157">
        <v>6877770</v>
      </c>
      <c r="E110" s="157">
        <f t="shared" si="4"/>
        <v>-2319830</v>
      </c>
      <c r="F110" s="161">
        <f t="shared" si="5"/>
        <v>-0.25222123162564147</v>
      </c>
    </row>
    <row r="111" spans="1:6" ht="15" customHeight="1" x14ac:dyDescent="0.2">
      <c r="A111" s="147">
        <v>9</v>
      </c>
      <c r="B111" s="169" t="s">
        <v>241</v>
      </c>
      <c r="C111" s="157">
        <v>3730438</v>
      </c>
      <c r="D111" s="157">
        <v>3463304</v>
      </c>
      <c r="E111" s="157">
        <f t="shared" si="4"/>
        <v>-267134</v>
      </c>
      <c r="F111" s="161">
        <f t="shared" si="5"/>
        <v>-7.1609285558425037E-2</v>
      </c>
    </row>
    <row r="112" spans="1:6" ht="15" customHeight="1" x14ac:dyDescent="0.2">
      <c r="A112" s="147">
        <v>10</v>
      </c>
      <c r="B112" s="169" t="s">
        <v>242</v>
      </c>
      <c r="C112" s="157">
        <v>12071670</v>
      </c>
      <c r="D112" s="157">
        <v>12649591</v>
      </c>
      <c r="E112" s="157">
        <f t="shared" si="4"/>
        <v>577921</v>
      </c>
      <c r="F112" s="161">
        <f t="shared" si="5"/>
        <v>4.7874154942936648E-2</v>
      </c>
    </row>
    <row r="113" spans="1:6" ht="15" customHeight="1" x14ac:dyDescent="0.2">
      <c r="A113" s="147">
        <v>11</v>
      </c>
      <c r="B113" s="169" t="s">
        <v>243</v>
      </c>
      <c r="C113" s="157">
        <v>12125826</v>
      </c>
      <c r="D113" s="157">
        <v>12130376</v>
      </c>
      <c r="E113" s="157">
        <f t="shared" si="4"/>
        <v>4550</v>
      </c>
      <c r="F113" s="161">
        <f t="shared" si="5"/>
        <v>3.7523216975074523E-4</v>
      </c>
    </row>
    <row r="114" spans="1:6" ht="15" customHeight="1" x14ac:dyDescent="0.2">
      <c r="A114" s="147">
        <v>12</v>
      </c>
      <c r="B114" s="169" t="s">
        <v>244</v>
      </c>
      <c r="C114" s="157">
        <v>5421351</v>
      </c>
      <c r="D114" s="157">
        <v>5553058</v>
      </c>
      <c r="E114" s="157">
        <f t="shared" si="4"/>
        <v>131707</v>
      </c>
      <c r="F114" s="161">
        <f t="shared" si="5"/>
        <v>2.4294128898866722E-2</v>
      </c>
    </row>
    <row r="115" spans="1:6" ht="15" customHeight="1" x14ac:dyDescent="0.2">
      <c r="A115" s="147">
        <v>13</v>
      </c>
      <c r="B115" s="169" t="s">
        <v>245</v>
      </c>
      <c r="C115" s="157">
        <v>19278693</v>
      </c>
      <c r="D115" s="157">
        <v>21559008</v>
      </c>
      <c r="E115" s="157">
        <f t="shared" si="4"/>
        <v>2280315</v>
      </c>
      <c r="F115" s="161">
        <f t="shared" si="5"/>
        <v>0.11828161794993053</v>
      </c>
    </row>
    <row r="116" spans="1:6" ht="15" customHeight="1" x14ac:dyDescent="0.2">
      <c r="A116" s="147">
        <v>14</v>
      </c>
      <c r="B116" s="169" t="s">
        <v>246</v>
      </c>
      <c r="C116" s="157">
        <v>5386722</v>
      </c>
      <c r="D116" s="157">
        <v>5298018</v>
      </c>
      <c r="E116" s="157">
        <f t="shared" si="4"/>
        <v>-88704</v>
      </c>
      <c r="F116" s="161">
        <f t="shared" si="5"/>
        <v>-1.6467157577465478E-2</v>
      </c>
    </row>
    <row r="117" spans="1:6" ht="15" customHeight="1" x14ac:dyDescent="0.2">
      <c r="A117" s="147">
        <v>15</v>
      </c>
      <c r="B117" s="169" t="s">
        <v>203</v>
      </c>
      <c r="C117" s="157">
        <v>13163697</v>
      </c>
      <c r="D117" s="157">
        <v>12866335</v>
      </c>
      <c r="E117" s="157">
        <f t="shared" si="4"/>
        <v>-297362</v>
      </c>
      <c r="F117" s="161">
        <f t="shared" si="5"/>
        <v>-2.2589550640674881E-2</v>
      </c>
    </row>
    <row r="118" spans="1:6" ht="15" customHeight="1" x14ac:dyDescent="0.2">
      <c r="A118" s="147">
        <v>16</v>
      </c>
      <c r="B118" s="169" t="s">
        <v>247</v>
      </c>
      <c r="C118" s="157">
        <v>4055719</v>
      </c>
      <c r="D118" s="157">
        <v>3963454</v>
      </c>
      <c r="E118" s="157">
        <f t="shared" si="4"/>
        <v>-92265</v>
      </c>
      <c r="F118" s="161">
        <f t="shared" si="5"/>
        <v>-2.27493571423464E-2</v>
      </c>
    </row>
    <row r="119" spans="1:6" ht="15" customHeight="1" x14ac:dyDescent="0.2">
      <c r="A119" s="147">
        <v>17</v>
      </c>
      <c r="B119" s="169" t="s">
        <v>248</v>
      </c>
      <c r="C119" s="157">
        <v>32819441</v>
      </c>
      <c r="D119" s="157">
        <v>33473889</v>
      </c>
      <c r="E119" s="157">
        <f t="shared" si="4"/>
        <v>654448</v>
      </c>
      <c r="F119" s="161">
        <f t="shared" si="5"/>
        <v>1.9940863709409309E-2</v>
      </c>
    </row>
    <row r="120" spans="1:6" ht="15" customHeight="1" x14ac:dyDescent="0.2">
      <c r="A120" s="147">
        <v>18</v>
      </c>
      <c r="B120" s="169" t="s">
        <v>249</v>
      </c>
      <c r="C120" s="157">
        <v>12432163</v>
      </c>
      <c r="D120" s="157">
        <v>13148330</v>
      </c>
      <c r="E120" s="157">
        <f t="shared" si="4"/>
        <v>716167</v>
      </c>
      <c r="F120" s="161">
        <f t="shared" si="5"/>
        <v>5.7605985378409212E-2</v>
      </c>
    </row>
    <row r="121" spans="1:6" ht="15.75" customHeight="1" x14ac:dyDescent="0.25">
      <c r="A121" s="147"/>
      <c r="B121" s="165" t="s">
        <v>250</v>
      </c>
      <c r="C121" s="158">
        <f>SUM(C103:C120)</f>
        <v>453018106</v>
      </c>
      <c r="D121" s="158">
        <f>SUM(D103:D120)</f>
        <v>468771695</v>
      </c>
      <c r="E121" s="158">
        <f t="shared" si="4"/>
        <v>15753589</v>
      </c>
      <c r="F121" s="159">
        <f t="shared" si="5"/>
        <v>3.4774744742763104E-2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6030420</v>
      </c>
      <c r="D124" s="157">
        <v>3056088</v>
      </c>
      <c r="E124" s="157">
        <f t="shared" ref="E124:E130" si="6">D124-C124</f>
        <v>-2974332</v>
      </c>
      <c r="F124" s="161">
        <f t="shared" ref="F124:F130" si="7">IF(C124=0,0,E124/C124)</f>
        <v>-0.49322136766593372</v>
      </c>
    </row>
    <row r="125" spans="1:6" ht="15" customHeight="1" x14ac:dyDescent="0.2">
      <c r="A125" s="147">
        <v>2</v>
      </c>
      <c r="B125" s="169" t="s">
        <v>253</v>
      </c>
      <c r="C125" s="157">
        <v>28003417</v>
      </c>
      <c r="D125" s="157">
        <v>28973323</v>
      </c>
      <c r="E125" s="157">
        <f t="shared" si="6"/>
        <v>969906</v>
      </c>
      <c r="F125" s="161">
        <f t="shared" si="7"/>
        <v>3.4635273259688272E-2</v>
      </c>
    </row>
    <row r="126" spans="1:6" ht="15" customHeight="1" x14ac:dyDescent="0.2">
      <c r="A126" s="147">
        <v>3</v>
      </c>
      <c r="B126" s="169" t="s">
        <v>254</v>
      </c>
      <c r="C126" s="157">
        <v>17817367</v>
      </c>
      <c r="D126" s="157">
        <v>20343190</v>
      </c>
      <c r="E126" s="157">
        <f t="shared" si="6"/>
        <v>2525823</v>
      </c>
      <c r="F126" s="161">
        <f t="shared" si="7"/>
        <v>0.14176185516075412</v>
      </c>
    </row>
    <row r="127" spans="1:6" ht="15" customHeight="1" x14ac:dyDescent="0.2">
      <c r="A127" s="147">
        <v>4</v>
      </c>
      <c r="B127" s="169" t="s">
        <v>255</v>
      </c>
      <c r="C127" s="157">
        <v>8063734</v>
      </c>
      <c r="D127" s="157">
        <v>8270041</v>
      </c>
      <c r="E127" s="157">
        <f t="shared" si="6"/>
        <v>206307</v>
      </c>
      <c r="F127" s="161">
        <f t="shared" si="7"/>
        <v>2.5584549291928528E-2</v>
      </c>
    </row>
    <row r="128" spans="1:6" ht="15" customHeight="1" x14ac:dyDescent="0.2">
      <c r="A128" s="147">
        <v>5</v>
      </c>
      <c r="B128" s="169" t="s">
        <v>256</v>
      </c>
      <c r="C128" s="157">
        <v>1561334</v>
      </c>
      <c r="D128" s="157">
        <v>1725806</v>
      </c>
      <c r="E128" s="157">
        <f t="shared" si="6"/>
        <v>164472</v>
      </c>
      <c r="F128" s="161">
        <f t="shared" si="7"/>
        <v>0.10534068943608478</v>
      </c>
    </row>
    <row r="129" spans="1:6" ht="15" customHeight="1" x14ac:dyDescent="0.2">
      <c r="A129" s="147">
        <v>6</v>
      </c>
      <c r="B129" s="169" t="s">
        <v>257</v>
      </c>
      <c r="C129" s="157">
        <v>2057577</v>
      </c>
      <c r="D129" s="157">
        <v>2229526</v>
      </c>
      <c r="E129" s="157">
        <f t="shared" si="6"/>
        <v>171949</v>
      </c>
      <c r="F129" s="161">
        <f t="shared" si="7"/>
        <v>8.3568682970309255E-2</v>
      </c>
    </row>
    <row r="130" spans="1:6" ht="15.75" customHeight="1" x14ac:dyDescent="0.25">
      <c r="A130" s="147"/>
      <c r="B130" s="165" t="s">
        <v>258</v>
      </c>
      <c r="C130" s="158">
        <f>SUM(C124:C129)</f>
        <v>63533849</v>
      </c>
      <c r="D130" s="158">
        <f>SUM(D124:D129)</f>
        <v>64597974</v>
      </c>
      <c r="E130" s="158">
        <f t="shared" si="6"/>
        <v>1064125</v>
      </c>
      <c r="F130" s="159">
        <f t="shared" si="7"/>
        <v>1.6748945904410735E-2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74483809</v>
      </c>
      <c r="D133" s="157">
        <v>76011714</v>
      </c>
      <c r="E133" s="157">
        <f t="shared" ref="E133:E167" si="8">D133-C133</f>
        <v>1527905</v>
      </c>
      <c r="F133" s="161">
        <f t="shared" ref="F133:F167" si="9">IF(C133=0,0,E133/C133)</f>
        <v>2.0513250067541525E-2</v>
      </c>
    </row>
    <row r="134" spans="1:6" ht="15" customHeight="1" x14ac:dyDescent="0.2">
      <c r="A134" s="147">
        <v>2</v>
      </c>
      <c r="B134" s="169" t="s">
        <v>261</v>
      </c>
      <c r="C134" s="157">
        <v>3202617</v>
      </c>
      <c r="D134" s="157">
        <v>3112663</v>
      </c>
      <c r="E134" s="157">
        <f t="shared" si="8"/>
        <v>-89954</v>
      </c>
      <c r="F134" s="161">
        <f t="shared" si="9"/>
        <v>-2.808765456500106E-2</v>
      </c>
    </row>
    <row r="135" spans="1:6" ht="15" customHeight="1" x14ac:dyDescent="0.2">
      <c r="A135" s="147">
        <v>3</v>
      </c>
      <c r="B135" s="169" t="s">
        <v>262</v>
      </c>
      <c r="C135" s="157">
        <v>4684648</v>
      </c>
      <c r="D135" s="157">
        <v>4749403</v>
      </c>
      <c r="E135" s="157">
        <f t="shared" si="8"/>
        <v>64755</v>
      </c>
      <c r="F135" s="161">
        <f t="shared" si="9"/>
        <v>1.3822810166313456E-2</v>
      </c>
    </row>
    <row r="136" spans="1:6" ht="15" customHeight="1" x14ac:dyDescent="0.2">
      <c r="A136" s="147">
        <v>4</v>
      </c>
      <c r="B136" s="169" t="s">
        <v>263</v>
      </c>
      <c r="C136" s="157">
        <v>10879230</v>
      </c>
      <c r="D136" s="157">
        <v>11373422</v>
      </c>
      <c r="E136" s="157">
        <f t="shared" si="8"/>
        <v>494192</v>
      </c>
      <c r="F136" s="161">
        <f t="shared" si="9"/>
        <v>4.5425273663669212E-2</v>
      </c>
    </row>
    <row r="137" spans="1:6" ht="15" customHeight="1" x14ac:dyDescent="0.2">
      <c r="A137" s="147">
        <v>5</v>
      </c>
      <c r="B137" s="169" t="s">
        <v>264</v>
      </c>
      <c r="C137" s="157">
        <v>19920237</v>
      </c>
      <c r="D137" s="157">
        <v>20385981</v>
      </c>
      <c r="E137" s="157">
        <f t="shared" si="8"/>
        <v>465744</v>
      </c>
      <c r="F137" s="161">
        <f t="shared" si="9"/>
        <v>2.3380444720612511E-2</v>
      </c>
    </row>
    <row r="138" spans="1:6" ht="15" customHeight="1" x14ac:dyDescent="0.2">
      <c r="A138" s="147">
        <v>6</v>
      </c>
      <c r="B138" s="169" t="s">
        <v>265</v>
      </c>
      <c r="C138" s="157">
        <v>966899</v>
      </c>
      <c r="D138" s="157">
        <v>954331</v>
      </c>
      <c r="E138" s="157">
        <f t="shared" si="8"/>
        <v>-12568</v>
      </c>
      <c r="F138" s="161">
        <f t="shared" si="9"/>
        <v>-1.2998255246928584E-2</v>
      </c>
    </row>
    <row r="139" spans="1:6" ht="15" customHeight="1" x14ac:dyDescent="0.2">
      <c r="A139" s="147">
        <v>7</v>
      </c>
      <c r="B139" s="169" t="s">
        <v>266</v>
      </c>
      <c r="C139" s="157">
        <v>11507895</v>
      </c>
      <c r="D139" s="157">
        <v>12650666</v>
      </c>
      <c r="E139" s="157">
        <f t="shared" si="8"/>
        <v>1142771</v>
      </c>
      <c r="F139" s="161">
        <f t="shared" si="9"/>
        <v>9.9303217486777562E-2</v>
      </c>
    </row>
    <row r="140" spans="1:6" ht="15" customHeight="1" x14ac:dyDescent="0.2">
      <c r="A140" s="147">
        <v>8</v>
      </c>
      <c r="B140" s="169" t="s">
        <v>267</v>
      </c>
      <c r="C140" s="157">
        <v>2917001</v>
      </c>
      <c r="D140" s="157">
        <v>2488349</v>
      </c>
      <c r="E140" s="157">
        <f t="shared" si="8"/>
        <v>-428652</v>
      </c>
      <c r="F140" s="161">
        <f t="shared" si="9"/>
        <v>-0.14694955538239446</v>
      </c>
    </row>
    <row r="141" spans="1:6" ht="15" customHeight="1" x14ac:dyDescent="0.2">
      <c r="A141" s="147">
        <v>9</v>
      </c>
      <c r="B141" s="169" t="s">
        <v>268</v>
      </c>
      <c r="C141" s="157">
        <v>2910092</v>
      </c>
      <c r="D141" s="157">
        <v>2821574</v>
      </c>
      <c r="E141" s="157">
        <f t="shared" si="8"/>
        <v>-88518</v>
      </c>
      <c r="F141" s="161">
        <f t="shared" si="9"/>
        <v>-3.0417595045105102E-2</v>
      </c>
    </row>
    <row r="142" spans="1:6" ht="15" customHeight="1" x14ac:dyDescent="0.2">
      <c r="A142" s="147">
        <v>10</v>
      </c>
      <c r="B142" s="169" t="s">
        <v>269</v>
      </c>
      <c r="C142" s="157">
        <v>24912516</v>
      </c>
      <c r="D142" s="157">
        <v>25368555</v>
      </c>
      <c r="E142" s="157">
        <f t="shared" si="8"/>
        <v>456039</v>
      </c>
      <c r="F142" s="161">
        <f t="shared" si="9"/>
        <v>1.8305617947219781E-2</v>
      </c>
    </row>
    <row r="143" spans="1:6" ht="15" customHeight="1" x14ac:dyDescent="0.2">
      <c r="A143" s="147">
        <v>11</v>
      </c>
      <c r="B143" s="169" t="s">
        <v>270</v>
      </c>
      <c r="C143" s="157">
        <v>9838866</v>
      </c>
      <c r="D143" s="157">
        <v>9966976</v>
      </c>
      <c r="E143" s="157">
        <f t="shared" si="8"/>
        <v>128110</v>
      </c>
      <c r="F143" s="161">
        <f t="shared" si="9"/>
        <v>1.3020809511990509E-2</v>
      </c>
    </row>
    <row r="144" spans="1:6" ht="15" customHeight="1" x14ac:dyDescent="0.2">
      <c r="A144" s="147">
        <v>12</v>
      </c>
      <c r="B144" s="169" t="s">
        <v>271</v>
      </c>
      <c r="C144" s="157">
        <v>4893306</v>
      </c>
      <c r="D144" s="157">
        <v>6631391</v>
      </c>
      <c r="E144" s="157">
        <f t="shared" si="8"/>
        <v>1738085</v>
      </c>
      <c r="F144" s="161">
        <f t="shared" si="9"/>
        <v>0.35519646635628344</v>
      </c>
    </row>
    <row r="145" spans="1:6" ht="15" customHeight="1" x14ac:dyDescent="0.2">
      <c r="A145" s="147">
        <v>13</v>
      </c>
      <c r="B145" s="169" t="s">
        <v>272</v>
      </c>
      <c r="C145" s="157">
        <v>1352048</v>
      </c>
      <c r="D145" s="157">
        <v>1335755</v>
      </c>
      <c r="E145" s="157">
        <f t="shared" si="8"/>
        <v>-16293</v>
      </c>
      <c r="F145" s="161">
        <f t="shared" si="9"/>
        <v>-1.2050607670733583E-2</v>
      </c>
    </row>
    <row r="146" spans="1:6" ht="15" customHeight="1" x14ac:dyDescent="0.2">
      <c r="A146" s="147">
        <v>14</v>
      </c>
      <c r="B146" s="169" t="s">
        <v>273</v>
      </c>
      <c r="C146" s="157">
        <v>398698</v>
      </c>
      <c r="D146" s="157">
        <v>678312</v>
      </c>
      <c r="E146" s="157">
        <f t="shared" si="8"/>
        <v>279614</v>
      </c>
      <c r="F146" s="161">
        <f t="shared" si="9"/>
        <v>0.70131778940451173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602927</v>
      </c>
      <c r="D148" s="157">
        <v>598971</v>
      </c>
      <c r="E148" s="157">
        <f t="shared" si="8"/>
        <v>-3956</v>
      </c>
      <c r="F148" s="161">
        <f t="shared" si="9"/>
        <v>-6.5613250028610428E-3</v>
      </c>
    </row>
    <row r="149" spans="1:6" ht="15" customHeight="1" x14ac:dyDescent="0.2">
      <c r="A149" s="147">
        <v>17</v>
      </c>
      <c r="B149" s="169" t="s">
        <v>276</v>
      </c>
      <c r="C149" s="157">
        <v>95600</v>
      </c>
      <c r="D149" s="157">
        <v>98196</v>
      </c>
      <c r="E149" s="157">
        <f t="shared" si="8"/>
        <v>2596</v>
      </c>
      <c r="F149" s="161">
        <f t="shared" si="9"/>
        <v>2.7154811715481172E-2</v>
      </c>
    </row>
    <row r="150" spans="1:6" ht="15" customHeight="1" x14ac:dyDescent="0.2">
      <c r="A150" s="147">
        <v>18</v>
      </c>
      <c r="B150" s="169" t="s">
        <v>277</v>
      </c>
      <c r="C150" s="157">
        <v>7810703</v>
      </c>
      <c r="D150" s="157">
        <v>7234600</v>
      </c>
      <c r="E150" s="157">
        <f t="shared" si="8"/>
        <v>-576103</v>
      </c>
      <c r="F150" s="161">
        <f t="shared" si="9"/>
        <v>-7.3758149554527933E-2</v>
      </c>
    </row>
    <row r="151" spans="1:6" ht="15" customHeight="1" x14ac:dyDescent="0.2">
      <c r="A151" s="147">
        <v>19</v>
      </c>
      <c r="B151" s="169" t="s">
        <v>278</v>
      </c>
      <c r="C151" s="157">
        <v>0</v>
      </c>
      <c r="D151" s="157">
        <v>0</v>
      </c>
      <c r="E151" s="157">
        <f t="shared" si="8"/>
        <v>0</v>
      </c>
      <c r="F151" s="161">
        <f t="shared" si="9"/>
        <v>0</v>
      </c>
    </row>
    <row r="152" spans="1:6" ht="15" customHeight="1" x14ac:dyDescent="0.2">
      <c r="A152" s="147">
        <v>20</v>
      </c>
      <c r="B152" s="169" t="s">
        <v>279</v>
      </c>
      <c r="C152" s="157">
        <v>1694164</v>
      </c>
      <c r="D152" s="157">
        <v>1633605</v>
      </c>
      <c r="E152" s="157">
        <f t="shared" si="8"/>
        <v>-60559</v>
      </c>
      <c r="F152" s="161">
        <f t="shared" si="9"/>
        <v>-3.5745653903636244E-2</v>
      </c>
    </row>
    <row r="153" spans="1:6" ht="15" customHeight="1" x14ac:dyDescent="0.2">
      <c r="A153" s="147">
        <v>21</v>
      </c>
      <c r="B153" s="169" t="s">
        <v>280</v>
      </c>
      <c r="C153" s="157">
        <v>674316</v>
      </c>
      <c r="D153" s="157">
        <v>710413</v>
      </c>
      <c r="E153" s="157">
        <f t="shared" si="8"/>
        <v>36097</v>
      </c>
      <c r="F153" s="161">
        <f t="shared" si="9"/>
        <v>5.3531282069534163E-2</v>
      </c>
    </row>
    <row r="154" spans="1:6" ht="15" customHeight="1" x14ac:dyDescent="0.2">
      <c r="A154" s="147">
        <v>22</v>
      </c>
      <c r="B154" s="169" t="s">
        <v>281</v>
      </c>
      <c r="C154" s="157">
        <v>15235038</v>
      </c>
      <c r="D154" s="157">
        <v>14893726</v>
      </c>
      <c r="E154" s="157">
        <f t="shared" si="8"/>
        <v>-341312</v>
      </c>
      <c r="F154" s="161">
        <f t="shared" si="9"/>
        <v>-2.240309476090575E-2</v>
      </c>
    </row>
    <row r="155" spans="1:6" ht="15" customHeight="1" x14ac:dyDescent="0.2">
      <c r="A155" s="147">
        <v>23</v>
      </c>
      <c r="B155" s="169" t="s">
        <v>282</v>
      </c>
      <c r="C155" s="157">
        <v>6983162</v>
      </c>
      <c r="D155" s="157">
        <v>6868917</v>
      </c>
      <c r="E155" s="157">
        <f t="shared" si="8"/>
        <v>-114245</v>
      </c>
      <c r="F155" s="161">
        <f t="shared" si="9"/>
        <v>-1.6360067258929408E-2</v>
      </c>
    </row>
    <row r="156" spans="1:6" ht="15" customHeight="1" x14ac:dyDescent="0.2">
      <c r="A156" s="147">
        <v>24</v>
      </c>
      <c r="B156" s="169" t="s">
        <v>283</v>
      </c>
      <c r="C156" s="157">
        <v>28020335</v>
      </c>
      <c r="D156" s="157">
        <v>27852467</v>
      </c>
      <c r="E156" s="157">
        <f t="shared" si="8"/>
        <v>-167868</v>
      </c>
      <c r="F156" s="161">
        <f t="shared" si="9"/>
        <v>-5.990934797888748E-3</v>
      </c>
    </row>
    <row r="157" spans="1:6" ht="15" customHeight="1" x14ac:dyDescent="0.2">
      <c r="A157" s="147">
        <v>25</v>
      </c>
      <c r="B157" s="169" t="s">
        <v>284</v>
      </c>
      <c r="C157" s="157">
        <v>2298638</v>
      </c>
      <c r="D157" s="157">
        <v>2121669</v>
      </c>
      <c r="E157" s="157">
        <f t="shared" si="8"/>
        <v>-176969</v>
      </c>
      <c r="F157" s="161">
        <f t="shared" si="9"/>
        <v>-7.6988634138998827E-2</v>
      </c>
    </row>
    <row r="158" spans="1:6" ht="15" customHeight="1" x14ac:dyDescent="0.2">
      <c r="A158" s="147">
        <v>26</v>
      </c>
      <c r="B158" s="169" t="s">
        <v>285</v>
      </c>
      <c r="C158" s="157">
        <v>0</v>
      </c>
      <c r="D158" s="157">
        <v>0</v>
      </c>
      <c r="E158" s="157">
        <f t="shared" si="8"/>
        <v>0</v>
      </c>
      <c r="F158" s="161">
        <f t="shared" si="9"/>
        <v>0</v>
      </c>
    </row>
    <row r="159" spans="1:6" ht="15" customHeight="1" x14ac:dyDescent="0.2">
      <c r="A159" s="147">
        <v>27</v>
      </c>
      <c r="B159" s="169" t="s">
        <v>286</v>
      </c>
      <c r="C159" s="157">
        <v>174373</v>
      </c>
      <c r="D159" s="157">
        <v>221246</v>
      </c>
      <c r="E159" s="157">
        <f t="shared" si="8"/>
        <v>46873</v>
      </c>
      <c r="F159" s="161">
        <f t="shared" si="9"/>
        <v>0.26880881787891475</v>
      </c>
    </row>
    <row r="160" spans="1:6" ht="15" customHeight="1" x14ac:dyDescent="0.2">
      <c r="A160" s="147">
        <v>28</v>
      </c>
      <c r="B160" s="169" t="s">
        <v>287</v>
      </c>
      <c r="C160" s="157">
        <v>4842323</v>
      </c>
      <c r="D160" s="157">
        <v>4768146</v>
      </c>
      <c r="E160" s="157">
        <f t="shared" si="8"/>
        <v>-74177</v>
      </c>
      <c r="F160" s="161">
        <f t="shared" si="9"/>
        <v>-1.53184742116542E-2</v>
      </c>
    </row>
    <row r="161" spans="1:6" ht="15" customHeight="1" x14ac:dyDescent="0.2">
      <c r="A161" s="147">
        <v>29</v>
      </c>
      <c r="B161" s="169" t="s">
        <v>288</v>
      </c>
      <c r="C161" s="157">
        <v>2154274</v>
      </c>
      <c r="D161" s="157">
        <v>2135321</v>
      </c>
      <c r="E161" s="157">
        <f t="shared" si="8"/>
        <v>-18953</v>
      </c>
      <c r="F161" s="161">
        <f t="shared" si="9"/>
        <v>-8.797859510907155E-3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24733513</v>
      </c>
      <c r="D163" s="157">
        <v>25278924</v>
      </c>
      <c r="E163" s="157">
        <f t="shared" si="8"/>
        <v>545411</v>
      </c>
      <c r="F163" s="161">
        <f t="shared" si="9"/>
        <v>2.2051497496534359E-2</v>
      </c>
    </row>
    <row r="164" spans="1:6" ht="15" customHeight="1" x14ac:dyDescent="0.2">
      <c r="A164" s="147">
        <v>32</v>
      </c>
      <c r="B164" s="169" t="s">
        <v>291</v>
      </c>
      <c r="C164" s="157">
        <v>25279957</v>
      </c>
      <c r="D164" s="157">
        <v>27187925</v>
      </c>
      <c r="E164" s="157">
        <f t="shared" si="8"/>
        <v>1907968</v>
      </c>
      <c r="F164" s="161">
        <f t="shared" si="9"/>
        <v>7.5473546098199451E-2</v>
      </c>
    </row>
    <row r="165" spans="1:6" ht="15" customHeight="1" x14ac:dyDescent="0.2">
      <c r="A165" s="147">
        <v>33</v>
      </c>
      <c r="B165" s="169" t="s">
        <v>292</v>
      </c>
      <c r="C165" s="157">
        <v>1035146</v>
      </c>
      <c r="D165" s="157">
        <v>1015004</v>
      </c>
      <c r="E165" s="157">
        <f t="shared" si="8"/>
        <v>-20142</v>
      </c>
      <c r="F165" s="161">
        <f t="shared" si="9"/>
        <v>-1.9458124747620143E-2</v>
      </c>
    </row>
    <row r="166" spans="1:6" ht="15" customHeight="1" x14ac:dyDescent="0.2">
      <c r="A166" s="147">
        <v>34</v>
      </c>
      <c r="B166" s="169" t="s">
        <v>293</v>
      </c>
      <c r="C166" s="157">
        <v>18254538</v>
      </c>
      <c r="D166" s="157">
        <v>20924788</v>
      </c>
      <c r="E166" s="157">
        <f t="shared" si="8"/>
        <v>2670250</v>
      </c>
      <c r="F166" s="161">
        <f t="shared" si="9"/>
        <v>0.14627869519349107</v>
      </c>
    </row>
    <row r="167" spans="1:6" ht="15.75" customHeight="1" x14ac:dyDescent="0.25">
      <c r="A167" s="147"/>
      <c r="B167" s="165" t="s">
        <v>294</v>
      </c>
      <c r="C167" s="158">
        <f>SUM(C133:C166)</f>
        <v>312756869</v>
      </c>
      <c r="D167" s="158">
        <f>SUM(D133:D166)</f>
        <v>322073010</v>
      </c>
      <c r="E167" s="158">
        <f t="shared" si="8"/>
        <v>9316141</v>
      </c>
      <c r="F167" s="159">
        <f t="shared" si="9"/>
        <v>2.9787166720869045E-2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107106181</v>
      </c>
      <c r="D170" s="157">
        <v>109637637</v>
      </c>
      <c r="E170" s="157">
        <f t="shared" ref="E170:E183" si="10">D170-C170</f>
        <v>2531456</v>
      </c>
      <c r="F170" s="161">
        <f t="shared" ref="F170:F183" si="11">IF(C170=0,0,E170/C170)</f>
        <v>2.3635013183786285E-2</v>
      </c>
    </row>
    <row r="171" spans="1:6" ht="15" customHeight="1" x14ac:dyDescent="0.2">
      <c r="A171" s="147">
        <v>2</v>
      </c>
      <c r="B171" s="169" t="s">
        <v>297</v>
      </c>
      <c r="C171" s="157">
        <v>24159833</v>
      </c>
      <c r="D171" s="157">
        <v>23438364</v>
      </c>
      <c r="E171" s="157">
        <f t="shared" si="10"/>
        <v>-721469</v>
      </c>
      <c r="F171" s="161">
        <f t="shared" si="11"/>
        <v>-2.9862333899410645E-2</v>
      </c>
    </row>
    <row r="172" spans="1:6" ht="15" customHeight="1" x14ac:dyDescent="0.2">
      <c r="A172" s="147">
        <v>3</v>
      </c>
      <c r="B172" s="169" t="s">
        <v>298</v>
      </c>
      <c r="C172" s="157">
        <v>4448655</v>
      </c>
      <c r="D172" s="157">
        <v>4557581</v>
      </c>
      <c r="E172" s="157">
        <f t="shared" si="10"/>
        <v>108926</v>
      </c>
      <c r="F172" s="161">
        <f t="shared" si="11"/>
        <v>2.4485153377818689E-2</v>
      </c>
    </row>
    <row r="173" spans="1:6" ht="15" customHeight="1" x14ac:dyDescent="0.2">
      <c r="A173" s="147">
        <v>4</v>
      </c>
      <c r="B173" s="169" t="s">
        <v>299</v>
      </c>
      <c r="C173" s="157">
        <v>20627973</v>
      </c>
      <c r="D173" s="157">
        <v>21659953</v>
      </c>
      <c r="E173" s="157">
        <f t="shared" si="10"/>
        <v>1031980</v>
      </c>
      <c r="F173" s="161">
        <f t="shared" si="11"/>
        <v>5.0028182604272366E-2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4626629</v>
      </c>
      <c r="D175" s="157">
        <v>4332463</v>
      </c>
      <c r="E175" s="157">
        <f t="shared" si="10"/>
        <v>-294166</v>
      </c>
      <c r="F175" s="161">
        <f t="shared" si="11"/>
        <v>-6.3581065177259727E-2</v>
      </c>
    </row>
    <row r="176" spans="1:6" ht="15" customHeight="1" x14ac:dyDescent="0.2">
      <c r="A176" s="147">
        <v>7</v>
      </c>
      <c r="B176" s="169" t="s">
        <v>302</v>
      </c>
      <c r="C176" s="157">
        <v>3785422</v>
      </c>
      <c r="D176" s="157">
        <v>3544742</v>
      </c>
      <c r="E176" s="157">
        <f t="shared" si="10"/>
        <v>-240680</v>
      </c>
      <c r="F176" s="161">
        <f t="shared" si="11"/>
        <v>-6.3580757970973914E-2</v>
      </c>
    </row>
    <row r="177" spans="1:6" ht="15" customHeight="1" x14ac:dyDescent="0.2">
      <c r="A177" s="147">
        <v>8</v>
      </c>
      <c r="B177" s="169" t="s">
        <v>303</v>
      </c>
      <c r="C177" s="157">
        <v>0</v>
      </c>
      <c r="D177" s="157">
        <v>0</v>
      </c>
      <c r="E177" s="157">
        <f t="shared" si="10"/>
        <v>0</v>
      </c>
      <c r="F177" s="161">
        <f t="shared" si="11"/>
        <v>0</v>
      </c>
    </row>
    <row r="178" spans="1:6" ht="15" customHeight="1" x14ac:dyDescent="0.2">
      <c r="A178" s="147">
        <v>9</v>
      </c>
      <c r="B178" s="169" t="s">
        <v>304</v>
      </c>
      <c r="C178" s="157">
        <v>0</v>
      </c>
      <c r="D178" s="157">
        <v>0</v>
      </c>
      <c r="E178" s="157">
        <f t="shared" si="10"/>
        <v>0</v>
      </c>
      <c r="F178" s="161">
        <f t="shared" si="11"/>
        <v>0</v>
      </c>
    </row>
    <row r="179" spans="1:6" ht="15" customHeight="1" x14ac:dyDescent="0.2">
      <c r="A179" s="147">
        <v>10</v>
      </c>
      <c r="B179" s="169" t="s">
        <v>305</v>
      </c>
      <c r="C179" s="157">
        <v>13013576</v>
      </c>
      <c r="D179" s="157">
        <v>12940459</v>
      </c>
      <c r="E179" s="157">
        <f t="shared" si="10"/>
        <v>-73117</v>
      </c>
      <c r="F179" s="161">
        <f t="shared" si="11"/>
        <v>-5.6185171547005986E-3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13434226</v>
      </c>
      <c r="D181" s="157">
        <v>13801888</v>
      </c>
      <c r="E181" s="157">
        <f t="shared" si="10"/>
        <v>367662</v>
      </c>
      <c r="F181" s="161">
        <f t="shared" si="11"/>
        <v>2.7367561034033521E-2</v>
      </c>
    </row>
    <row r="182" spans="1:6" ht="15" customHeight="1" x14ac:dyDescent="0.2">
      <c r="A182" s="147">
        <v>13</v>
      </c>
      <c r="B182" s="169" t="s">
        <v>308</v>
      </c>
      <c r="C182" s="157">
        <v>0</v>
      </c>
      <c r="D182" s="157">
        <v>0</v>
      </c>
      <c r="E182" s="157">
        <f t="shared" si="10"/>
        <v>0</v>
      </c>
      <c r="F182" s="161">
        <f t="shared" si="11"/>
        <v>0</v>
      </c>
    </row>
    <row r="183" spans="1:6" ht="15.75" customHeight="1" x14ac:dyDescent="0.25">
      <c r="A183" s="147"/>
      <c r="B183" s="165" t="s">
        <v>309</v>
      </c>
      <c r="C183" s="158">
        <f>SUM(C170:C182)</f>
        <v>191202495</v>
      </c>
      <c r="D183" s="158">
        <f>SUM(D170:D182)</f>
        <v>193913087</v>
      </c>
      <c r="E183" s="158">
        <f t="shared" si="10"/>
        <v>2710592</v>
      </c>
      <c r="F183" s="159">
        <f t="shared" si="11"/>
        <v>1.4176551409540968E-2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25490291</v>
      </c>
      <c r="D186" s="157">
        <v>25886601</v>
      </c>
      <c r="E186" s="157">
        <f>D186-C186</f>
        <v>396310</v>
      </c>
      <c r="F186" s="161">
        <f>IF(C186=0,0,E186/C186)</f>
        <v>1.5547488257391804E-2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1046001610</v>
      </c>
      <c r="D188" s="158">
        <f>+D186+D183+D167+D130+D121</f>
        <v>1075242367</v>
      </c>
      <c r="E188" s="158">
        <f>D188-C188</f>
        <v>29240757</v>
      </c>
      <c r="F188" s="159">
        <f>IF(C188=0,0,E188/C188)</f>
        <v>2.7954791580100915E-2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FILING&amp;RHARTFORD HOSPITAL</oddHeader>
    <oddFooter>&amp;LREPORT 100&amp;CPAGE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/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853959278</v>
      </c>
      <c r="D11" s="183">
        <v>926633051</v>
      </c>
      <c r="E11" s="76">
        <v>903784775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130806848</v>
      </c>
      <c r="D12" s="185">
        <v>171975203</v>
      </c>
      <c r="E12" s="185">
        <v>166595731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984766126</v>
      </c>
      <c r="D13" s="76">
        <f>+D11+D12</f>
        <v>1098608254</v>
      </c>
      <c r="E13" s="76">
        <f>+E11+E12</f>
        <v>1070380506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963927041</v>
      </c>
      <c r="D14" s="185">
        <v>1046001610</v>
      </c>
      <c r="E14" s="185">
        <v>1075242367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20839085</v>
      </c>
      <c r="D15" s="76">
        <f>+D13-D14</f>
        <v>52606644</v>
      </c>
      <c r="E15" s="76">
        <f>+E13-E14</f>
        <v>-4861861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-1519601</v>
      </c>
      <c r="D16" s="185">
        <v>38750468</v>
      </c>
      <c r="E16" s="185">
        <v>29320979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19319484</v>
      </c>
      <c r="D17" s="76">
        <f>D15+D16</f>
        <v>91357112</v>
      </c>
      <c r="E17" s="76">
        <f>E15+E16</f>
        <v>24459118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2.1194160843843308E-2</v>
      </c>
      <c r="D20" s="189">
        <f>IF(+D27=0,0,+D24/+D27)</f>
        <v>4.6253343806511027E-2</v>
      </c>
      <c r="E20" s="189">
        <f>IF(+E27=0,0,+E24/+E27)</f>
        <v>-4.4210734152095831E-3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-1.5454933847846551E-3</v>
      </c>
      <c r="D21" s="189">
        <f>IF(D27=0,0,+D26/D27)</f>
        <v>3.4070577075154304E-2</v>
      </c>
      <c r="E21" s="189">
        <f>IF(E27=0,0,+E26/E27)</f>
        <v>2.6662671097511522E-2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1.9648667459058654E-2</v>
      </c>
      <c r="D22" s="189">
        <f>IF(D27=0,0,+D28/D27)</f>
        <v>8.0323920881665331E-2</v>
      </c>
      <c r="E22" s="189">
        <f>IF(E27=0,0,+E28/E27)</f>
        <v>2.2241597682301939E-2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20839085</v>
      </c>
      <c r="D24" s="76">
        <f>+D15</f>
        <v>52606644</v>
      </c>
      <c r="E24" s="76">
        <f>+E15</f>
        <v>-4861861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984766126</v>
      </c>
      <c r="D25" s="76">
        <f>+D13</f>
        <v>1098608254</v>
      </c>
      <c r="E25" s="76">
        <f>+E13</f>
        <v>1070380506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-1519601</v>
      </c>
      <c r="D26" s="76">
        <f>+D16</f>
        <v>38750468</v>
      </c>
      <c r="E26" s="76">
        <f>+E16</f>
        <v>29320979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983246525</v>
      </c>
      <c r="D27" s="76">
        <f>+D25+D26</f>
        <v>1137358722</v>
      </c>
      <c r="E27" s="76">
        <f>+E25+E26</f>
        <v>1099701485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19319484</v>
      </c>
      <c r="D28" s="76">
        <f>+D17</f>
        <v>91357112</v>
      </c>
      <c r="E28" s="76">
        <f>+E17</f>
        <v>24459118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163006762</v>
      </c>
      <c r="D31" s="76">
        <v>169620159</v>
      </c>
      <c r="E31" s="76">
        <v>201002168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402492184</v>
      </c>
      <c r="D32" s="76">
        <v>440709105</v>
      </c>
      <c r="E32" s="76">
        <v>494445108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-25227590</v>
      </c>
      <c r="D33" s="76">
        <f>+D32-C32</f>
        <v>38216921</v>
      </c>
      <c r="E33" s="76">
        <f>+E32-D32</f>
        <v>53736003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0.94099999999999995</v>
      </c>
      <c r="D34" s="193">
        <f>IF(C32=0,0,+D33/C32)</f>
        <v>9.4950715862845175E-2</v>
      </c>
      <c r="E34" s="193">
        <f>IF(D32=0,0,+E33/D32)</f>
        <v>0.1219307756303333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0.44400854904965747</v>
      </c>
      <c r="D38" s="195">
        <f>IF((D40+D41)=0,0,+D39/(D40+D41))</f>
        <v>0.43216745478450624</v>
      </c>
      <c r="E38" s="195">
        <f>IF((E40+E41)=0,0,+E39/(E40+E41))</f>
        <v>0.41818355828891768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963927041</v>
      </c>
      <c r="D39" s="76">
        <v>1046001610</v>
      </c>
      <c r="E39" s="196">
        <v>1075242367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2049319284</v>
      </c>
      <c r="D40" s="76">
        <v>2255761188</v>
      </c>
      <c r="E40" s="196">
        <v>2411937032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121645764</v>
      </c>
      <c r="D41" s="76">
        <v>164600638</v>
      </c>
      <c r="E41" s="196">
        <v>159284016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1.2369121942351191</v>
      </c>
      <c r="D43" s="197">
        <f>IF(D38=0,0,IF((D46-D47)=0,0,((+D44-D45)/(D46-D47)/D38)))</f>
        <v>1.291566330412697</v>
      </c>
      <c r="E43" s="197">
        <f>IF(E38=0,0,IF((E46-E47)=0,0,((+E44-E45)/(E46-E47)/E38)))</f>
        <v>1.3720266244541488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405815169</v>
      </c>
      <c r="D44" s="76">
        <v>441268811</v>
      </c>
      <c r="E44" s="196">
        <v>462375671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9841115</v>
      </c>
      <c r="D45" s="76">
        <v>6173871</v>
      </c>
      <c r="E45" s="196">
        <v>4123179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759827770</v>
      </c>
      <c r="D46" s="76">
        <v>828903453</v>
      </c>
      <c r="E46" s="196">
        <v>846819231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38825675</v>
      </c>
      <c r="D47" s="76">
        <v>49404997</v>
      </c>
      <c r="E47" s="76">
        <v>48134572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0.85019094808466134</v>
      </c>
      <c r="D49" s="198">
        <f>IF(D38=0,0,IF(D51=0,0,(D50/D51)/D38))</f>
        <v>0.88327129064445919</v>
      </c>
      <c r="E49" s="198">
        <f>IF(E38=0,0,IF(E51=0,0,(E50/E51)/E38))</f>
        <v>0.78748006830160688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339435385</v>
      </c>
      <c r="D50" s="199">
        <v>381926073</v>
      </c>
      <c r="E50" s="199">
        <v>360811496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899185521</v>
      </c>
      <c r="D51" s="199">
        <v>1000536956</v>
      </c>
      <c r="E51" s="199">
        <v>1095655044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0.67729233012328138</v>
      </c>
      <c r="D53" s="198">
        <f>IF(D38=0,0,IF(D55=0,0,(D54/D55)/D38))</f>
        <v>0.65156930263656265</v>
      </c>
      <c r="E53" s="198">
        <f>IF(E38=0,0,IF(E55=0,0,(E54/E55)/E38))</f>
        <v>0.58589504374899515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114157797</v>
      </c>
      <c r="D54" s="199">
        <v>117063703</v>
      </c>
      <c r="E54" s="199">
        <v>112176963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379610389</v>
      </c>
      <c r="D55" s="199">
        <v>415728295</v>
      </c>
      <c r="E55" s="199">
        <v>457843339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13838055.689323042</v>
      </c>
      <c r="D57" s="88">
        <f>+D60*D38</f>
        <v>20089338.276886702</v>
      </c>
      <c r="E57" s="88">
        <f>+E60*E38</f>
        <v>18404840.929991964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18246408</v>
      </c>
      <c r="D58" s="199">
        <v>23839114</v>
      </c>
      <c r="E58" s="199">
        <v>26543780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12919784</v>
      </c>
      <c r="D59" s="199">
        <v>22645965</v>
      </c>
      <c r="E59" s="199">
        <v>17467613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31166192</v>
      </c>
      <c r="D60" s="76">
        <v>46485079</v>
      </c>
      <c r="E60" s="201">
        <v>44011393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1.4355916060791412E-2</v>
      </c>
      <c r="D62" s="202">
        <f>IF(D63=0,0,+D57/D63)</f>
        <v>1.920583877197541E-2</v>
      </c>
      <c r="E62" s="202">
        <f>IF(E63=0,0,+E57/E63)</f>
        <v>1.711692311877808E-2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963927041</v>
      </c>
      <c r="D63" s="199">
        <v>1046001610</v>
      </c>
      <c r="E63" s="199">
        <v>1075242367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2.0109683223212591</v>
      </c>
      <c r="D67" s="203">
        <f>IF(D69=0,0,D68/D69)</f>
        <v>1.8101804991348118</v>
      </c>
      <c r="E67" s="203">
        <f>IF(E69=0,0,E68/E69)</f>
        <v>1.0731439871427773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239973268</v>
      </c>
      <c r="D68" s="204">
        <v>303878914</v>
      </c>
      <c r="E68" s="204">
        <v>239118747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119332197</v>
      </c>
      <c r="D69" s="204">
        <v>167872162</v>
      </c>
      <c r="E69" s="204">
        <v>222820749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23.981481748754501</v>
      </c>
      <c r="D71" s="203">
        <f>IF((D77/365)=0,0,+D74/(D77/365))</f>
        <v>31.648737761662517</v>
      </c>
      <c r="E71" s="203">
        <f>IF((E77/365)=0,0,+E74/(E77/365))</f>
        <v>4.7823060639073089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60477778</v>
      </c>
      <c r="D72" s="183">
        <v>86685189</v>
      </c>
      <c r="E72" s="183">
        <v>13453682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0</v>
      </c>
      <c r="D73" s="206">
        <v>0</v>
      </c>
      <c r="E73" s="206">
        <v>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60477778</v>
      </c>
      <c r="D74" s="204">
        <f>+D72+D73</f>
        <v>86685189</v>
      </c>
      <c r="E74" s="204">
        <f>+E72+E73</f>
        <v>13453682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963927041</v>
      </c>
      <c r="D75" s="204">
        <f>+D14</f>
        <v>1046001610</v>
      </c>
      <c r="E75" s="204">
        <f>+E14</f>
        <v>1075242367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43450600</v>
      </c>
      <c r="D76" s="204">
        <v>46274726</v>
      </c>
      <c r="E76" s="204">
        <v>48416843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920476441</v>
      </c>
      <c r="D77" s="204">
        <f>+D75-D76</f>
        <v>999726884</v>
      </c>
      <c r="E77" s="204">
        <f>+E75-E76</f>
        <v>1026825524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49.945781231971111</v>
      </c>
      <c r="D79" s="203">
        <f>IF((D84/365)=0,0,+D83/(D84/365))</f>
        <v>57.642424671079425</v>
      </c>
      <c r="E79" s="203">
        <f>IF((E84/365)=0,0,+E83/(E84/365))</f>
        <v>55.090324718072395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123703917</v>
      </c>
      <c r="D80" s="212">
        <v>149897688</v>
      </c>
      <c r="E80" s="212">
        <v>149495353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6850045</v>
      </c>
      <c r="D82" s="212">
        <v>3559672</v>
      </c>
      <c r="E82" s="212">
        <v>13084951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116853872</v>
      </c>
      <c r="D83" s="212">
        <f>+D80+D81-D82</f>
        <v>146338016</v>
      </c>
      <c r="E83" s="212">
        <f>+E80+E81-E82</f>
        <v>136410402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853959278</v>
      </c>
      <c r="D84" s="204">
        <f>+D11</f>
        <v>926633051</v>
      </c>
      <c r="E84" s="204">
        <f>+E11</f>
        <v>903784775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47.319246821440373</v>
      </c>
      <c r="D86" s="203">
        <f>IF((D90/365)=0,0,+D87/(D90/365))</f>
        <v>61.290078431060785</v>
      </c>
      <c r="E86" s="203">
        <f>IF((E90/365)=0,0,+E87/(E90/365))</f>
        <v>79.204861472648787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119332197</v>
      </c>
      <c r="D87" s="76">
        <f>+D69</f>
        <v>167872162</v>
      </c>
      <c r="E87" s="76">
        <f>+E69</f>
        <v>222820749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963927041</v>
      </c>
      <c r="D88" s="76">
        <f t="shared" si="0"/>
        <v>1046001610</v>
      </c>
      <c r="E88" s="76">
        <f t="shared" si="0"/>
        <v>1075242367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43450600</v>
      </c>
      <c r="D89" s="201">
        <f t="shared" si="0"/>
        <v>46274726</v>
      </c>
      <c r="E89" s="201">
        <f t="shared" si="0"/>
        <v>48416843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920476441</v>
      </c>
      <c r="D90" s="76">
        <f>+D88-D89</f>
        <v>999726884</v>
      </c>
      <c r="E90" s="76">
        <f>+E88-E89</f>
        <v>1026825524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37.944551418523183</v>
      </c>
      <c r="D94" s="214">
        <f>IF(D96=0,0,(D95/D96)*100)</f>
        <v>36.375351412929689</v>
      </c>
      <c r="E94" s="214">
        <f>IF(E96=0,0,(E95/E96)*100)</f>
        <v>41.739138935119144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402492184</v>
      </c>
      <c r="D95" s="76">
        <f>+D32</f>
        <v>440709105</v>
      </c>
      <c r="E95" s="76">
        <f>+E32</f>
        <v>494445108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1060737758</v>
      </c>
      <c r="D96" s="76">
        <v>1211559718</v>
      </c>
      <c r="E96" s="76">
        <v>1184607830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20.188434809596959</v>
      </c>
      <c r="D98" s="214">
        <f>IF(D104=0,0,(D101/D104)*100)</f>
        <v>38.58659430909136</v>
      </c>
      <c r="E98" s="214">
        <f>IF(E104=0,0,(E101/E104)*100)</f>
        <v>16.800489745742194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19319484</v>
      </c>
      <c r="D99" s="76">
        <f>+D28</f>
        <v>91357112</v>
      </c>
      <c r="E99" s="76">
        <f>+E28</f>
        <v>24459118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43450600</v>
      </c>
      <c r="D100" s="201">
        <f>+D76</f>
        <v>46274726</v>
      </c>
      <c r="E100" s="201">
        <f>+E76</f>
        <v>48416843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62770084</v>
      </c>
      <c r="D101" s="76">
        <f>+D99+D100</f>
        <v>137631838</v>
      </c>
      <c r="E101" s="76">
        <f>+E99+E100</f>
        <v>72875961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119332197</v>
      </c>
      <c r="D102" s="204">
        <f>+D69</f>
        <v>167872162</v>
      </c>
      <c r="E102" s="204">
        <f>+E69</f>
        <v>222820749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191588806</v>
      </c>
      <c r="D103" s="216">
        <v>188810879</v>
      </c>
      <c r="E103" s="216">
        <v>210952088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310921003</v>
      </c>
      <c r="D104" s="204">
        <f>+D102+D103</f>
        <v>356683041</v>
      </c>
      <c r="E104" s="204">
        <f>+E102+E103</f>
        <v>433772837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32.249610612856003</v>
      </c>
      <c r="D106" s="214">
        <f>IF(D109=0,0,(D107/D109)*100)</f>
        <v>29.992833237840465</v>
      </c>
      <c r="E106" s="214">
        <f>IF(E109=0,0,(E107/E109)*100)</f>
        <v>29.90543330710943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191588806</v>
      </c>
      <c r="D107" s="204">
        <f>+D103</f>
        <v>188810879</v>
      </c>
      <c r="E107" s="204">
        <f>+E103</f>
        <v>210952088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402492184</v>
      </c>
      <c r="D108" s="204">
        <f>+D32</f>
        <v>440709105</v>
      </c>
      <c r="E108" s="204">
        <f>+E32</f>
        <v>494445108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594080990</v>
      </c>
      <c r="D109" s="204">
        <f>+D107+D108</f>
        <v>629519984</v>
      </c>
      <c r="E109" s="204">
        <f>+E107+E108</f>
        <v>705397196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0.63387824418446759</v>
      </c>
      <c r="D111" s="214">
        <f>IF((+D113+D115)=0,0,((+D112+D113+D114)/(+D113+D115)))</f>
        <v>18.007319656192401</v>
      </c>
      <c r="E111" s="214">
        <f>IF((+E113+E115)=0,0,((+E112+E113+E114)/(+E113+E115)))</f>
        <v>6.7301860828459086</v>
      </c>
    </row>
    <row r="112" spans="1:6" ht="24" customHeight="1" x14ac:dyDescent="0.2">
      <c r="A112" s="85">
        <v>16</v>
      </c>
      <c r="B112" s="75" t="s">
        <v>373</v>
      </c>
      <c r="C112" s="218">
        <f>+C17</f>
        <v>19319484</v>
      </c>
      <c r="D112" s="76">
        <f>+D17</f>
        <v>91357112</v>
      </c>
      <c r="E112" s="76">
        <f>+E17</f>
        <v>24459118</v>
      </c>
    </row>
    <row r="113" spans="1:8" ht="24" customHeight="1" x14ac:dyDescent="0.2">
      <c r="A113" s="85">
        <v>17</v>
      </c>
      <c r="B113" s="75" t="s">
        <v>88</v>
      </c>
      <c r="C113" s="218">
        <v>1556400</v>
      </c>
      <c r="D113" s="76">
        <v>4517043</v>
      </c>
      <c r="E113" s="76">
        <v>5704487</v>
      </c>
    </row>
    <row r="114" spans="1:8" ht="24" customHeight="1" x14ac:dyDescent="0.2">
      <c r="A114" s="85">
        <v>18</v>
      </c>
      <c r="B114" s="75" t="s">
        <v>374</v>
      </c>
      <c r="C114" s="218">
        <v>43450600</v>
      </c>
      <c r="D114" s="76">
        <v>46274726</v>
      </c>
      <c r="E114" s="76">
        <v>48416843</v>
      </c>
    </row>
    <row r="115" spans="1:8" ht="24" customHeight="1" x14ac:dyDescent="0.2">
      <c r="A115" s="85">
        <v>19</v>
      </c>
      <c r="B115" s="75" t="s">
        <v>104</v>
      </c>
      <c r="C115" s="218">
        <v>99924420</v>
      </c>
      <c r="D115" s="76">
        <v>3376907</v>
      </c>
      <c r="E115" s="76">
        <v>5971334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13.646106935232195</v>
      </c>
      <c r="D119" s="214">
        <f>IF(+D121=0,0,(+D120)/(+D121))</f>
        <v>13.804824171190122</v>
      </c>
      <c r="E119" s="214">
        <f>IF(+E121=0,0,(+E120)/(+E121))</f>
        <v>14.13200150203928</v>
      </c>
    </row>
    <row r="120" spans="1:8" ht="24" customHeight="1" x14ac:dyDescent="0.2">
      <c r="A120" s="85">
        <v>21</v>
      </c>
      <c r="B120" s="75" t="s">
        <v>378</v>
      </c>
      <c r="C120" s="218">
        <v>592931534</v>
      </c>
      <c r="D120" s="218">
        <v>638814456</v>
      </c>
      <c r="E120" s="218">
        <v>684226898</v>
      </c>
    </row>
    <row r="121" spans="1:8" ht="24" customHeight="1" x14ac:dyDescent="0.2">
      <c r="A121" s="85">
        <v>22</v>
      </c>
      <c r="B121" s="75" t="s">
        <v>374</v>
      </c>
      <c r="C121" s="218">
        <v>43450600</v>
      </c>
      <c r="D121" s="218">
        <v>46274726</v>
      </c>
      <c r="E121" s="218">
        <v>48416843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223555</v>
      </c>
      <c r="D124" s="218">
        <v>233332</v>
      </c>
      <c r="E124" s="218">
        <v>235012</v>
      </c>
    </row>
    <row r="125" spans="1:8" ht="24" customHeight="1" x14ac:dyDescent="0.2">
      <c r="A125" s="85">
        <v>2</v>
      </c>
      <c r="B125" s="75" t="s">
        <v>381</v>
      </c>
      <c r="C125" s="218">
        <v>40674</v>
      </c>
      <c r="D125" s="218">
        <v>41251</v>
      </c>
      <c r="E125" s="218">
        <v>41809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5.4962629689728084</v>
      </c>
      <c r="D126" s="219">
        <f>IF(D125=0,0,D124/D125)</f>
        <v>5.6563962085767621</v>
      </c>
      <c r="E126" s="219">
        <f>IF(E125=0,0,E124/E125)</f>
        <v>5.6210863689636206</v>
      </c>
    </row>
    <row r="127" spans="1:8" ht="24" customHeight="1" x14ac:dyDescent="0.2">
      <c r="A127" s="85">
        <v>4</v>
      </c>
      <c r="B127" s="75" t="s">
        <v>383</v>
      </c>
      <c r="C127" s="218">
        <v>640</v>
      </c>
      <c r="D127" s="218">
        <v>667</v>
      </c>
      <c r="E127" s="218">
        <v>647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802</v>
      </c>
      <c r="E128" s="218">
        <v>809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796</v>
      </c>
      <c r="D129" s="218">
        <v>867</v>
      </c>
      <c r="E129" s="218">
        <v>867</v>
      </c>
    </row>
    <row r="130" spans="1:7" ht="24" customHeight="1" x14ac:dyDescent="0.2">
      <c r="A130" s="85">
        <v>7</v>
      </c>
      <c r="B130" s="75" t="s">
        <v>386</v>
      </c>
      <c r="C130" s="193">
        <v>0.95689999999999997</v>
      </c>
      <c r="D130" s="193">
        <v>0.95840000000000003</v>
      </c>
      <c r="E130" s="193">
        <v>0.99509999999999998</v>
      </c>
    </row>
    <row r="131" spans="1:7" ht="24" customHeight="1" x14ac:dyDescent="0.2">
      <c r="A131" s="85">
        <v>8</v>
      </c>
      <c r="B131" s="75" t="s">
        <v>387</v>
      </c>
      <c r="C131" s="193">
        <v>0.76939999999999997</v>
      </c>
      <c r="D131" s="193">
        <v>0.79700000000000004</v>
      </c>
      <c r="E131" s="193">
        <v>0.79579999999999995</v>
      </c>
    </row>
    <row r="132" spans="1:7" ht="24" customHeight="1" x14ac:dyDescent="0.2">
      <c r="A132" s="85">
        <v>9</v>
      </c>
      <c r="B132" s="75" t="s">
        <v>388</v>
      </c>
      <c r="C132" s="219">
        <v>5838.3</v>
      </c>
      <c r="D132" s="219">
        <v>6033.5</v>
      </c>
      <c r="E132" s="219">
        <v>6124.9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0.35182516488728849</v>
      </c>
      <c r="D135" s="227">
        <f>IF(D149=0,0,D143/D149)</f>
        <v>0.34555894486823663</v>
      </c>
      <c r="E135" s="227">
        <f>IF(E149=0,0,E143/E149)</f>
        <v>0.3311382711918161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0.43877278080598003</v>
      </c>
      <c r="D136" s="227">
        <f>IF(D149=0,0,D144/D149)</f>
        <v>0.44354737607977673</v>
      </c>
      <c r="E136" s="227">
        <f>IF(E149=0,0,E144/E149)</f>
        <v>0.45426353568255179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0.18523730878043113</v>
      </c>
      <c r="D137" s="227">
        <f>IF(D149=0,0,D145/D149)</f>
        <v>0.18429623543997248</v>
      </c>
      <c r="E137" s="227">
        <f>IF(E149=0,0,E145/E149)</f>
        <v>0.18982391867019521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0</v>
      </c>
      <c r="D138" s="227">
        <f>IF(D149=0,0,D146/D149)</f>
        <v>0</v>
      </c>
      <c r="E138" s="227">
        <f>IF(E149=0,0,E146/E149)</f>
        <v>0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1.8945644684618113E-2</v>
      </c>
      <c r="D139" s="227">
        <f>IF(D149=0,0,D147/D149)</f>
        <v>2.1901696537213407E-2</v>
      </c>
      <c r="E139" s="227">
        <f>IF(E149=0,0,E147/E149)</f>
        <v>1.9956811210816053E-2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5.2191008416822178E-3</v>
      </c>
      <c r="D140" s="227">
        <f>IF(D149=0,0,D148/D149)</f>
        <v>4.6957470748007213E-3</v>
      </c>
      <c r="E140" s="227">
        <f>IF(E149=0,0,E148/E149)</f>
        <v>4.8174632446208905E-3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0.99999999999999989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721002095</v>
      </c>
      <c r="D143" s="229">
        <f>+D46-D147</f>
        <v>779498456</v>
      </c>
      <c r="E143" s="229">
        <f>+E46-E147</f>
        <v>798684659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899185521</v>
      </c>
      <c r="D144" s="229">
        <f>+D51</f>
        <v>1000536956</v>
      </c>
      <c r="E144" s="229">
        <f>+E51</f>
        <v>1095655044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379610389</v>
      </c>
      <c r="D145" s="229">
        <f>+D55</f>
        <v>415728295</v>
      </c>
      <c r="E145" s="229">
        <f>+E55</f>
        <v>457843339</v>
      </c>
    </row>
    <row r="146" spans="1:7" ht="20.100000000000001" customHeight="1" x14ac:dyDescent="0.2">
      <c r="A146" s="226">
        <v>11</v>
      </c>
      <c r="B146" s="224" t="s">
        <v>400</v>
      </c>
      <c r="C146" s="228">
        <v>0</v>
      </c>
      <c r="D146" s="229">
        <v>0</v>
      </c>
      <c r="E146" s="229">
        <v>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38825675</v>
      </c>
      <c r="D147" s="229">
        <f>+D47</f>
        <v>49404997</v>
      </c>
      <c r="E147" s="229">
        <f>+E47</f>
        <v>48134572</v>
      </c>
    </row>
    <row r="148" spans="1:7" ht="20.100000000000001" customHeight="1" x14ac:dyDescent="0.2">
      <c r="A148" s="226">
        <v>13</v>
      </c>
      <c r="B148" s="224" t="s">
        <v>402</v>
      </c>
      <c r="C148" s="230">
        <v>10695604</v>
      </c>
      <c r="D148" s="229">
        <v>10592484</v>
      </c>
      <c r="E148" s="229">
        <v>11619418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2049319284</v>
      </c>
      <c r="D149" s="229">
        <f>SUM(D143:D148)</f>
        <v>2255761188</v>
      </c>
      <c r="E149" s="229">
        <f>SUM(E143:E148)</f>
        <v>2411937032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0.4586749961511345</v>
      </c>
      <c r="D152" s="227">
        <f>IF(D166=0,0,D160/D166)</f>
        <v>0.46113653670596993</v>
      </c>
      <c r="E152" s="227">
        <f>IF(E166=0,0,E160/E166)</f>
        <v>0.48772911822152143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0.39318365012984879</v>
      </c>
      <c r="D153" s="227">
        <f>IF(D166=0,0,D161/D166)</f>
        <v>0.40478537070767007</v>
      </c>
      <c r="E153" s="227">
        <f>IF(E166=0,0,E161/E166)</f>
        <v>0.38402032909898065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0.13223423749778562</v>
      </c>
      <c r="D154" s="227">
        <f>IF(D166=0,0,D162/D166)</f>
        <v>0.12407027894968456</v>
      </c>
      <c r="E154" s="227">
        <f>IF(E166=0,0,E162/E166)</f>
        <v>0.1193926322363747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0</v>
      </c>
      <c r="D155" s="227">
        <f>IF(D166=0,0,D163/D166)</f>
        <v>0</v>
      </c>
      <c r="E155" s="227">
        <f>IF(E166=0,0,E163/E166)</f>
        <v>0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1.1399417055613124E-2</v>
      </c>
      <c r="D156" s="227">
        <f>IF(D166=0,0,D164/D166)</f>
        <v>6.5433937039337288E-3</v>
      </c>
      <c r="E156" s="227">
        <f>IF(E166=0,0,E164/E166)</f>
        <v>4.3883983023479001E-3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4.5076991656179451E-3</v>
      </c>
      <c r="D157" s="227">
        <f>IF(D166=0,0,D165/D166)</f>
        <v>3.4644199327417066E-3</v>
      </c>
      <c r="E157" s="227">
        <f>IF(E166=0,0,E165/E166)</f>
        <v>4.4695221407753021E-3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1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395974054</v>
      </c>
      <c r="D160" s="229">
        <f>+D44-D164</f>
        <v>435094940</v>
      </c>
      <c r="E160" s="229">
        <f>+E44-E164</f>
        <v>458252492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339435385</v>
      </c>
      <c r="D161" s="229">
        <f>+D50</f>
        <v>381926073</v>
      </c>
      <c r="E161" s="229">
        <f>+E50</f>
        <v>360811496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114157797</v>
      </c>
      <c r="D162" s="229">
        <f>+D54</f>
        <v>117063703</v>
      </c>
      <c r="E162" s="229">
        <f>+E54</f>
        <v>112176963</v>
      </c>
    </row>
    <row r="163" spans="1:6" ht="20.100000000000001" customHeight="1" x14ac:dyDescent="0.2">
      <c r="A163" s="226">
        <v>11</v>
      </c>
      <c r="B163" s="224" t="s">
        <v>415</v>
      </c>
      <c r="C163" s="228">
        <v>0</v>
      </c>
      <c r="D163" s="229">
        <v>0</v>
      </c>
      <c r="E163" s="229">
        <v>0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9841115</v>
      </c>
      <c r="D164" s="229">
        <f>+D45</f>
        <v>6173871</v>
      </c>
      <c r="E164" s="229">
        <f>+E45</f>
        <v>4123179</v>
      </c>
    </row>
    <row r="165" spans="1:6" ht="20.100000000000001" customHeight="1" x14ac:dyDescent="0.2">
      <c r="A165" s="226">
        <v>13</v>
      </c>
      <c r="B165" s="224" t="s">
        <v>417</v>
      </c>
      <c r="C165" s="230">
        <v>3891496</v>
      </c>
      <c r="D165" s="229">
        <v>3268775</v>
      </c>
      <c r="E165" s="229">
        <v>4199400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863299847</v>
      </c>
      <c r="D166" s="229">
        <f>SUM(D160:D165)</f>
        <v>943527362</v>
      </c>
      <c r="E166" s="229">
        <f>SUM(E160:E165)</f>
        <v>939563530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15149</v>
      </c>
      <c r="D169" s="218">
        <v>15151</v>
      </c>
      <c r="E169" s="218">
        <v>14784</v>
      </c>
    </row>
    <row r="170" spans="1:6" ht="20.100000000000001" customHeight="1" x14ac:dyDescent="0.2">
      <c r="A170" s="226">
        <v>2</v>
      </c>
      <c r="B170" s="224" t="s">
        <v>420</v>
      </c>
      <c r="C170" s="218">
        <v>15795</v>
      </c>
      <c r="D170" s="218">
        <v>16556</v>
      </c>
      <c r="E170" s="218">
        <v>17247</v>
      </c>
    </row>
    <row r="171" spans="1:6" ht="20.100000000000001" customHeight="1" x14ac:dyDescent="0.2">
      <c r="A171" s="226">
        <v>3</v>
      </c>
      <c r="B171" s="224" t="s">
        <v>421</v>
      </c>
      <c r="C171" s="218">
        <v>9492</v>
      </c>
      <c r="D171" s="218">
        <v>9311</v>
      </c>
      <c r="E171" s="218">
        <v>9578</v>
      </c>
    </row>
    <row r="172" spans="1:6" ht="20.100000000000001" customHeight="1" x14ac:dyDescent="0.2">
      <c r="A172" s="226">
        <v>4</v>
      </c>
      <c r="B172" s="224" t="s">
        <v>422</v>
      </c>
      <c r="C172" s="218">
        <v>9492</v>
      </c>
      <c r="D172" s="218">
        <v>9311</v>
      </c>
      <c r="E172" s="218">
        <v>9578</v>
      </c>
    </row>
    <row r="173" spans="1:6" ht="20.100000000000001" customHeight="1" x14ac:dyDescent="0.2">
      <c r="A173" s="226">
        <v>5</v>
      </c>
      <c r="B173" s="224" t="s">
        <v>423</v>
      </c>
      <c r="C173" s="218">
        <v>0</v>
      </c>
      <c r="D173" s="218">
        <v>0</v>
      </c>
      <c r="E173" s="218">
        <v>0</v>
      </c>
    </row>
    <row r="174" spans="1:6" ht="20.100000000000001" customHeight="1" x14ac:dyDescent="0.2">
      <c r="A174" s="226">
        <v>6</v>
      </c>
      <c r="B174" s="224" t="s">
        <v>424</v>
      </c>
      <c r="C174" s="218">
        <v>238</v>
      </c>
      <c r="D174" s="218">
        <v>233</v>
      </c>
      <c r="E174" s="218">
        <v>200</v>
      </c>
    </row>
    <row r="175" spans="1:6" ht="20.100000000000001" customHeight="1" x14ac:dyDescent="0.2">
      <c r="A175" s="226">
        <v>7</v>
      </c>
      <c r="B175" s="224" t="s">
        <v>425</v>
      </c>
      <c r="C175" s="218">
        <v>359</v>
      </c>
      <c r="D175" s="218">
        <v>453</v>
      </c>
      <c r="E175" s="218">
        <v>357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40674</v>
      </c>
      <c r="D176" s="218">
        <f>+D169+D170+D171+D174</f>
        <v>41251</v>
      </c>
      <c r="E176" s="218">
        <f>+E169+E170+E171+E174</f>
        <v>41809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1.4201999999999999</v>
      </c>
      <c r="D179" s="231">
        <v>1.4435</v>
      </c>
      <c r="E179" s="231">
        <v>1.45099</v>
      </c>
    </row>
    <row r="180" spans="1:6" ht="20.100000000000001" customHeight="1" x14ac:dyDescent="0.2">
      <c r="A180" s="226">
        <v>2</v>
      </c>
      <c r="B180" s="224" t="s">
        <v>420</v>
      </c>
      <c r="C180" s="231">
        <v>1.8613</v>
      </c>
      <c r="D180" s="231">
        <v>1.8946000000000001</v>
      </c>
      <c r="E180" s="231">
        <v>1.8692200000000001</v>
      </c>
    </row>
    <row r="181" spans="1:6" ht="20.100000000000001" customHeight="1" x14ac:dyDescent="0.2">
      <c r="A181" s="226">
        <v>3</v>
      </c>
      <c r="B181" s="224" t="s">
        <v>421</v>
      </c>
      <c r="C181" s="231">
        <v>1.206</v>
      </c>
      <c r="D181" s="231">
        <v>1.2188000000000001</v>
      </c>
      <c r="E181" s="231">
        <v>1.23159</v>
      </c>
    </row>
    <row r="182" spans="1:6" ht="20.100000000000001" customHeight="1" x14ac:dyDescent="0.2">
      <c r="A182" s="226">
        <v>4</v>
      </c>
      <c r="B182" s="224" t="s">
        <v>422</v>
      </c>
      <c r="C182" s="231">
        <v>1.206</v>
      </c>
      <c r="D182" s="231">
        <v>1.2188000000000001</v>
      </c>
      <c r="E182" s="231">
        <v>1.23159</v>
      </c>
    </row>
    <row r="183" spans="1:6" ht="20.100000000000001" customHeight="1" x14ac:dyDescent="0.2">
      <c r="A183" s="226">
        <v>5</v>
      </c>
      <c r="B183" s="224" t="s">
        <v>423</v>
      </c>
      <c r="C183" s="231">
        <v>0</v>
      </c>
      <c r="D183" s="231">
        <v>0</v>
      </c>
      <c r="E183" s="231">
        <v>0</v>
      </c>
    </row>
    <row r="184" spans="1:6" ht="20.100000000000001" customHeight="1" x14ac:dyDescent="0.2">
      <c r="A184" s="226">
        <v>6</v>
      </c>
      <c r="B184" s="224" t="s">
        <v>424</v>
      </c>
      <c r="C184" s="231">
        <v>1.179</v>
      </c>
      <c r="D184" s="231">
        <v>1.0606</v>
      </c>
      <c r="E184" s="231">
        <v>1.1076299999999999</v>
      </c>
    </row>
    <row r="185" spans="1:6" ht="20.100000000000001" customHeight="1" x14ac:dyDescent="0.2">
      <c r="A185" s="226">
        <v>7</v>
      </c>
      <c r="B185" s="224" t="s">
        <v>425</v>
      </c>
      <c r="C185" s="231">
        <v>1.3913</v>
      </c>
      <c r="D185" s="231">
        <v>1.3722000000000001</v>
      </c>
      <c r="E185" s="231">
        <v>1.3452500000000001</v>
      </c>
    </row>
    <row r="186" spans="1:6" ht="20.100000000000001" customHeight="1" x14ac:dyDescent="0.2">
      <c r="A186" s="226">
        <v>8</v>
      </c>
      <c r="B186" s="224" t="s">
        <v>429</v>
      </c>
      <c r="C186" s="231">
        <v>1.5400940000000001</v>
      </c>
      <c r="D186" s="231">
        <v>1.571666</v>
      </c>
      <c r="E186" s="231">
        <v>1.5716129999999999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17014</v>
      </c>
      <c r="D189" s="218">
        <v>20588</v>
      </c>
      <c r="E189" s="218">
        <v>22296</v>
      </c>
    </row>
    <row r="190" spans="1:6" ht="20.100000000000001" customHeight="1" x14ac:dyDescent="0.2">
      <c r="A190" s="226">
        <v>2</v>
      </c>
      <c r="B190" s="224" t="s">
        <v>433</v>
      </c>
      <c r="C190" s="218">
        <v>78553</v>
      </c>
      <c r="D190" s="218">
        <v>79223</v>
      </c>
      <c r="E190" s="218">
        <v>78503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95567</v>
      </c>
      <c r="D191" s="218">
        <f>+D190+D189</f>
        <v>99811</v>
      </c>
      <c r="E191" s="218">
        <f>+E190+E189</f>
        <v>100799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FILING&amp;RHARTFORD HOSPITAL</oddHeader>
    <oddFooter>&amp;LREPORT 100&amp;CPAGE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/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2</v>
      </c>
      <c r="B4" s="787"/>
      <c r="C4" s="787"/>
      <c r="D4" s="787"/>
      <c r="E4" s="787"/>
      <c r="F4" s="787"/>
    </row>
    <row r="5" spans="1:7" ht="20.25" customHeight="1" x14ac:dyDescent="0.3">
      <c r="A5" s="787" t="s">
        <v>435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88"/>
      <c r="D9" s="789"/>
      <c r="E9" s="789"/>
      <c r="F9" s="790"/>
      <c r="G9" s="245"/>
    </row>
    <row r="10" spans="1:7" ht="20.25" customHeight="1" x14ac:dyDescent="0.3">
      <c r="A10" s="791" t="s">
        <v>12</v>
      </c>
      <c r="B10" s="793" t="s">
        <v>114</v>
      </c>
      <c r="C10" s="795"/>
      <c r="D10" s="796"/>
      <c r="E10" s="796"/>
      <c r="F10" s="797"/>
    </row>
    <row r="11" spans="1:7" ht="20.25" customHeight="1" x14ac:dyDescent="0.3">
      <c r="A11" s="792"/>
      <c r="B11" s="794"/>
      <c r="C11" s="798"/>
      <c r="D11" s="799"/>
      <c r="E11" s="799"/>
      <c r="F11" s="800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8572097</v>
      </c>
      <c r="D14" s="258">
        <v>9337418</v>
      </c>
      <c r="E14" s="258">
        <f t="shared" ref="E14:E24" si="0">D14-C14</f>
        <v>765321</v>
      </c>
      <c r="F14" s="259">
        <f t="shared" ref="F14:F24" si="1">IF(C14=0,0,E14/C14)</f>
        <v>8.9280487609974549E-2</v>
      </c>
    </row>
    <row r="15" spans="1:7" ht="20.25" customHeight="1" x14ac:dyDescent="0.3">
      <c r="A15" s="256">
        <v>2</v>
      </c>
      <c r="B15" s="257" t="s">
        <v>442</v>
      </c>
      <c r="C15" s="258">
        <v>3607558</v>
      </c>
      <c r="D15" s="258">
        <v>3068875</v>
      </c>
      <c r="E15" s="258">
        <f t="shared" si="0"/>
        <v>-538683</v>
      </c>
      <c r="F15" s="259">
        <f t="shared" si="1"/>
        <v>-0.1493206762025725</v>
      </c>
    </row>
    <row r="16" spans="1:7" ht="20.25" customHeight="1" x14ac:dyDescent="0.3">
      <c r="A16" s="256">
        <v>3</v>
      </c>
      <c r="B16" s="257" t="s">
        <v>443</v>
      </c>
      <c r="C16" s="258">
        <v>3673469</v>
      </c>
      <c r="D16" s="258">
        <v>4815633</v>
      </c>
      <c r="E16" s="258">
        <f t="shared" si="0"/>
        <v>1142164</v>
      </c>
      <c r="F16" s="259">
        <f t="shared" si="1"/>
        <v>0.3109224550418147</v>
      </c>
    </row>
    <row r="17" spans="1:6" ht="20.25" customHeight="1" x14ac:dyDescent="0.3">
      <c r="A17" s="256">
        <v>4</v>
      </c>
      <c r="B17" s="257" t="s">
        <v>444</v>
      </c>
      <c r="C17" s="258">
        <v>1422396</v>
      </c>
      <c r="D17" s="258">
        <v>1939850</v>
      </c>
      <c r="E17" s="258">
        <f t="shared" si="0"/>
        <v>517454</v>
      </c>
      <c r="F17" s="259">
        <f t="shared" si="1"/>
        <v>0.3637903931113417</v>
      </c>
    </row>
    <row r="18" spans="1:6" ht="20.25" customHeight="1" x14ac:dyDescent="0.3">
      <c r="A18" s="256">
        <v>5</v>
      </c>
      <c r="B18" s="257" t="s">
        <v>381</v>
      </c>
      <c r="C18" s="260">
        <v>200</v>
      </c>
      <c r="D18" s="260">
        <v>211</v>
      </c>
      <c r="E18" s="260">
        <f t="shared" si="0"/>
        <v>11</v>
      </c>
      <c r="F18" s="259">
        <f t="shared" si="1"/>
        <v>5.5E-2</v>
      </c>
    </row>
    <row r="19" spans="1:6" ht="20.25" customHeight="1" x14ac:dyDescent="0.3">
      <c r="A19" s="256">
        <v>6</v>
      </c>
      <c r="B19" s="257" t="s">
        <v>380</v>
      </c>
      <c r="C19" s="260">
        <v>1237</v>
      </c>
      <c r="D19" s="260">
        <v>1229</v>
      </c>
      <c r="E19" s="260">
        <f t="shared" si="0"/>
        <v>-8</v>
      </c>
      <c r="F19" s="259">
        <f t="shared" si="1"/>
        <v>-6.4672594987873885E-3</v>
      </c>
    </row>
    <row r="20" spans="1:6" ht="20.25" customHeight="1" x14ac:dyDescent="0.3">
      <c r="A20" s="256">
        <v>7</v>
      </c>
      <c r="B20" s="257" t="s">
        <v>445</v>
      </c>
      <c r="C20" s="260">
        <v>854</v>
      </c>
      <c r="D20" s="260">
        <v>753</v>
      </c>
      <c r="E20" s="260">
        <f t="shared" si="0"/>
        <v>-101</v>
      </c>
      <c r="F20" s="259">
        <f t="shared" si="1"/>
        <v>-0.11826697892271663</v>
      </c>
    </row>
    <row r="21" spans="1:6" ht="20.25" customHeight="1" x14ac:dyDescent="0.3">
      <c r="A21" s="256">
        <v>8</v>
      </c>
      <c r="B21" s="257" t="s">
        <v>446</v>
      </c>
      <c r="C21" s="260">
        <v>172</v>
      </c>
      <c r="D21" s="260">
        <v>235</v>
      </c>
      <c r="E21" s="260">
        <f t="shared" si="0"/>
        <v>63</v>
      </c>
      <c r="F21" s="259">
        <f t="shared" si="1"/>
        <v>0.36627906976744184</v>
      </c>
    </row>
    <row r="22" spans="1:6" ht="20.25" customHeight="1" x14ac:dyDescent="0.3">
      <c r="A22" s="256">
        <v>9</v>
      </c>
      <c r="B22" s="257" t="s">
        <v>447</v>
      </c>
      <c r="C22" s="260">
        <v>45</v>
      </c>
      <c r="D22" s="260">
        <v>135</v>
      </c>
      <c r="E22" s="260">
        <f t="shared" si="0"/>
        <v>90</v>
      </c>
      <c r="F22" s="259">
        <f t="shared" si="1"/>
        <v>2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12245566</v>
      </c>
      <c r="D23" s="263">
        <f>+D14+D16</f>
        <v>14153051</v>
      </c>
      <c r="E23" s="263">
        <f t="shared" si="0"/>
        <v>1907485</v>
      </c>
      <c r="F23" s="264">
        <f t="shared" si="1"/>
        <v>0.15576944340506596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5029954</v>
      </c>
      <c r="D24" s="263">
        <f>+D15+D17</f>
        <v>5008725</v>
      </c>
      <c r="E24" s="263">
        <f t="shared" si="0"/>
        <v>-21229</v>
      </c>
      <c r="F24" s="264">
        <f t="shared" si="1"/>
        <v>-4.2205157343387237E-3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39891921</v>
      </c>
      <c r="D40" s="258">
        <v>54918959</v>
      </c>
      <c r="E40" s="258">
        <f t="shared" ref="E40:E50" si="4">D40-C40</f>
        <v>15027038</v>
      </c>
      <c r="F40" s="259">
        <f t="shared" ref="F40:F50" si="5">IF(C40=0,0,E40/C40)</f>
        <v>0.37669376714147207</v>
      </c>
    </row>
    <row r="41" spans="1:6" ht="20.25" customHeight="1" x14ac:dyDescent="0.3">
      <c r="A41" s="256">
        <v>2</v>
      </c>
      <c r="B41" s="257" t="s">
        <v>442</v>
      </c>
      <c r="C41" s="258">
        <v>14954007</v>
      </c>
      <c r="D41" s="258">
        <v>19553974</v>
      </c>
      <c r="E41" s="258">
        <f t="shared" si="4"/>
        <v>4599967</v>
      </c>
      <c r="F41" s="259">
        <f t="shared" si="5"/>
        <v>0.30760765325307121</v>
      </c>
    </row>
    <row r="42" spans="1:6" ht="20.25" customHeight="1" x14ac:dyDescent="0.3">
      <c r="A42" s="256">
        <v>3</v>
      </c>
      <c r="B42" s="257" t="s">
        <v>443</v>
      </c>
      <c r="C42" s="258">
        <v>19961645</v>
      </c>
      <c r="D42" s="258">
        <v>23899562</v>
      </c>
      <c r="E42" s="258">
        <f t="shared" si="4"/>
        <v>3937917</v>
      </c>
      <c r="F42" s="259">
        <f t="shared" si="5"/>
        <v>0.19727417254439703</v>
      </c>
    </row>
    <row r="43" spans="1:6" ht="20.25" customHeight="1" x14ac:dyDescent="0.3">
      <c r="A43" s="256">
        <v>4</v>
      </c>
      <c r="B43" s="257" t="s">
        <v>444</v>
      </c>
      <c r="C43" s="258">
        <v>5844437</v>
      </c>
      <c r="D43" s="258">
        <v>6977780</v>
      </c>
      <c r="E43" s="258">
        <f t="shared" si="4"/>
        <v>1133343</v>
      </c>
      <c r="F43" s="259">
        <f t="shared" si="5"/>
        <v>0.19391825080841832</v>
      </c>
    </row>
    <row r="44" spans="1:6" ht="20.25" customHeight="1" x14ac:dyDescent="0.3">
      <c r="A44" s="256">
        <v>5</v>
      </c>
      <c r="B44" s="257" t="s">
        <v>381</v>
      </c>
      <c r="C44" s="260">
        <v>846</v>
      </c>
      <c r="D44" s="260">
        <v>1078</v>
      </c>
      <c r="E44" s="260">
        <f t="shared" si="4"/>
        <v>232</v>
      </c>
      <c r="F44" s="259">
        <f t="shared" si="5"/>
        <v>0.27423167848699764</v>
      </c>
    </row>
    <row r="45" spans="1:6" ht="20.25" customHeight="1" x14ac:dyDescent="0.3">
      <c r="A45" s="256">
        <v>6</v>
      </c>
      <c r="B45" s="257" t="s">
        <v>380</v>
      </c>
      <c r="C45" s="260">
        <v>4892</v>
      </c>
      <c r="D45" s="260">
        <v>6654</v>
      </c>
      <c r="E45" s="260">
        <f t="shared" si="4"/>
        <v>1762</v>
      </c>
      <c r="F45" s="259">
        <f t="shared" si="5"/>
        <v>0.36017988552739166</v>
      </c>
    </row>
    <row r="46" spans="1:6" ht="20.25" customHeight="1" x14ac:dyDescent="0.3">
      <c r="A46" s="256">
        <v>7</v>
      </c>
      <c r="B46" s="257" t="s">
        <v>445</v>
      </c>
      <c r="C46" s="260">
        <v>4533</v>
      </c>
      <c r="D46" s="260">
        <v>4320</v>
      </c>
      <c r="E46" s="260">
        <f t="shared" si="4"/>
        <v>-213</v>
      </c>
      <c r="F46" s="259">
        <f t="shared" si="5"/>
        <v>-4.6988749172733289E-2</v>
      </c>
    </row>
    <row r="47" spans="1:6" ht="20.25" customHeight="1" x14ac:dyDescent="0.3">
      <c r="A47" s="256">
        <v>8</v>
      </c>
      <c r="B47" s="257" t="s">
        <v>446</v>
      </c>
      <c r="C47" s="260">
        <v>913</v>
      </c>
      <c r="D47" s="260">
        <v>566</v>
      </c>
      <c r="E47" s="260">
        <f t="shared" si="4"/>
        <v>-347</v>
      </c>
      <c r="F47" s="259">
        <f t="shared" si="5"/>
        <v>-0.38006571741511502</v>
      </c>
    </row>
    <row r="48" spans="1:6" ht="20.25" customHeight="1" x14ac:dyDescent="0.3">
      <c r="A48" s="256">
        <v>9</v>
      </c>
      <c r="B48" s="257" t="s">
        <v>447</v>
      </c>
      <c r="C48" s="260">
        <v>237</v>
      </c>
      <c r="D48" s="260">
        <v>605</v>
      </c>
      <c r="E48" s="260">
        <f t="shared" si="4"/>
        <v>368</v>
      </c>
      <c r="F48" s="259">
        <f t="shared" si="5"/>
        <v>1.5527426160337552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59853566</v>
      </c>
      <c r="D49" s="263">
        <f>+D40+D42</f>
        <v>78818521</v>
      </c>
      <c r="E49" s="263">
        <f t="shared" si="4"/>
        <v>18964955</v>
      </c>
      <c r="F49" s="264">
        <f t="shared" si="5"/>
        <v>0.31685589125967867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20798444</v>
      </c>
      <c r="D50" s="263">
        <f>+D41+D43</f>
        <v>26531754</v>
      </c>
      <c r="E50" s="263">
        <f t="shared" si="4"/>
        <v>5733310</v>
      </c>
      <c r="F50" s="264">
        <f t="shared" si="5"/>
        <v>0.27566052537391739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11444647</v>
      </c>
      <c r="D66" s="258">
        <v>4369668</v>
      </c>
      <c r="E66" s="258">
        <f t="shared" ref="E66:E76" si="8">D66-C66</f>
        <v>-7074979</v>
      </c>
      <c r="F66" s="259">
        <f t="shared" ref="F66:F76" si="9">IF(C66=0,0,E66/C66)</f>
        <v>-0.61819110716127812</v>
      </c>
    </row>
    <row r="67" spans="1:6" ht="20.25" customHeight="1" x14ac:dyDescent="0.3">
      <c r="A67" s="256">
        <v>2</v>
      </c>
      <c r="B67" s="257" t="s">
        <v>442</v>
      </c>
      <c r="C67" s="258">
        <v>4890133</v>
      </c>
      <c r="D67" s="258">
        <v>1494147</v>
      </c>
      <c r="E67" s="258">
        <f t="shared" si="8"/>
        <v>-3395986</v>
      </c>
      <c r="F67" s="259">
        <f t="shared" si="9"/>
        <v>-0.69445677653348081</v>
      </c>
    </row>
    <row r="68" spans="1:6" ht="20.25" customHeight="1" x14ac:dyDescent="0.3">
      <c r="A68" s="256">
        <v>3</v>
      </c>
      <c r="B68" s="257" t="s">
        <v>443</v>
      </c>
      <c r="C68" s="258">
        <v>5069540</v>
      </c>
      <c r="D68" s="258">
        <v>986782</v>
      </c>
      <c r="E68" s="258">
        <f t="shared" si="8"/>
        <v>-4082758</v>
      </c>
      <c r="F68" s="259">
        <f t="shared" si="9"/>
        <v>-0.80535078133321758</v>
      </c>
    </row>
    <row r="69" spans="1:6" ht="20.25" customHeight="1" x14ac:dyDescent="0.3">
      <c r="A69" s="256">
        <v>4</v>
      </c>
      <c r="B69" s="257" t="s">
        <v>444</v>
      </c>
      <c r="C69" s="258">
        <v>1023035</v>
      </c>
      <c r="D69" s="258">
        <v>240989</v>
      </c>
      <c r="E69" s="258">
        <f t="shared" si="8"/>
        <v>-782046</v>
      </c>
      <c r="F69" s="259">
        <f t="shared" si="9"/>
        <v>-0.76443718934347304</v>
      </c>
    </row>
    <row r="70" spans="1:6" ht="20.25" customHeight="1" x14ac:dyDescent="0.3">
      <c r="A70" s="256">
        <v>5</v>
      </c>
      <c r="B70" s="257" t="s">
        <v>381</v>
      </c>
      <c r="C70" s="260">
        <v>262</v>
      </c>
      <c r="D70" s="260">
        <v>85</v>
      </c>
      <c r="E70" s="260">
        <f t="shared" si="8"/>
        <v>-177</v>
      </c>
      <c r="F70" s="259">
        <f t="shared" si="9"/>
        <v>-0.67557251908396942</v>
      </c>
    </row>
    <row r="71" spans="1:6" ht="20.25" customHeight="1" x14ac:dyDescent="0.3">
      <c r="A71" s="256">
        <v>6</v>
      </c>
      <c r="B71" s="257" t="s">
        <v>380</v>
      </c>
      <c r="C71" s="260">
        <v>2231</v>
      </c>
      <c r="D71" s="260">
        <v>452</v>
      </c>
      <c r="E71" s="260">
        <f t="shared" si="8"/>
        <v>-1779</v>
      </c>
      <c r="F71" s="259">
        <f t="shared" si="9"/>
        <v>-0.79740026893769611</v>
      </c>
    </row>
    <row r="72" spans="1:6" ht="20.25" customHeight="1" x14ac:dyDescent="0.3">
      <c r="A72" s="256">
        <v>7</v>
      </c>
      <c r="B72" s="257" t="s">
        <v>445</v>
      </c>
      <c r="C72" s="260">
        <v>1471</v>
      </c>
      <c r="D72" s="260">
        <v>96</v>
      </c>
      <c r="E72" s="260">
        <f t="shared" si="8"/>
        <v>-1375</v>
      </c>
      <c r="F72" s="259">
        <f t="shared" si="9"/>
        <v>-0.93473827328348058</v>
      </c>
    </row>
    <row r="73" spans="1:6" ht="20.25" customHeight="1" x14ac:dyDescent="0.3">
      <c r="A73" s="256">
        <v>8</v>
      </c>
      <c r="B73" s="257" t="s">
        <v>446</v>
      </c>
      <c r="C73" s="260">
        <v>296</v>
      </c>
      <c r="D73" s="260">
        <v>121</v>
      </c>
      <c r="E73" s="260">
        <f t="shared" si="8"/>
        <v>-175</v>
      </c>
      <c r="F73" s="259">
        <f t="shared" si="9"/>
        <v>-0.59121621621621623</v>
      </c>
    </row>
    <row r="74" spans="1:6" ht="20.25" customHeight="1" x14ac:dyDescent="0.3">
      <c r="A74" s="256">
        <v>9</v>
      </c>
      <c r="B74" s="257" t="s">
        <v>447</v>
      </c>
      <c r="C74" s="260">
        <v>77</v>
      </c>
      <c r="D74" s="260">
        <v>68</v>
      </c>
      <c r="E74" s="260">
        <f t="shared" si="8"/>
        <v>-9</v>
      </c>
      <c r="F74" s="259">
        <f t="shared" si="9"/>
        <v>-0.11688311688311688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16514187</v>
      </c>
      <c r="D75" s="263">
        <f>+D66+D68</f>
        <v>5356450</v>
      </c>
      <c r="E75" s="263">
        <f t="shared" si="8"/>
        <v>-11157737</v>
      </c>
      <c r="F75" s="264">
        <f t="shared" si="9"/>
        <v>-0.67564555251796532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5913168</v>
      </c>
      <c r="D76" s="263">
        <f>+D67+D69</f>
        <v>1735136</v>
      </c>
      <c r="E76" s="263">
        <f t="shared" si="8"/>
        <v>-4178032</v>
      </c>
      <c r="F76" s="264">
        <f t="shared" si="9"/>
        <v>-0.70656406176858155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52591257</v>
      </c>
      <c r="D92" s="258">
        <v>60831339</v>
      </c>
      <c r="E92" s="258">
        <f t="shared" ref="E92:E102" si="12">D92-C92</f>
        <v>8240082</v>
      </c>
      <c r="F92" s="259">
        <f t="shared" ref="F92:F102" si="13">IF(C92=0,0,E92/C92)</f>
        <v>0.1566815944330823</v>
      </c>
    </row>
    <row r="93" spans="1:6" ht="20.25" customHeight="1" x14ac:dyDescent="0.3">
      <c r="A93" s="256">
        <v>2</v>
      </c>
      <c r="B93" s="257" t="s">
        <v>442</v>
      </c>
      <c r="C93" s="258">
        <v>20070936</v>
      </c>
      <c r="D93" s="258">
        <v>20657804</v>
      </c>
      <c r="E93" s="258">
        <f t="shared" si="12"/>
        <v>586868</v>
      </c>
      <c r="F93" s="259">
        <f t="shared" si="13"/>
        <v>2.9239692658080321E-2</v>
      </c>
    </row>
    <row r="94" spans="1:6" ht="20.25" customHeight="1" x14ac:dyDescent="0.3">
      <c r="A94" s="256">
        <v>3</v>
      </c>
      <c r="B94" s="257" t="s">
        <v>443</v>
      </c>
      <c r="C94" s="258">
        <v>21596583</v>
      </c>
      <c r="D94" s="258">
        <v>22131662</v>
      </c>
      <c r="E94" s="258">
        <f t="shared" si="12"/>
        <v>535079</v>
      </c>
      <c r="F94" s="259">
        <f t="shared" si="13"/>
        <v>2.4776095366567944E-2</v>
      </c>
    </row>
    <row r="95" spans="1:6" ht="20.25" customHeight="1" x14ac:dyDescent="0.3">
      <c r="A95" s="256">
        <v>4</v>
      </c>
      <c r="B95" s="257" t="s">
        <v>444</v>
      </c>
      <c r="C95" s="258">
        <v>6622703</v>
      </c>
      <c r="D95" s="258">
        <v>6962697</v>
      </c>
      <c r="E95" s="258">
        <f t="shared" si="12"/>
        <v>339994</v>
      </c>
      <c r="F95" s="259">
        <f t="shared" si="13"/>
        <v>5.13376486911764E-2</v>
      </c>
    </row>
    <row r="96" spans="1:6" ht="20.25" customHeight="1" x14ac:dyDescent="0.3">
      <c r="A96" s="256">
        <v>5</v>
      </c>
      <c r="B96" s="257" t="s">
        <v>381</v>
      </c>
      <c r="C96" s="260">
        <v>1124</v>
      </c>
      <c r="D96" s="260">
        <v>1220</v>
      </c>
      <c r="E96" s="260">
        <f t="shared" si="12"/>
        <v>96</v>
      </c>
      <c r="F96" s="259">
        <f t="shared" si="13"/>
        <v>8.5409252669039148E-2</v>
      </c>
    </row>
    <row r="97" spans="1:6" ht="20.25" customHeight="1" x14ac:dyDescent="0.3">
      <c r="A97" s="256">
        <v>6</v>
      </c>
      <c r="B97" s="257" t="s">
        <v>380</v>
      </c>
      <c r="C97" s="260">
        <v>7480</v>
      </c>
      <c r="D97" s="260">
        <v>8127</v>
      </c>
      <c r="E97" s="260">
        <f t="shared" si="12"/>
        <v>647</v>
      </c>
      <c r="F97" s="259">
        <f t="shared" si="13"/>
        <v>8.649732620320856E-2</v>
      </c>
    </row>
    <row r="98" spans="1:6" ht="20.25" customHeight="1" x14ac:dyDescent="0.3">
      <c r="A98" s="256">
        <v>7</v>
      </c>
      <c r="B98" s="257" t="s">
        <v>445</v>
      </c>
      <c r="C98" s="260">
        <v>5945</v>
      </c>
      <c r="D98" s="260">
        <v>3978</v>
      </c>
      <c r="E98" s="260">
        <f t="shared" si="12"/>
        <v>-1967</v>
      </c>
      <c r="F98" s="259">
        <f t="shared" si="13"/>
        <v>-0.33086627417998316</v>
      </c>
    </row>
    <row r="99" spans="1:6" ht="20.25" customHeight="1" x14ac:dyDescent="0.3">
      <c r="A99" s="256">
        <v>8</v>
      </c>
      <c r="B99" s="257" t="s">
        <v>446</v>
      </c>
      <c r="C99" s="260">
        <v>1198</v>
      </c>
      <c r="D99" s="260">
        <v>1247</v>
      </c>
      <c r="E99" s="260">
        <f t="shared" si="12"/>
        <v>49</v>
      </c>
      <c r="F99" s="259">
        <f t="shared" si="13"/>
        <v>4.0901502504173626E-2</v>
      </c>
    </row>
    <row r="100" spans="1:6" ht="20.25" customHeight="1" x14ac:dyDescent="0.3">
      <c r="A100" s="256">
        <v>9</v>
      </c>
      <c r="B100" s="257" t="s">
        <v>447</v>
      </c>
      <c r="C100" s="260">
        <v>311</v>
      </c>
      <c r="D100" s="260">
        <v>859</v>
      </c>
      <c r="E100" s="260">
        <f t="shared" si="12"/>
        <v>548</v>
      </c>
      <c r="F100" s="259">
        <f t="shared" si="13"/>
        <v>1.7620578778135048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74187840</v>
      </c>
      <c r="D101" s="263">
        <f>+D92+D94</f>
        <v>82963001</v>
      </c>
      <c r="E101" s="263">
        <f t="shared" si="12"/>
        <v>8775161</v>
      </c>
      <c r="F101" s="264">
        <f t="shared" si="13"/>
        <v>0.11828300972234802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26693639</v>
      </c>
      <c r="D102" s="263">
        <f>+D93+D95</f>
        <v>27620501</v>
      </c>
      <c r="E102" s="263">
        <f t="shared" si="12"/>
        <v>926862</v>
      </c>
      <c r="F102" s="264">
        <f t="shared" si="13"/>
        <v>3.4722204791935635E-2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0</v>
      </c>
      <c r="D105" s="258">
        <v>13182760</v>
      </c>
      <c r="E105" s="258">
        <f t="shared" ref="E105:E115" si="14">D105-C105</f>
        <v>13182760</v>
      </c>
      <c r="F105" s="259">
        <f t="shared" ref="F105:F115" si="15">IF(C105=0,0,E105/C105)</f>
        <v>0</v>
      </c>
    </row>
    <row r="106" spans="1:6" ht="20.25" customHeight="1" x14ac:dyDescent="0.3">
      <c r="A106" s="256">
        <v>2</v>
      </c>
      <c r="B106" s="257" t="s">
        <v>442</v>
      </c>
      <c r="C106" s="258">
        <v>0</v>
      </c>
      <c r="D106" s="258">
        <v>4590213</v>
      </c>
      <c r="E106" s="258">
        <f t="shared" si="14"/>
        <v>4590213</v>
      </c>
      <c r="F106" s="259">
        <f t="shared" si="15"/>
        <v>0</v>
      </c>
    </row>
    <row r="107" spans="1:6" ht="20.25" customHeight="1" x14ac:dyDescent="0.3">
      <c r="A107" s="256">
        <v>3</v>
      </c>
      <c r="B107" s="257" t="s">
        <v>443</v>
      </c>
      <c r="C107" s="258">
        <v>0</v>
      </c>
      <c r="D107" s="258">
        <v>5936479</v>
      </c>
      <c r="E107" s="258">
        <f t="shared" si="14"/>
        <v>5936479</v>
      </c>
      <c r="F107" s="259">
        <f t="shared" si="15"/>
        <v>0</v>
      </c>
    </row>
    <row r="108" spans="1:6" ht="20.25" customHeight="1" x14ac:dyDescent="0.3">
      <c r="A108" s="256">
        <v>4</v>
      </c>
      <c r="B108" s="257" t="s">
        <v>444</v>
      </c>
      <c r="C108" s="258">
        <v>0</v>
      </c>
      <c r="D108" s="258">
        <v>1566746</v>
      </c>
      <c r="E108" s="258">
        <f t="shared" si="14"/>
        <v>1566746</v>
      </c>
      <c r="F108" s="259">
        <f t="shared" si="15"/>
        <v>0</v>
      </c>
    </row>
    <row r="109" spans="1:6" ht="20.25" customHeight="1" x14ac:dyDescent="0.3">
      <c r="A109" s="256">
        <v>5</v>
      </c>
      <c r="B109" s="257" t="s">
        <v>381</v>
      </c>
      <c r="C109" s="260">
        <v>0</v>
      </c>
      <c r="D109" s="260">
        <v>349</v>
      </c>
      <c r="E109" s="260">
        <f t="shared" si="14"/>
        <v>349</v>
      </c>
      <c r="F109" s="259">
        <f t="shared" si="15"/>
        <v>0</v>
      </c>
    </row>
    <row r="110" spans="1:6" ht="20.25" customHeight="1" x14ac:dyDescent="0.3">
      <c r="A110" s="256">
        <v>6</v>
      </c>
      <c r="B110" s="257" t="s">
        <v>380</v>
      </c>
      <c r="C110" s="260">
        <v>0</v>
      </c>
      <c r="D110" s="260">
        <v>1959</v>
      </c>
      <c r="E110" s="260">
        <f t="shared" si="14"/>
        <v>1959</v>
      </c>
      <c r="F110" s="259">
        <f t="shared" si="15"/>
        <v>0</v>
      </c>
    </row>
    <row r="111" spans="1:6" ht="20.25" customHeight="1" x14ac:dyDescent="0.3">
      <c r="A111" s="256">
        <v>7</v>
      </c>
      <c r="B111" s="257" t="s">
        <v>445</v>
      </c>
      <c r="C111" s="260">
        <v>0</v>
      </c>
      <c r="D111" s="260">
        <v>1159</v>
      </c>
      <c r="E111" s="260">
        <f t="shared" si="14"/>
        <v>1159</v>
      </c>
      <c r="F111" s="259">
        <f t="shared" si="15"/>
        <v>0</v>
      </c>
    </row>
    <row r="112" spans="1:6" ht="20.25" customHeight="1" x14ac:dyDescent="0.3">
      <c r="A112" s="256">
        <v>8</v>
      </c>
      <c r="B112" s="257" t="s">
        <v>446</v>
      </c>
      <c r="C112" s="260">
        <v>0</v>
      </c>
      <c r="D112" s="260">
        <v>721</v>
      </c>
      <c r="E112" s="260">
        <f t="shared" si="14"/>
        <v>721</v>
      </c>
      <c r="F112" s="259">
        <f t="shared" si="15"/>
        <v>0</v>
      </c>
    </row>
    <row r="113" spans="1:6" ht="20.25" customHeight="1" x14ac:dyDescent="0.3">
      <c r="A113" s="256">
        <v>9</v>
      </c>
      <c r="B113" s="257" t="s">
        <v>447</v>
      </c>
      <c r="C113" s="260">
        <v>0</v>
      </c>
      <c r="D113" s="260">
        <v>273</v>
      </c>
      <c r="E113" s="260">
        <f t="shared" si="14"/>
        <v>273</v>
      </c>
      <c r="F113" s="259">
        <f t="shared" si="15"/>
        <v>0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0</v>
      </c>
      <c r="D114" s="263">
        <f>+D105+D107</f>
        <v>19119239</v>
      </c>
      <c r="E114" s="263">
        <f t="shared" si="14"/>
        <v>19119239</v>
      </c>
      <c r="F114" s="264">
        <f t="shared" si="15"/>
        <v>0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0</v>
      </c>
      <c r="D115" s="263">
        <f>+D106+D108</f>
        <v>6156959</v>
      </c>
      <c r="E115" s="263">
        <f t="shared" si="14"/>
        <v>6156959</v>
      </c>
      <c r="F115" s="264">
        <f t="shared" si="15"/>
        <v>0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16441507</v>
      </c>
      <c r="D118" s="258">
        <v>24091661</v>
      </c>
      <c r="E118" s="258">
        <f t="shared" ref="E118:E128" si="16">D118-C118</f>
        <v>7650154</v>
      </c>
      <c r="F118" s="259">
        <f t="shared" ref="F118:F128" si="17">IF(C118=0,0,E118/C118)</f>
        <v>0.46529518249148327</v>
      </c>
    </row>
    <row r="119" spans="1:6" ht="20.25" customHeight="1" x14ac:dyDescent="0.3">
      <c r="A119" s="256">
        <v>2</v>
      </c>
      <c r="B119" s="257" t="s">
        <v>442</v>
      </c>
      <c r="C119" s="258">
        <v>4150490</v>
      </c>
      <c r="D119" s="258">
        <v>8708560</v>
      </c>
      <c r="E119" s="258">
        <f t="shared" si="16"/>
        <v>4558070</v>
      </c>
      <c r="F119" s="259">
        <f t="shared" si="17"/>
        <v>1.0982004534404373</v>
      </c>
    </row>
    <row r="120" spans="1:6" ht="20.25" customHeight="1" x14ac:dyDescent="0.3">
      <c r="A120" s="256">
        <v>3</v>
      </c>
      <c r="B120" s="257" t="s">
        <v>443</v>
      </c>
      <c r="C120" s="258">
        <v>7162710</v>
      </c>
      <c r="D120" s="258">
        <v>11330521</v>
      </c>
      <c r="E120" s="258">
        <f t="shared" si="16"/>
        <v>4167811</v>
      </c>
      <c r="F120" s="259">
        <f t="shared" si="17"/>
        <v>0.58187627308658318</v>
      </c>
    </row>
    <row r="121" spans="1:6" ht="20.25" customHeight="1" x14ac:dyDescent="0.3">
      <c r="A121" s="256">
        <v>4</v>
      </c>
      <c r="B121" s="257" t="s">
        <v>444</v>
      </c>
      <c r="C121" s="258">
        <v>2076034</v>
      </c>
      <c r="D121" s="258">
        <v>3086604</v>
      </c>
      <c r="E121" s="258">
        <f t="shared" si="16"/>
        <v>1010570</v>
      </c>
      <c r="F121" s="259">
        <f t="shared" si="17"/>
        <v>0.48677911826106895</v>
      </c>
    </row>
    <row r="122" spans="1:6" ht="20.25" customHeight="1" x14ac:dyDescent="0.3">
      <c r="A122" s="256">
        <v>5</v>
      </c>
      <c r="B122" s="257" t="s">
        <v>381</v>
      </c>
      <c r="C122" s="260">
        <v>401</v>
      </c>
      <c r="D122" s="260">
        <v>483</v>
      </c>
      <c r="E122" s="260">
        <f t="shared" si="16"/>
        <v>82</v>
      </c>
      <c r="F122" s="259">
        <f t="shared" si="17"/>
        <v>0.20448877805486285</v>
      </c>
    </row>
    <row r="123" spans="1:6" ht="20.25" customHeight="1" x14ac:dyDescent="0.3">
      <c r="A123" s="256">
        <v>6</v>
      </c>
      <c r="B123" s="257" t="s">
        <v>380</v>
      </c>
      <c r="C123" s="260">
        <v>2321</v>
      </c>
      <c r="D123" s="260">
        <v>3305</v>
      </c>
      <c r="E123" s="260">
        <f t="shared" si="16"/>
        <v>984</v>
      </c>
      <c r="F123" s="259">
        <f t="shared" si="17"/>
        <v>0.42395519172770357</v>
      </c>
    </row>
    <row r="124" spans="1:6" ht="20.25" customHeight="1" x14ac:dyDescent="0.3">
      <c r="A124" s="256">
        <v>7</v>
      </c>
      <c r="B124" s="257" t="s">
        <v>445</v>
      </c>
      <c r="C124" s="260">
        <v>1740</v>
      </c>
      <c r="D124" s="260">
        <v>1774</v>
      </c>
      <c r="E124" s="260">
        <f t="shared" si="16"/>
        <v>34</v>
      </c>
      <c r="F124" s="259">
        <f t="shared" si="17"/>
        <v>1.9540229885057471E-2</v>
      </c>
    </row>
    <row r="125" spans="1:6" ht="20.25" customHeight="1" x14ac:dyDescent="0.3">
      <c r="A125" s="256">
        <v>8</v>
      </c>
      <c r="B125" s="257" t="s">
        <v>446</v>
      </c>
      <c r="C125" s="260">
        <v>351</v>
      </c>
      <c r="D125" s="260">
        <v>397</v>
      </c>
      <c r="E125" s="260">
        <f t="shared" si="16"/>
        <v>46</v>
      </c>
      <c r="F125" s="259">
        <f t="shared" si="17"/>
        <v>0.13105413105413105</v>
      </c>
    </row>
    <row r="126" spans="1:6" ht="20.25" customHeight="1" x14ac:dyDescent="0.3">
      <c r="A126" s="256">
        <v>9</v>
      </c>
      <c r="B126" s="257" t="s">
        <v>447</v>
      </c>
      <c r="C126" s="260">
        <v>91</v>
      </c>
      <c r="D126" s="260">
        <v>339</v>
      </c>
      <c r="E126" s="260">
        <f t="shared" si="16"/>
        <v>248</v>
      </c>
      <c r="F126" s="259">
        <f t="shared" si="17"/>
        <v>2.7252747252747254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23604217</v>
      </c>
      <c r="D127" s="263">
        <f>+D118+D120</f>
        <v>35422182</v>
      </c>
      <c r="E127" s="263">
        <f t="shared" si="16"/>
        <v>11817965</v>
      </c>
      <c r="F127" s="264">
        <f t="shared" si="17"/>
        <v>0.50067176555782389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6226524</v>
      </c>
      <c r="D128" s="263">
        <f>+D119+D121</f>
        <v>11795164</v>
      </c>
      <c r="E128" s="263">
        <f t="shared" si="16"/>
        <v>5568640</v>
      </c>
      <c r="F128" s="264">
        <f t="shared" si="17"/>
        <v>0.89434169048412882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0</v>
      </c>
      <c r="D131" s="258">
        <v>0</v>
      </c>
      <c r="E131" s="258">
        <f t="shared" ref="E131:E141" si="18">D131-C131</f>
        <v>0</v>
      </c>
      <c r="F131" s="259">
        <f t="shared" ref="F131:F141" si="19">IF(C131=0,0,E131/C131)</f>
        <v>0</v>
      </c>
    </row>
    <row r="132" spans="1:6" ht="20.25" customHeight="1" x14ac:dyDescent="0.3">
      <c r="A132" s="256">
        <v>2</v>
      </c>
      <c r="B132" s="257" t="s">
        <v>442</v>
      </c>
      <c r="C132" s="258">
        <v>0</v>
      </c>
      <c r="D132" s="258">
        <v>0</v>
      </c>
      <c r="E132" s="258">
        <f t="shared" si="18"/>
        <v>0</v>
      </c>
      <c r="F132" s="259">
        <f t="shared" si="19"/>
        <v>0</v>
      </c>
    </row>
    <row r="133" spans="1:6" ht="20.25" customHeight="1" x14ac:dyDescent="0.3">
      <c r="A133" s="256">
        <v>3</v>
      </c>
      <c r="B133" s="257" t="s">
        <v>443</v>
      </c>
      <c r="C133" s="258">
        <v>0</v>
      </c>
      <c r="D133" s="258">
        <v>0</v>
      </c>
      <c r="E133" s="258">
        <f t="shared" si="18"/>
        <v>0</v>
      </c>
      <c r="F133" s="259">
        <f t="shared" si="19"/>
        <v>0</v>
      </c>
    </row>
    <row r="134" spans="1:6" ht="20.25" customHeight="1" x14ac:dyDescent="0.3">
      <c r="A134" s="256">
        <v>4</v>
      </c>
      <c r="B134" s="257" t="s">
        <v>444</v>
      </c>
      <c r="C134" s="258">
        <v>0</v>
      </c>
      <c r="D134" s="258">
        <v>0</v>
      </c>
      <c r="E134" s="258">
        <f t="shared" si="18"/>
        <v>0</v>
      </c>
      <c r="F134" s="259">
        <f t="shared" si="19"/>
        <v>0</v>
      </c>
    </row>
    <row r="135" spans="1:6" ht="20.25" customHeight="1" x14ac:dyDescent="0.3">
      <c r="A135" s="256">
        <v>5</v>
      </c>
      <c r="B135" s="257" t="s">
        <v>381</v>
      </c>
      <c r="C135" s="260">
        <v>0</v>
      </c>
      <c r="D135" s="260">
        <v>0</v>
      </c>
      <c r="E135" s="260">
        <f t="shared" si="18"/>
        <v>0</v>
      </c>
      <c r="F135" s="259">
        <f t="shared" si="19"/>
        <v>0</v>
      </c>
    </row>
    <row r="136" spans="1:6" ht="20.25" customHeight="1" x14ac:dyDescent="0.3">
      <c r="A136" s="256">
        <v>6</v>
      </c>
      <c r="B136" s="257" t="s">
        <v>380</v>
      </c>
      <c r="C136" s="260">
        <v>0</v>
      </c>
      <c r="D136" s="260">
        <v>0</v>
      </c>
      <c r="E136" s="260">
        <f t="shared" si="18"/>
        <v>0</v>
      </c>
      <c r="F136" s="259">
        <f t="shared" si="19"/>
        <v>0</v>
      </c>
    </row>
    <row r="137" spans="1:6" ht="20.25" customHeight="1" x14ac:dyDescent="0.3">
      <c r="A137" s="256">
        <v>7</v>
      </c>
      <c r="B137" s="257" t="s">
        <v>445</v>
      </c>
      <c r="C137" s="260">
        <v>0</v>
      </c>
      <c r="D137" s="260">
        <v>0</v>
      </c>
      <c r="E137" s="260">
        <f t="shared" si="18"/>
        <v>0</v>
      </c>
      <c r="F137" s="259">
        <f t="shared" si="19"/>
        <v>0</v>
      </c>
    </row>
    <row r="138" spans="1:6" ht="20.25" customHeight="1" x14ac:dyDescent="0.3">
      <c r="A138" s="256">
        <v>8</v>
      </c>
      <c r="B138" s="257" t="s">
        <v>446</v>
      </c>
      <c r="C138" s="260">
        <v>0</v>
      </c>
      <c r="D138" s="260">
        <v>0</v>
      </c>
      <c r="E138" s="260">
        <f t="shared" si="18"/>
        <v>0</v>
      </c>
      <c r="F138" s="259">
        <f t="shared" si="19"/>
        <v>0</v>
      </c>
    </row>
    <row r="139" spans="1:6" ht="20.25" customHeight="1" x14ac:dyDescent="0.3">
      <c r="A139" s="256">
        <v>9</v>
      </c>
      <c r="B139" s="257" t="s">
        <v>447</v>
      </c>
      <c r="C139" s="260">
        <v>0</v>
      </c>
      <c r="D139" s="260">
        <v>0</v>
      </c>
      <c r="E139" s="260">
        <f t="shared" si="18"/>
        <v>0</v>
      </c>
      <c r="F139" s="259">
        <f t="shared" si="19"/>
        <v>0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0</v>
      </c>
      <c r="D140" s="263">
        <f>+D131+D133</f>
        <v>0</v>
      </c>
      <c r="E140" s="263">
        <f t="shared" si="18"/>
        <v>0</v>
      </c>
      <c r="F140" s="264">
        <f t="shared" si="19"/>
        <v>0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0</v>
      </c>
      <c r="D141" s="263">
        <f>+D132+D134</f>
        <v>0</v>
      </c>
      <c r="E141" s="263">
        <f t="shared" si="18"/>
        <v>0</v>
      </c>
      <c r="F141" s="264">
        <f t="shared" si="19"/>
        <v>0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0</v>
      </c>
      <c r="D144" s="258">
        <v>0</v>
      </c>
      <c r="E144" s="258">
        <f t="shared" ref="E144:E154" si="20">D144-C144</f>
        <v>0</v>
      </c>
      <c r="F144" s="259">
        <f t="shared" ref="F144:F154" si="21">IF(C144=0,0,E144/C144)</f>
        <v>0</v>
      </c>
    </row>
    <row r="145" spans="1:6" ht="20.25" customHeight="1" x14ac:dyDescent="0.3">
      <c r="A145" s="256">
        <v>2</v>
      </c>
      <c r="B145" s="257" t="s">
        <v>442</v>
      </c>
      <c r="C145" s="258">
        <v>0</v>
      </c>
      <c r="D145" s="258">
        <v>0</v>
      </c>
      <c r="E145" s="258">
        <f t="shared" si="20"/>
        <v>0</v>
      </c>
      <c r="F145" s="259">
        <f t="shared" si="21"/>
        <v>0</v>
      </c>
    </row>
    <row r="146" spans="1:6" ht="20.25" customHeight="1" x14ac:dyDescent="0.3">
      <c r="A146" s="256">
        <v>3</v>
      </c>
      <c r="B146" s="257" t="s">
        <v>443</v>
      </c>
      <c r="C146" s="258">
        <v>0</v>
      </c>
      <c r="D146" s="258">
        <v>0</v>
      </c>
      <c r="E146" s="258">
        <f t="shared" si="20"/>
        <v>0</v>
      </c>
      <c r="F146" s="259">
        <f t="shared" si="21"/>
        <v>0</v>
      </c>
    </row>
    <row r="147" spans="1:6" ht="20.25" customHeight="1" x14ac:dyDescent="0.3">
      <c r="A147" s="256">
        <v>4</v>
      </c>
      <c r="B147" s="257" t="s">
        <v>444</v>
      </c>
      <c r="C147" s="258">
        <v>0</v>
      </c>
      <c r="D147" s="258">
        <v>0</v>
      </c>
      <c r="E147" s="258">
        <f t="shared" si="20"/>
        <v>0</v>
      </c>
      <c r="F147" s="259">
        <f t="shared" si="21"/>
        <v>0</v>
      </c>
    </row>
    <row r="148" spans="1:6" ht="20.25" customHeight="1" x14ac:dyDescent="0.3">
      <c r="A148" s="256">
        <v>5</v>
      </c>
      <c r="B148" s="257" t="s">
        <v>381</v>
      </c>
      <c r="C148" s="260">
        <v>0</v>
      </c>
      <c r="D148" s="260">
        <v>0</v>
      </c>
      <c r="E148" s="260">
        <f t="shared" si="20"/>
        <v>0</v>
      </c>
      <c r="F148" s="259">
        <f t="shared" si="21"/>
        <v>0</v>
      </c>
    </row>
    <row r="149" spans="1:6" ht="20.25" customHeight="1" x14ac:dyDescent="0.3">
      <c r="A149" s="256">
        <v>6</v>
      </c>
      <c r="B149" s="257" t="s">
        <v>380</v>
      </c>
      <c r="C149" s="260">
        <v>0</v>
      </c>
      <c r="D149" s="260">
        <v>0</v>
      </c>
      <c r="E149" s="260">
        <f t="shared" si="20"/>
        <v>0</v>
      </c>
      <c r="F149" s="259">
        <f t="shared" si="21"/>
        <v>0</v>
      </c>
    </row>
    <row r="150" spans="1:6" ht="20.25" customHeight="1" x14ac:dyDescent="0.3">
      <c r="A150" s="256">
        <v>7</v>
      </c>
      <c r="B150" s="257" t="s">
        <v>445</v>
      </c>
      <c r="C150" s="260">
        <v>0</v>
      </c>
      <c r="D150" s="260">
        <v>0</v>
      </c>
      <c r="E150" s="260">
        <f t="shared" si="20"/>
        <v>0</v>
      </c>
      <c r="F150" s="259">
        <f t="shared" si="21"/>
        <v>0</v>
      </c>
    </row>
    <row r="151" spans="1:6" ht="20.25" customHeight="1" x14ac:dyDescent="0.3">
      <c r="A151" s="256">
        <v>8</v>
      </c>
      <c r="B151" s="257" t="s">
        <v>446</v>
      </c>
      <c r="C151" s="260">
        <v>0</v>
      </c>
      <c r="D151" s="260">
        <v>0</v>
      </c>
      <c r="E151" s="260">
        <f t="shared" si="20"/>
        <v>0</v>
      </c>
      <c r="F151" s="259">
        <f t="shared" si="21"/>
        <v>0</v>
      </c>
    </row>
    <row r="152" spans="1:6" ht="20.25" customHeight="1" x14ac:dyDescent="0.3">
      <c r="A152" s="256">
        <v>9</v>
      </c>
      <c r="B152" s="257" t="s">
        <v>447</v>
      </c>
      <c r="C152" s="260">
        <v>0</v>
      </c>
      <c r="D152" s="260">
        <v>0</v>
      </c>
      <c r="E152" s="260">
        <f t="shared" si="20"/>
        <v>0</v>
      </c>
      <c r="F152" s="259">
        <f t="shared" si="21"/>
        <v>0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0</v>
      </c>
      <c r="D153" s="263">
        <f>+D144+D146</f>
        <v>0</v>
      </c>
      <c r="E153" s="263">
        <f t="shared" si="20"/>
        <v>0</v>
      </c>
      <c r="F153" s="264">
        <f t="shared" si="21"/>
        <v>0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0</v>
      </c>
      <c r="D154" s="263">
        <f>+D145+D147</f>
        <v>0</v>
      </c>
      <c r="E154" s="263">
        <f t="shared" si="20"/>
        <v>0</v>
      </c>
      <c r="F154" s="264">
        <f t="shared" si="21"/>
        <v>0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0</v>
      </c>
      <c r="D183" s="258">
        <v>0</v>
      </c>
      <c r="E183" s="258">
        <f t="shared" ref="E183:E193" si="26">D183-C183</f>
        <v>0</v>
      </c>
      <c r="F183" s="259">
        <f t="shared" ref="F183:F193" si="27">IF(C183=0,0,E183/C183)</f>
        <v>0</v>
      </c>
    </row>
    <row r="184" spans="1:6" ht="20.25" customHeight="1" x14ac:dyDescent="0.3">
      <c r="A184" s="256">
        <v>2</v>
      </c>
      <c r="B184" s="257" t="s">
        <v>442</v>
      </c>
      <c r="C184" s="258">
        <v>0</v>
      </c>
      <c r="D184" s="258">
        <v>0</v>
      </c>
      <c r="E184" s="258">
        <f t="shared" si="26"/>
        <v>0</v>
      </c>
      <c r="F184" s="259">
        <f t="shared" si="27"/>
        <v>0</v>
      </c>
    </row>
    <row r="185" spans="1:6" ht="20.25" customHeight="1" x14ac:dyDescent="0.3">
      <c r="A185" s="256">
        <v>3</v>
      </c>
      <c r="B185" s="257" t="s">
        <v>443</v>
      </c>
      <c r="C185" s="258">
        <v>0</v>
      </c>
      <c r="D185" s="258">
        <v>0</v>
      </c>
      <c r="E185" s="258">
        <f t="shared" si="26"/>
        <v>0</v>
      </c>
      <c r="F185" s="259">
        <f t="shared" si="27"/>
        <v>0</v>
      </c>
    </row>
    <row r="186" spans="1:6" ht="20.25" customHeight="1" x14ac:dyDescent="0.3">
      <c r="A186" s="256">
        <v>4</v>
      </c>
      <c r="B186" s="257" t="s">
        <v>444</v>
      </c>
      <c r="C186" s="258">
        <v>0</v>
      </c>
      <c r="D186" s="258">
        <v>0</v>
      </c>
      <c r="E186" s="258">
        <f t="shared" si="26"/>
        <v>0</v>
      </c>
      <c r="F186" s="259">
        <f t="shared" si="27"/>
        <v>0</v>
      </c>
    </row>
    <row r="187" spans="1:6" ht="20.25" customHeight="1" x14ac:dyDescent="0.3">
      <c r="A187" s="256">
        <v>5</v>
      </c>
      <c r="B187" s="257" t="s">
        <v>381</v>
      </c>
      <c r="C187" s="260">
        <v>0</v>
      </c>
      <c r="D187" s="260">
        <v>0</v>
      </c>
      <c r="E187" s="260">
        <f t="shared" si="26"/>
        <v>0</v>
      </c>
      <c r="F187" s="259">
        <f t="shared" si="27"/>
        <v>0</v>
      </c>
    </row>
    <row r="188" spans="1:6" ht="20.25" customHeight="1" x14ac:dyDescent="0.3">
      <c r="A188" s="256">
        <v>6</v>
      </c>
      <c r="B188" s="257" t="s">
        <v>380</v>
      </c>
      <c r="C188" s="260">
        <v>0</v>
      </c>
      <c r="D188" s="260">
        <v>0</v>
      </c>
      <c r="E188" s="260">
        <f t="shared" si="26"/>
        <v>0</v>
      </c>
      <c r="F188" s="259">
        <f t="shared" si="27"/>
        <v>0</v>
      </c>
    </row>
    <row r="189" spans="1:6" ht="20.25" customHeight="1" x14ac:dyDescent="0.3">
      <c r="A189" s="256">
        <v>7</v>
      </c>
      <c r="B189" s="257" t="s">
        <v>445</v>
      </c>
      <c r="C189" s="260">
        <v>0</v>
      </c>
      <c r="D189" s="260">
        <v>0</v>
      </c>
      <c r="E189" s="260">
        <f t="shared" si="26"/>
        <v>0</v>
      </c>
      <c r="F189" s="259">
        <f t="shared" si="27"/>
        <v>0</v>
      </c>
    </row>
    <row r="190" spans="1:6" ht="20.25" customHeight="1" x14ac:dyDescent="0.3">
      <c r="A190" s="256">
        <v>8</v>
      </c>
      <c r="B190" s="257" t="s">
        <v>446</v>
      </c>
      <c r="C190" s="260">
        <v>0</v>
      </c>
      <c r="D190" s="260">
        <v>0</v>
      </c>
      <c r="E190" s="260">
        <f t="shared" si="26"/>
        <v>0</v>
      </c>
      <c r="F190" s="259">
        <f t="shared" si="27"/>
        <v>0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0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0</v>
      </c>
      <c r="D192" s="263">
        <f>+D183+D185</f>
        <v>0</v>
      </c>
      <c r="E192" s="263">
        <f t="shared" si="26"/>
        <v>0</v>
      </c>
      <c r="F192" s="264">
        <f t="shared" si="27"/>
        <v>0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0</v>
      </c>
      <c r="D193" s="263">
        <f>+D184+D186</f>
        <v>0</v>
      </c>
      <c r="E193" s="263">
        <f t="shared" si="26"/>
        <v>0</v>
      </c>
      <c r="F193" s="264">
        <f t="shared" si="27"/>
        <v>0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801" t="s">
        <v>44</v>
      </c>
      <c r="B195" s="802" t="s">
        <v>464</v>
      </c>
      <c r="C195" s="804"/>
      <c r="D195" s="805"/>
      <c r="E195" s="805"/>
      <c r="F195" s="806"/>
      <c r="G195" s="786"/>
      <c r="H195" s="786"/>
      <c r="I195" s="786"/>
    </row>
    <row r="196" spans="1:9" ht="20.25" customHeight="1" x14ac:dyDescent="0.3">
      <c r="A196" s="792"/>
      <c r="B196" s="803"/>
      <c r="C196" s="798"/>
      <c r="D196" s="799"/>
      <c r="E196" s="799"/>
      <c r="F196" s="800"/>
      <c r="G196" s="786"/>
      <c r="H196" s="786"/>
      <c r="I196" s="78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128941429</v>
      </c>
      <c r="D198" s="263">
        <f t="shared" si="28"/>
        <v>166731805</v>
      </c>
      <c r="E198" s="263">
        <f t="shared" ref="E198:E208" si="29">D198-C198</f>
        <v>37790376</v>
      </c>
      <c r="F198" s="273">
        <f t="shared" ref="F198:F208" si="30">IF(C198=0,0,E198/C198)</f>
        <v>0.29308172162416474</v>
      </c>
    </row>
    <row r="199" spans="1:9" ht="20.25" customHeight="1" x14ac:dyDescent="0.3">
      <c r="A199" s="271"/>
      <c r="B199" s="272" t="s">
        <v>466</v>
      </c>
      <c r="C199" s="263">
        <f t="shared" si="28"/>
        <v>47673124</v>
      </c>
      <c r="D199" s="263">
        <f t="shared" si="28"/>
        <v>58073573</v>
      </c>
      <c r="E199" s="263">
        <f t="shared" si="29"/>
        <v>10400449</v>
      </c>
      <c r="F199" s="273">
        <f t="shared" si="30"/>
        <v>0.2181616837193216</v>
      </c>
    </row>
    <row r="200" spans="1:9" ht="20.25" customHeight="1" x14ac:dyDescent="0.3">
      <c r="A200" s="271"/>
      <c r="B200" s="272" t="s">
        <v>467</v>
      </c>
      <c r="C200" s="263">
        <f t="shared" si="28"/>
        <v>57463947</v>
      </c>
      <c r="D200" s="263">
        <f t="shared" si="28"/>
        <v>69100639</v>
      </c>
      <c r="E200" s="263">
        <f t="shared" si="29"/>
        <v>11636692</v>
      </c>
      <c r="F200" s="273">
        <f t="shared" si="30"/>
        <v>0.20250422408331958</v>
      </c>
    </row>
    <row r="201" spans="1:9" ht="20.25" customHeight="1" x14ac:dyDescent="0.3">
      <c r="A201" s="271"/>
      <c r="B201" s="272" t="s">
        <v>468</v>
      </c>
      <c r="C201" s="263">
        <f t="shared" si="28"/>
        <v>16988605</v>
      </c>
      <c r="D201" s="263">
        <f t="shared" si="28"/>
        <v>20774666</v>
      </c>
      <c r="E201" s="263">
        <f t="shared" si="29"/>
        <v>3786061</v>
      </c>
      <c r="F201" s="273">
        <f t="shared" si="30"/>
        <v>0.22285885156550522</v>
      </c>
    </row>
    <row r="202" spans="1:9" ht="20.25" customHeight="1" x14ac:dyDescent="0.3">
      <c r="A202" s="271"/>
      <c r="B202" s="272" t="s">
        <v>138</v>
      </c>
      <c r="C202" s="274">
        <f t="shared" si="28"/>
        <v>2833</v>
      </c>
      <c r="D202" s="274">
        <f t="shared" si="28"/>
        <v>3426</v>
      </c>
      <c r="E202" s="274">
        <f t="shared" si="29"/>
        <v>593</v>
      </c>
      <c r="F202" s="273">
        <f t="shared" si="30"/>
        <v>0.2093187433815743</v>
      </c>
    </row>
    <row r="203" spans="1:9" ht="20.25" customHeight="1" x14ac:dyDescent="0.3">
      <c r="A203" s="271"/>
      <c r="B203" s="272" t="s">
        <v>140</v>
      </c>
      <c r="C203" s="274">
        <f t="shared" si="28"/>
        <v>18161</v>
      </c>
      <c r="D203" s="274">
        <f t="shared" si="28"/>
        <v>21726</v>
      </c>
      <c r="E203" s="274">
        <f t="shared" si="29"/>
        <v>3565</v>
      </c>
      <c r="F203" s="273">
        <f t="shared" si="30"/>
        <v>0.19629976322889708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14543</v>
      </c>
      <c r="D204" s="274">
        <f t="shared" si="28"/>
        <v>12080</v>
      </c>
      <c r="E204" s="274">
        <f t="shared" si="29"/>
        <v>-2463</v>
      </c>
      <c r="F204" s="273">
        <f t="shared" si="30"/>
        <v>-0.16935982947122327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2930</v>
      </c>
      <c r="D205" s="274">
        <f t="shared" si="28"/>
        <v>3287</v>
      </c>
      <c r="E205" s="274">
        <f t="shared" si="29"/>
        <v>357</v>
      </c>
      <c r="F205" s="273">
        <f t="shared" si="30"/>
        <v>0.12184300341296929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761</v>
      </c>
      <c r="D206" s="274">
        <f t="shared" si="28"/>
        <v>2279</v>
      </c>
      <c r="E206" s="274">
        <f t="shared" si="29"/>
        <v>1518</v>
      </c>
      <c r="F206" s="273">
        <f t="shared" si="30"/>
        <v>1.9947437582128777</v>
      </c>
    </row>
    <row r="207" spans="1:9" ht="20.25" customHeight="1" x14ac:dyDescent="0.3">
      <c r="A207" s="271"/>
      <c r="B207" s="262" t="s">
        <v>471</v>
      </c>
      <c r="C207" s="263">
        <f>+C198+C200</f>
        <v>186405376</v>
      </c>
      <c r="D207" s="263">
        <f>+D198+D200</f>
        <v>235832444</v>
      </c>
      <c r="E207" s="263">
        <f t="shared" si="29"/>
        <v>49427068</v>
      </c>
      <c r="F207" s="273">
        <f t="shared" si="30"/>
        <v>0.26515902631477756</v>
      </c>
    </row>
    <row r="208" spans="1:9" ht="20.25" customHeight="1" x14ac:dyDescent="0.3">
      <c r="A208" s="271"/>
      <c r="B208" s="262" t="s">
        <v>472</v>
      </c>
      <c r="C208" s="263">
        <f>+C199+C201</f>
        <v>64661729</v>
      </c>
      <c r="D208" s="263">
        <f>+D199+D201</f>
        <v>78848239</v>
      </c>
      <c r="E208" s="263">
        <f t="shared" si="29"/>
        <v>14186510</v>
      </c>
      <c r="F208" s="273">
        <f t="shared" si="30"/>
        <v>0.21939577272980126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rintOptions gridLines="1"/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FILING&amp;RHARTFORD HOSPITAL</oddHeader>
    <oddFooter>&amp;LREPORT 100&amp;CPAGE &amp;P of &amp;N&amp;R&amp;D, 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/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314</v>
      </c>
      <c r="B4" s="787"/>
      <c r="C4" s="787"/>
      <c r="D4" s="787"/>
      <c r="E4" s="787"/>
      <c r="F4" s="787"/>
    </row>
    <row r="5" spans="1:7" ht="20.25" customHeight="1" x14ac:dyDescent="0.3">
      <c r="A5" s="787" t="s">
        <v>473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801" t="s">
        <v>12</v>
      </c>
      <c r="B10" s="802" t="s">
        <v>116</v>
      </c>
      <c r="C10" s="804"/>
      <c r="D10" s="805"/>
      <c r="E10" s="805"/>
      <c r="F10" s="806"/>
    </row>
    <row r="11" spans="1:7" ht="20.25" customHeight="1" x14ac:dyDescent="0.3">
      <c r="A11" s="792"/>
      <c r="B11" s="803"/>
      <c r="C11" s="798"/>
      <c r="D11" s="799"/>
      <c r="E11" s="799"/>
      <c r="F11" s="800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7084486</v>
      </c>
      <c r="D26" s="258">
        <v>0</v>
      </c>
      <c r="E26" s="258">
        <f t="shared" ref="E26:E36" si="2">D26-C26</f>
        <v>-7084486</v>
      </c>
      <c r="F26" s="259">
        <f t="shared" ref="F26:F36" si="3">IF(C26=0,0,E26/C26)</f>
        <v>-1</v>
      </c>
    </row>
    <row r="27" spans="1:6" ht="20.25" customHeight="1" x14ac:dyDescent="0.3">
      <c r="A27" s="256">
        <v>2</v>
      </c>
      <c r="B27" s="257" t="s">
        <v>442</v>
      </c>
      <c r="C27" s="258">
        <v>1845150</v>
      </c>
      <c r="D27" s="258">
        <v>0</v>
      </c>
      <c r="E27" s="258">
        <f t="shared" si="2"/>
        <v>-1845150</v>
      </c>
      <c r="F27" s="259">
        <f t="shared" si="3"/>
        <v>-1</v>
      </c>
    </row>
    <row r="28" spans="1:6" ht="20.25" customHeight="1" x14ac:dyDescent="0.3">
      <c r="A28" s="256">
        <v>3</v>
      </c>
      <c r="B28" s="257" t="s">
        <v>443</v>
      </c>
      <c r="C28" s="258">
        <v>6106737</v>
      </c>
      <c r="D28" s="258">
        <v>0</v>
      </c>
      <c r="E28" s="258">
        <f t="shared" si="2"/>
        <v>-6106737</v>
      </c>
      <c r="F28" s="259">
        <f t="shared" si="3"/>
        <v>-1</v>
      </c>
    </row>
    <row r="29" spans="1:6" ht="20.25" customHeight="1" x14ac:dyDescent="0.3">
      <c r="A29" s="256">
        <v>4</v>
      </c>
      <c r="B29" s="257" t="s">
        <v>444</v>
      </c>
      <c r="C29" s="258">
        <v>1308493</v>
      </c>
      <c r="D29" s="258">
        <v>0</v>
      </c>
      <c r="E29" s="258">
        <f t="shared" si="2"/>
        <v>-1308493</v>
      </c>
      <c r="F29" s="259">
        <f t="shared" si="3"/>
        <v>-1</v>
      </c>
    </row>
    <row r="30" spans="1:6" ht="20.25" customHeight="1" x14ac:dyDescent="0.3">
      <c r="A30" s="256">
        <v>5</v>
      </c>
      <c r="B30" s="257" t="s">
        <v>381</v>
      </c>
      <c r="C30" s="260">
        <v>291</v>
      </c>
      <c r="D30" s="260">
        <v>0</v>
      </c>
      <c r="E30" s="260">
        <f t="shared" si="2"/>
        <v>-291</v>
      </c>
      <c r="F30" s="259">
        <f t="shared" si="3"/>
        <v>-1</v>
      </c>
    </row>
    <row r="31" spans="1:6" ht="20.25" customHeight="1" x14ac:dyDescent="0.3">
      <c r="A31" s="256">
        <v>6</v>
      </c>
      <c r="B31" s="257" t="s">
        <v>380</v>
      </c>
      <c r="C31" s="260">
        <v>1133</v>
      </c>
      <c r="D31" s="260">
        <v>0</v>
      </c>
      <c r="E31" s="260">
        <f t="shared" si="2"/>
        <v>-1133</v>
      </c>
      <c r="F31" s="259">
        <f t="shared" si="3"/>
        <v>-1</v>
      </c>
    </row>
    <row r="32" spans="1:6" ht="20.25" customHeight="1" x14ac:dyDescent="0.3">
      <c r="A32" s="256">
        <v>7</v>
      </c>
      <c r="B32" s="257" t="s">
        <v>445</v>
      </c>
      <c r="C32" s="260">
        <v>4999</v>
      </c>
      <c r="D32" s="260">
        <v>0</v>
      </c>
      <c r="E32" s="260">
        <f t="shared" si="2"/>
        <v>-4999</v>
      </c>
      <c r="F32" s="259">
        <f t="shared" si="3"/>
        <v>-1</v>
      </c>
    </row>
    <row r="33" spans="1:6" ht="20.25" customHeight="1" x14ac:dyDescent="0.3">
      <c r="A33" s="256">
        <v>8</v>
      </c>
      <c r="B33" s="257" t="s">
        <v>446</v>
      </c>
      <c r="C33" s="260">
        <v>1508</v>
      </c>
      <c r="D33" s="260">
        <v>0</v>
      </c>
      <c r="E33" s="260">
        <f t="shared" si="2"/>
        <v>-1508</v>
      </c>
      <c r="F33" s="259">
        <f t="shared" si="3"/>
        <v>-1</v>
      </c>
    </row>
    <row r="34" spans="1:6" ht="20.25" customHeight="1" x14ac:dyDescent="0.3">
      <c r="A34" s="256">
        <v>9</v>
      </c>
      <c r="B34" s="257" t="s">
        <v>447</v>
      </c>
      <c r="C34" s="260">
        <v>392</v>
      </c>
      <c r="D34" s="260">
        <v>0</v>
      </c>
      <c r="E34" s="260">
        <f t="shared" si="2"/>
        <v>-392</v>
      </c>
      <c r="F34" s="259">
        <f t="shared" si="3"/>
        <v>-1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13191223</v>
      </c>
      <c r="D35" s="263">
        <f>+D26+D28</f>
        <v>0</v>
      </c>
      <c r="E35" s="263">
        <f t="shared" si="2"/>
        <v>-13191223</v>
      </c>
      <c r="F35" s="264">
        <f t="shared" si="3"/>
        <v>-1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3153643</v>
      </c>
      <c r="D36" s="263">
        <f>+D27+D29</f>
        <v>0</v>
      </c>
      <c r="E36" s="263">
        <f t="shared" si="2"/>
        <v>-3153643</v>
      </c>
      <c r="F36" s="264">
        <f t="shared" si="3"/>
        <v>-1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1576427</v>
      </c>
      <c r="D86" s="258">
        <v>0</v>
      </c>
      <c r="E86" s="258">
        <f t="shared" ref="E86:E96" si="12">D86-C86</f>
        <v>-1576427</v>
      </c>
      <c r="F86" s="259">
        <f t="shared" ref="F86:F96" si="13">IF(C86=0,0,E86/C86)</f>
        <v>-1</v>
      </c>
    </row>
    <row r="87" spans="1:6" ht="20.25" customHeight="1" x14ac:dyDescent="0.3">
      <c r="A87" s="256">
        <v>2</v>
      </c>
      <c r="B87" s="257" t="s">
        <v>442</v>
      </c>
      <c r="C87" s="258">
        <v>405765</v>
      </c>
      <c r="D87" s="258">
        <v>0</v>
      </c>
      <c r="E87" s="258">
        <f t="shared" si="12"/>
        <v>-405765</v>
      </c>
      <c r="F87" s="259">
        <f t="shared" si="13"/>
        <v>-1</v>
      </c>
    </row>
    <row r="88" spans="1:6" ht="20.25" customHeight="1" x14ac:dyDescent="0.3">
      <c r="A88" s="256">
        <v>3</v>
      </c>
      <c r="B88" s="257" t="s">
        <v>443</v>
      </c>
      <c r="C88" s="258">
        <v>1553040</v>
      </c>
      <c r="D88" s="258">
        <v>0</v>
      </c>
      <c r="E88" s="258">
        <f t="shared" si="12"/>
        <v>-1553040</v>
      </c>
      <c r="F88" s="259">
        <f t="shared" si="13"/>
        <v>-1</v>
      </c>
    </row>
    <row r="89" spans="1:6" ht="20.25" customHeight="1" x14ac:dyDescent="0.3">
      <c r="A89" s="256">
        <v>4</v>
      </c>
      <c r="B89" s="257" t="s">
        <v>444</v>
      </c>
      <c r="C89" s="258">
        <v>516315</v>
      </c>
      <c r="D89" s="258">
        <v>0</v>
      </c>
      <c r="E89" s="258">
        <f t="shared" si="12"/>
        <v>-516315</v>
      </c>
      <c r="F89" s="259">
        <f t="shared" si="13"/>
        <v>-1</v>
      </c>
    </row>
    <row r="90" spans="1:6" ht="20.25" customHeight="1" x14ac:dyDescent="0.3">
      <c r="A90" s="256">
        <v>5</v>
      </c>
      <c r="B90" s="257" t="s">
        <v>381</v>
      </c>
      <c r="C90" s="260">
        <v>83</v>
      </c>
      <c r="D90" s="260">
        <v>0</v>
      </c>
      <c r="E90" s="260">
        <f t="shared" si="12"/>
        <v>-83</v>
      </c>
      <c r="F90" s="259">
        <f t="shared" si="13"/>
        <v>-1</v>
      </c>
    </row>
    <row r="91" spans="1:6" ht="20.25" customHeight="1" x14ac:dyDescent="0.3">
      <c r="A91" s="256">
        <v>6</v>
      </c>
      <c r="B91" s="257" t="s">
        <v>380</v>
      </c>
      <c r="C91" s="260">
        <v>253</v>
      </c>
      <c r="D91" s="260">
        <v>0</v>
      </c>
      <c r="E91" s="260">
        <f t="shared" si="12"/>
        <v>-253</v>
      </c>
      <c r="F91" s="259">
        <f t="shared" si="13"/>
        <v>-1</v>
      </c>
    </row>
    <row r="92" spans="1:6" ht="20.25" customHeight="1" x14ac:dyDescent="0.3">
      <c r="A92" s="256">
        <v>7</v>
      </c>
      <c r="B92" s="257" t="s">
        <v>445</v>
      </c>
      <c r="C92" s="260">
        <v>1433</v>
      </c>
      <c r="D92" s="260">
        <v>0</v>
      </c>
      <c r="E92" s="260">
        <f t="shared" si="12"/>
        <v>-1433</v>
      </c>
      <c r="F92" s="259">
        <f t="shared" si="13"/>
        <v>-1</v>
      </c>
    </row>
    <row r="93" spans="1:6" ht="20.25" customHeight="1" x14ac:dyDescent="0.3">
      <c r="A93" s="256">
        <v>8</v>
      </c>
      <c r="B93" s="257" t="s">
        <v>446</v>
      </c>
      <c r="C93" s="260">
        <v>432</v>
      </c>
      <c r="D93" s="260">
        <v>0</v>
      </c>
      <c r="E93" s="260">
        <f t="shared" si="12"/>
        <v>-432</v>
      </c>
      <c r="F93" s="259">
        <f t="shared" si="13"/>
        <v>-1</v>
      </c>
    </row>
    <row r="94" spans="1:6" ht="20.25" customHeight="1" x14ac:dyDescent="0.3">
      <c r="A94" s="256">
        <v>9</v>
      </c>
      <c r="B94" s="257" t="s">
        <v>447</v>
      </c>
      <c r="C94" s="260">
        <v>112</v>
      </c>
      <c r="D94" s="260">
        <v>0</v>
      </c>
      <c r="E94" s="260">
        <f t="shared" si="12"/>
        <v>-112</v>
      </c>
      <c r="F94" s="259">
        <f t="shared" si="13"/>
        <v>-1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3129467</v>
      </c>
      <c r="D95" s="263">
        <f>+D86+D88</f>
        <v>0</v>
      </c>
      <c r="E95" s="263">
        <f t="shared" si="12"/>
        <v>-3129467</v>
      </c>
      <c r="F95" s="264">
        <f t="shared" si="13"/>
        <v>-1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922080</v>
      </c>
      <c r="D96" s="263">
        <f>+D87+D89</f>
        <v>0</v>
      </c>
      <c r="E96" s="263">
        <f t="shared" si="12"/>
        <v>-922080</v>
      </c>
      <c r="F96" s="264">
        <f t="shared" si="13"/>
        <v>-1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3583760</v>
      </c>
      <c r="D98" s="258">
        <v>0</v>
      </c>
      <c r="E98" s="258">
        <f t="shared" ref="E98:E108" si="14">D98-C98</f>
        <v>-3583760</v>
      </c>
      <c r="F98" s="259">
        <f t="shared" ref="F98:F108" si="15">IF(C98=0,0,E98/C98)</f>
        <v>-1</v>
      </c>
    </row>
    <row r="99" spans="1:7" ht="20.25" customHeight="1" x14ac:dyDescent="0.3">
      <c r="A99" s="256">
        <v>2</v>
      </c>
      <c r="B99" s="257" t="s">
        <v>442</v>
      </c>
      <c r="C99" s="258">
        <v>1114587</v>
      </c>
      <c r="D99" s="258">
        <v>0</v>
      </c>
      <c r="E99" s="258">
        <f t="shared" si="14"/>
        <v>-1114587</v>
      </c>
      <c r="F99" s="259">
        <f t="shared" si="15"/>
        <v>-1</v>
      </c>
    </row>
    <row r="100" spans="1:7" ht="20.25" customHeight="1" x14ac:dyDescent="0.3">
      <c r="A100" s="256">
        <v>3</v>
      </c>
      <c r="B100" s="257" t="s">
        <v>443</v>
      </c>
      <c r="C100" s="258">
        <v>2754426</v>
      </c>
      <c r="D100" s="258">
        <v>0</v>
      </c>
      <c r="E100" s="258">
        <f t="shared" si="14"/>
        <v>-2754426</v>
      </c>
      <c r="F100" s="259">
        <f t="shared" si="15"/>
        <v>-1</v>
      </c>
    </row>
    <row r="101" spans="1:7" ht="20.25" customHeight="1" x14ac:dyDescent="0.3">
      <c r="A101" s="256">
        <v>4</v>
      </c>
      <c r="B101" s="257" t="s">
        <v>444</v>
      </c>
      <c r="C101" s="258">
        <v>1163785</v>
      </c>
      <c r="D101" s="258">
        <v>0</v>
      </c>
      <c r="E101" s="258">
        <f t="shared" si="14"/>
        <v>-1163785</v>
      </c>
      <c r="F101" s="259">
        <f t="shared" si="15"/>
        <v>-1</v>
      </c>
    </row>
    <row r="102" spans="1:7" ht="20.25" customHeight="1" x14ac:dyDescent="0.3">
      <c r="A102" s="256">
        <v>5</v>
      </c>
      <c r="B102" s="257" t="s">
        <v>381</v>
      </c>
      <c r="C102" s="260">
        <v>198</v>
      </c>
      <c r="D102" s="260">
        <v>0</v>
      </c>
      <c r="E102" s="260">
        <f t="shared" si="14"/>
        <v>-198</v>
      </c>
      <c r="F102" s="259">
        <f t="shared" si="15"/>
        <v>-1</v>
      </c>
    </row>
    <row r="103" spans="1:7" ht="20.25" customHeight="1" x14ac:dyDescent="0.3">
      <c r="A103" s="256">
        <v>6</v>
      </c>
      <c r="B103" s="257" t="s">
        <v>380</v>
      </c>
      <c r="C103" s="260">
        <v>608</v>
      </c>
      <c r="D103" s="260">
        <v>0</v>
      </c>
      <c r="E103" s="260">
        <f t="shared" si="14"/>
        <v>-608</v>
      </c>
      <c r="F103" s="259">
        <f t="shared" si="15"/>
        <v>-1</v>
      </c>
    </row>
    <row r="104" spans="1:7" ht="20.25" customHeight="1" x14ac:dyDescent="0.3">
      <c r="A104" s="256">
        <v>7</v>
      </c>
      <c r="B104" s="257" t="s">
        <v>445</v>
      </c>
      <c r="C104" s="260">
        <v>2637</v>
      </c>
      <c r="D104" s="260">
        <v>0</v>
      </c>
      <c r="E104" s="260">
        <f t="shared" si="14"/>
        <v>-2637</v>
      </c>
      <c r="F104" s="259">
        <f t="shared" si="15"/>
        <v>-1</v>
      </c>
    </row>
    <row r="105" spans="1:7" ht="20.25" customHeight="1" x14ac:dyDescent="0.3">
      <c r="A105" s="256">
        <v>8</v>
      </c>
      <c r="B105" s="257" t="s">
        <v>446</v>
      </c>
      <c r="C105" s="260">
        <v>796</v>
      </c>
      <c r="D105" s="260">
        <v>0</v>
      </c>
      <c r="E105" s="260">
        <f t="shared" si="14"/>
        <v>-796</v>
      </c>
      <c r="F105" s="259">
        <f t="shared" si="15"/>
        <v>-1</v>
      </c>
    </row>
    <row r="106" spans="1:7" ht="20.25" customHeight="1" x14ac:dyDescent="0.3">
      <c r="A106" s="256">
        <v>9</v>
      </c>
      <c r="B106" s="257" t="s">
        <v>447</v>
      </c>
      <c r="C106" s="260">
        <v>207</v>
      </c>
      <c r="D106" s="260">
        <v>0</v>
      </c>
      <c r="E106" s="260">
        <f t="shared" si="14"/>
        <v>-207</v>
      </c>
      <c r="F106" s="259">
        <f t="shared" si="15"/>
        <v>-1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6338186</v>
      </c>
      <c r="D107" s="263">
        <f>+D98+D100</f>
        <v>0</v>
      </c>
      <c r="E107" s="263">
        <f t="shared" si="14"/>
        <v>-6338186</v>
      </c>
      <c r="F107" s="264">
        <f t="shared" si="15"/>
        <v>-1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2278372</v>
      </c>
      <c r="D108" s="263">
        <f>+D99+D101</f>
        <v>0</v>
      </c>
      <c r="E108" s="263">
        <f t="shared" si="14"/>
        <v>-2278372</v>
      </c>
      <c r="F108" s="264">
        <f t="shared" si="15"/>
        <v>-1</v>
      </c>
    </row>
    <row r="109" spans="1:7" s="265" customFormat="1" ht="20.25" customHeight="1" x14ac:dyDescent="0.3">
      <c r="A109" s="801" t="s">
        <v>44</v>
      </c>
      <c r="B109" s="802" t="s">
        <v>490</v>
      </c>
      <c r="C109" s="804"/>
      <c r="D109" s="805"/>
      <c r="E109" s="805"/>
      <c r="F109" s="806"/>
      <c r="G109" s="245"/>
    </row>
    <row r="110" spans="1:7" ht="20.25" customHeight="1" x14ac:dyDescent="0.3">
      <c r="A110" s="792"/>
      <c r="B110" s="803"/>
      <c r="C110" s="798"/>
      <c r="D110" s="799"/>
      <c r="E110" s="799"/>
      <c r="F110" s="800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12244673</v>
      </c>
      <c r="D112" s="263">
        <f t="shared" si="16"/>
        <v>0</v>
      </c>
      <c r="E112" s="263">
        <f t="shared" ref="E112:E122" si="17">D112-C112</f>
        <v>-12244673</v>
      </c>
      <c r="F112" s="264">
        <f t="shared" ref="F112:F122" si="18">IF(C112=0,0,E112/C112)</f>
        <v>-1</v>
      </c>
    </row>
    <row r="113" spans="1:6" ht="20.25" customHeight="1" x14ac:dyDescent="0.3">
      <c r="A113" s="271"/>
      <c r="B113" s="286" t="s">
        <v>492</v>
      </c>
      <c r="C113" s="263">
        <f t="shared" si="16"/>
        <v>3365502</v>
      </c>
      <c r="D113" s="263">
        <f t="shared" si="16"/>
        <v>0</v>
      </c>
      <c r="E113" s="263">
        <f t="shared" si="17"/>
        <v>-3365502</v>
      </c>
      <c r="F113" s="264">
        <f t="shared" si="18"/>
        <v>-1</v>
      </c>
    </row>
    <row r="114" spans="1:6" ht="20.25" customHeight="1" x14ac:dyDescent="0.3">
      <c r="A114" s="271"/>
      <c r="B114" s="286" t="s">
        <v>493</v>
      </c>
      <c r="C114" s="263">
        <f t="shared" si="16"/>
        <v>10414203</v>
      </c>
      <c r="D114" s="263">
        <f t="shared" si="16"/>
        <v>0</v>
      </c>
      <c r="E114" s="263">
        <f t="shared" si="17"/>
        <v>-10414203</v>
      </c>
      <c r="F114" s="264">
        <f t="shared" si="18"/>
        <v>-1</v>
      </c>
    </row>
    <row r="115" spans="1:6" ht="20.25" customHeight="1" x14ac:dyDescent="0.3">
      <c r="A115" s="271"/>
      <c r="B115" s="286" t="s">
        <v>494</v>
      </c>
      <c r="C115" s="263">
        <f t="shared" si="16"/>
        <v>2988593</v>
      </c>
      <c r="D115" s="263">
        <f t="shared" si="16"/>
        <v>0</v>
      </c>
      <c r="E115" s="263">
        <f t="shared" si="17"/>
        <v>-2988593</v>
      </c>
      <c r="F115" s="264">
        <f t="shared" si="18"/>
        <v>-1</v>
      </c>
    </row>
    <row r="116" spans="1:6" ht="20.25" customHeight="1" x14ac:dyDescent="0.3">
      <c r="A116" s="271"/>
      <c r="B116" s="286" t="s">
        <v>495</v>
      </c>
      <c r="C116" s="287">
        <f t="shared" si="16"/>
        <v>572</v>
      </c>
      <c r="D116" s="287">
        <f t="shared" si="16"/>
        <v>0</v>
      </c>
      <c r="E116" s="287">
        <f t="shared" si="17"/>
        <v>-572</v>
      </c>
      <c r="F116" s="264">
        <f t="shared" si="18"/>
        <v>-1</v>
      </c>
    </row>
    <row r="117" spans="1:6" ht="20.25" customHeight="1" x14ac:dyDescent="0.3">
      <c r="A117" s="271"/>
      <c r="B117" s="286" t="s">
        <v>496</v>
      </c>
      <c r="C117" s="287">
        <f t="shared" si="16"/>
        <v>1994</v>
      </c>
      <c r="D117" s="287">
        <f t="shared" si="16"/>
        <v>0</v>
      </c>
      <c r="E117" s="287">
        <f t="shared" si="17"/>
        <v>-1994</v>
      </c>
      <c r="F117" s="264">
        <f t="shared" si="18"/>
        <v>-1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9069</v>
      </c>
      <c r="D118" s="287">
        <f t="shared" si="16"/>
        <v>0</v>
      </c>
      <c r="E118" s="287">
        <f t="shared" si="17"/>
        <v>-9069</v>
      </c>
      <c r="F118" s="264">
        <f t="shared" si="18"/>
        <v>-1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2736</v>
      </c>
      <c r="D119" s="287">
        <f t="shared" si="16"/>
        <v>0</v>
      </c>
      <c r="E119" s="287">
        <f t="shared" si="17"/>
        <v>-2736</v>
      </c>
      <c r="F119" s="264">
        <f t="shared" si="18"/>
        <v>-1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711</v>
      </c>
      <c r="D120" s="287">
        <f t="shared" si="16"/>
        <v>0</v>
      </c>
      <c r="E120" s="287">
        <f t="shared" si="17"/>
        <v>-711</v>
      </c>
      <c r="F120" s="264">
        <f t="shared" si="18"/>
        <v>-1</v>
      </c>
    </row>
    <row r="121" spans="1:6" ht="20.25" customHeight="1" x14ac:dyDescent="0.3">
      <c r="A121" s="271"/>
      <c r="B121" s="284" t="s">
        <v>448</v>
      </c>
      <c r="C121" s="263">
        <f>+C112+C114</f>
        <v>22658876</v>
      </c>
      <c r="D121" s="263">
        <f>+D112+D114</f>
        <v>0</v>
      </c>
      <c r="E121" s="263">
        <f t="shared" si="17"/>
        <v>-22658876</v>
      </c>
      <c r="F121" s="264">
        <f t="shared" si="18"/>
        <v>-1</v>
      </c>
    </row>
    <row r="122" spans="1:6" ht="20.25" customHeight="1" x14ac:dyDescent="0.3">
      <c r="A122" s="271"/>
      <c r="B122" s="284" t="s">
        <v>472</v>
      </c>
      <c r="C122" s="263">
        <f>+C113+C115</f>
        <v>6354095</v>
      </c>
      <c r="D122" s="263">
        <f>+D113+D115</f>
        <v>0</v>
      </c>
      <c r="E122" s="263">
        <f t="shared" si="17"/>
        <v>-6354095</v>
      </c>
      <c r="F122" s="264">
        <f t="shared" si="18"/>
        <v>-1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rintOptions gridLines="1"/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FILING&amp;RHARTFORD HOSPITAL</oddHeader>
    <oddFooter>&amp;LREPORT 100&amp;CPAGE &amp;P of &amp;N&amp;R&amp;D, 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206896000</v>
      </c>
      <c r="D13" s="22">
        <v>293544000</v>
      </c>
      <c r="E13" s="22">
        <f t="shared" ref="E13:E22" si="0">D13-C13</f>
        <v>86648000</v>
      </c>
      <c r="F13" s="306">
        <f t="shared" ref="F13:F22" si="1">IF(C13=0,0,E13/C13)</f>
        <v>0.41879978346608926</v>
      </c>
    </row>
    <row r="14" spans="1:8" ht="24" customHeight="1" x14ac:dyDescent="0.2">
      <c r="A14" s="304">
        <v>2</v>
      </c>
      <c r="B14" s="305" t="s">
        <v>17</v>
      </c>
      <c r="C14" s="22">
        <v>0</v>
      </c>
      <c r="D14" s="22">
        <v>0</v>
      </c>
      <c r="E14" s="22">
        <f t="shared" si="0"/>
        <v>0</v>
      </c>
      <c r="F14" s="306">
        <f t="shared" si="1"/>
        <v>0</v>
      </c>
    </row>
    <row r="15" spans="1:8" ht="35.1" customHeight="1" x14ac:dyDescent="0.2">
      <c r="A15" s="304">
        <v>3</v>
      </c>
      <c r="B15" s="305" t="s">
        <v>18</v>
      </c>
      <c r="C15" s="22">
        <v>272907000</v>
      </c>
      <c r="D15" s="22">
        <v>310228000</v>
      </c>
      <c r="E15" s="22">
        <f t="shared" si="0"/>
        <v>37321000</v>
      </c>
      <c r="F15" s="306">
        <f t="shared" si="1"/>
        <v>0.13675354607980009</v>
      </c>
    </row>
    <row r="16" spans="1:8" ht="35.1" customHeight="1" x14ac:dyDescent="0.2">
      <c r="A16" s="304">
        <v>4</v>
      </c>
      <c r="B16" s="305" t="s">
        <v>19</v>
      </c>
      <c r="C16" s="22">
        <v>3105000</v>
      </c>
      <c r="D16" s="22">
        <v>7521000</v>
      </c>
      <c r="E16" s="22">
        <f t="shared" si="0"/>
        <v>4416000</v>
      </c>
      <c r="F16" s="306">
        <f t="shared" si="1"/>
        <v>1.4222222222222223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22915000</v>
      </c>
      <c r="D19" s="22">
        <v>25942000</v>
      </c>
      <c r="E19" s="22">
        <f t="shared" si="0"/>
        <v>3027000</v>
      </c>
      <c r="F19" s="306">
        <f t="shared" si="1"/>
        <v>0.13209687977307441</v>
      </c>
    </row>
    <row r="20" spans="1:11" ht="24" customHeight="1" x14ac:dyDescent="0.2">
      <c r="A20" s="304">
        <v>8</v>
      </c>
      <c r="B20" s="305" t="s">
        <v>23</v>
      </c>
      <c r="C20" s="22">
        <v>19105000</v>
      </c>
      <c r="D20" s="22">
        <v>27712000</v>
      </c>
      <c r="E20" s="22">
        <f t="shared" si="0"/>
        <v>8607000</v>
      </c>
      <c r="F20" s="306">
        <f t="shared" si="1"/>
        <v>0.45051033760795606</v>
      </c>
    </row>
    <row r="21" spans="1:11" ht="24" customHeight="1" x14ac:dyDescent="0.2">
      <c r="A21" s="304">
        <v>9</v>
      </c>
      <c r="B21" s="305" t="s">
        <v>24</v>
      </c>
      <c r="C21" s="22">
        <v>72013000</v>
      </c>
      <c r="D21" s="22">
        <v>70598000</v>
      </c>
      <c r="E21" s="22">
        <f t="shared" si="0"/>
        <v>-1415000</v>
      </c>
      <c r="F21" s="306">
        <f t="shared" si="1"/>
        <v>-1.9649230000138865E-2</v>
      </c>
    </row>
    <row r="22" spans="1:11" ht="24" customHeight="1" x14ac:dyDescent="0.25">
      <c r="A22" s="307"/>
      <c r="B22" s="308" t="s">
        <v>25</v>
      </c>
      <c r="C22" s="309">
        <f>SUM(C13:C21)</f>
        <v>596941000</v>
      </c>
      <c r="D22" s="309">
        <f>SUM(D13:D21)</f>
        <v>735545000</v>
      </c>
      <c r="E22" s="309">
        <f t="shared" si="0"/>
        <v>138604000</v>
      </c>
      <c r="F22" s="310">
        <f t="shared" si="1"/>
        <v>0.23219045098259292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166612000</v>
      </c>
      <c r="D25" s="22">
        <v>178081000</v>
      </c>
      <c r="E25" s="22">
        <f>D25-C25</f>
        <v>11469000</v>
      </c>
      <c r="F25" s="306">
        <f>IF(C25=0,0,E25/C25)</f>
        <v>6.8836578397714454E-2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52448000</v>
      </c>
      <c r="D27" s="22">
        <v>11768000</v>
      </c>
      <c r="E27" s="22">
        <f>D27-C27</f>
        <v>-40680000</v>
      </c>
      <c r="F27" s="306">
        <f>IF(C27=0,0,E27/C27)</f>
        <v>-0.7756253813300793</v>
      </c>
    </row>
    <row r="28" spans="1:11" ht="35.1" customHeight="1" x14ac:dyDescent="0.2">
      <c r="A28" s="304">
        <v>4</v>
      </c>
      <c r="B28" s="305" t="s">
        <v>31</v>
      </c>
      <c r="C28" s="22">
        <v>656714000</v>
      </c>
      <c r="D28" s="22">
        <v>1045092000</v>
      </c>
      <c r="E28" s="22">
        <f>D28-C28</f>
        <v>388378000</v>
      </c>
      <c r="F28" s="306">
        <f>IF(C28=0,0,E28/C28)</f>
        <v>0.59139595013963464</v>
      </c>
    </row>
    <row r="29" spans="1:11" ht="35.1" customHeight="1" x14ac:dyDescent="0.25">
      <c r="A29" s="307"/>
      <c r="B29" s="308" t="s">
        <v>32</v>
      </c>
      <c r="C29" s="309">
        <f>SUM(C25:C28)</f>
        <v>875774000</v>
      </c>
      <c r="D29" s="309">
        <f>SUM(D25:D28)</f>
        <v>1234941000</v>
      </c>
      <c r="E29" s="309">
        <f>D29-C29</f>
        <v>359167000</v>
      </c>
      <c r="F29" s="310">
        <f>IF(C29=0,0,E29/C29)</f>
        <v>0.41011379648174073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0</v>
      </c>
      <c r="D32" s="22">
        <v>0</v>
      </c>
      <c r="E32" s="22">
        <f>D32-C32</f>
        <v>0</v>
      </c>
      <c r="F32" s="306">
        <f>IF(C32=0,0,E32/C32)</f>
        <v>0</v>
      </c>
    </row>
    <row r="33" spans="1:8" ht="24" customHeight="1" x14ac:dyDescent="0.2">
      <c r="A33" s="304">
        <v>7</v>
      </c>
      <c r="B33" s="305" t="s">
        <v>35</v>
      </c>
      <c r="C33" s="22">
        <v>150759000</v>
      </c>
      <c r="D33" s="22">
        <v>113591000</v>
      </c>
      <c r="E33" s="22">
        <f>D33-C33</f>
        <v>-37168000</v>
      </c>
      <c r="F33" s="306">
        <f>IF(C33=0,0,E33/C33)</f>
        <v>-0.24653917842384201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1941721000</v>
      </c>
      <c r="D36" s="22">
        <v>2309713000</v>
      </c>
      <c r="E36" s="22">
        <f>D36-C36</f>
        <v>367992000</v>
      </c>
      <c r="F36" s="306">
        <f>IF(C36=0,0,E36/C36)</f>
        <v>0.18951847356031068</v>
      </c>
    </row>
    <row r="37" spans="1:8" ht="24" customHeight="1" x14ac:dyDescent="0.2">
      <c r="A37" s="304">
        <v>2</v>
      </c>
      <c r="B37" s="305" t="s">
        <v>39</v>
      </c>
      <c r="C37" s="22">
        <v>1246948000</v>
      </c>
      <c r="D37" s="22">
        <v>1426722000</v>
      </c>
      <c r="E37" s="22">
        <f>D37-C37</f>
        <v>179774000</v>
      </c>
      <c r="F37" s="22">
        <f>IF(C37=0,0,E37/C37)</f>
        <v>0.14417120842248435</v>
      </c>
    </row>
    <row r="38" spans="1:8" ht="24" customHeight="1" x14ac:dyDescent="0.25">
      <c r="A38" s="307"/>
      <c r="B38" s="308" t="s">
        <v>40</v>
      </c>
      <c r="C38" s="309">
        <f>C36-C37</f>
        <v>694773000</v>
      </c>
      <c r="D38" s="309">
        <f>D36-D37</f>
        <v>882991000</v>
      </c>
      <c r="E38" s="309">
        <f>D38-C38</f>
        <v>188218000</v>
      </c>
      <c r="F38" s="310">
        <f>IF(C38=0,0,E38/C38)</f>
        <v>0.27090574907199905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95451000</v>
      </c>
      <c r="D40" s="22">
        <v>114378000</v>
      </c>
      <c r="E40" s="22">
        <f>D40-C40</f>
        <v>18927000</v>
      </c>
      <c r="F40" s="306">
        <f>IF(C40=0,0,E40/C40)</f>
        <v>0.19829022220825346</v>
      </c>
    </row>
    <row r="41" spans="1:8" ht="24" customHeight="1" x14ac:dyDescent="0.25">
      <c r="A41" s="307"/>
      <c r="B41" s="308" t="s">
        <v>42</v>
      </c>
      <c r="C41" s="309">
        <f>+C38+C40</f>
        <v>790224000</v>
      </c>
      <c r="D41" s="309">
        <f>+D38+D40</f>
        <v>997369000</v>
      </c>
      <c r="E41" s="309">
        <f>D41-C41</f>
        <v>207145000</v>
      </c>
      <c r="F41" s="310">
        <f>IF(C41=0,0,E41/C41)</f>
        <v>0.26213453400554781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2413698000</v>
      </c>
      <c r="D43" s="309">
        <f>D22+D29+D31+D32+D33+D41</f>
        <v>3081446000</v>
      </c>
      <c r="E43" s="309">
        <f>D43-C43</f>
        <v>667748000</v>
      </c>
      <c r="F43" s="310">
        <f>IF(C43=0,0,E43/C43)</f>
        <v>0.27664935712752797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60923000</v>
      </c>
      <c r="D49" s="22">
        <v>42742000</v>
      </c>
      <c r="E49" s="22">
        <f t="shared" ref="E49:E56" si="2">D49-C49</f>
        <v>-18181000</v>
      </c>
      <c r="F49" s="306">
        <f t="shared" ref="F49:F56" si="3">IF(C49=0,0,E49/C49)</f>
        <v>-0.29842588185086094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58751000</v>
      </c>
      <c r="D50" s="22">
        <v>74218000</v>
      </c>
      <c r="E50" s="22">
        <f t="shared" si="2"/>
        <v>15467000</v>
      </c>
      <c r="F50" s="306">
        <f t="shared" si="3"/>
        <v>0.26326360402376131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29931000</v>
      </c>
      <c r="D51" s="22">
        <v>29907000</v>
      </c>
      <c r="E51" s="22">
        <f t="shared" si="2"/>
        <v>-24000</v>
      </c>
      <c r="F51" s="306">
        <f t="shared" si="3"/>
        <v>-8.0184424175603892E-4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0</v>
      </c>
      <c r="D53" s="22">
        <v>0</v>
      </c>
      <c r="E53" s="22">
        <f t="shared" si="2"/>
        <v>0</v>
      </c>
      <c r="F53" s="306">
        <f t="shared" si="3"/>
        <v>0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81143000</v>
      </c>
      <c r="D54" s="22">
        <v>128644000</v>
      </c>
      <c r="E54" s="22">
        <f t="shared" si="2"/>
        <v>47501000</v>
      </c>
      <c r="F54" s="306">
        <f t="shared" si="3"/>
        <v>0.58539861725595554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125785000</v>
      </c>
      <c r="D55" s="22">
        <v>141827000</v>
      </c>
      <c r="E55" s="22">
        <f t="shared" si="2"/>
        <v>16042000</v>
      </c>
      <c r="F55" s="306">
        <f t="shared" si="3"/>
        <v>0.12753507969948721</v>
      </c>
    </row>
    <row r="56" spans="1:6" ht="24" customHeight="1" x14ac:dyDescent="0.25">
      <c r="A56" s="307"/>
      <c r="B56" s="308" t="s">
        <v>54</v>
      </c>
      <c r="C56" s="309">
        <f>SUM(C49:C55)</f>
        <v>356533000</v>
      </c>
      <c r="D56" s="309">
        <f>SUM(D49:D55)</f>
        <v>417338000</v>
      </c>
      <c r="E56" s="309">
        <f t="shared" si="2"/>
        <v>60805000</v>
      </c>
      <c r="F56" s="310">
        <f t="shared" si="3"/>
        <v>0.17054522302283379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375815000</v>
      </c>
      <c r="D59" s="22">
        <v>437820000</v>
      </c>
      <c r="E59" s="22">
        <f>D59-C59</f>
        <v>62005000</v>
      </c>
      <c r="F59" s="306">
        <f>IF(C59=0,0,E59/C59)</f>
        <v>0.16498809254553437</v>
      </c>
    </row>
    <row r="60" spans="1:6" ht="24" customHeight="1" x14ac:dyDescent="0.2">
      <c r="A60" s="304">
        <v>2</v>
      </c>
      <c r="B60" s="305" t="s">
        <v>57</v>
      </c>
      <c r="C60" s="22">
        <v>28176000</v>
      </c>
      <c r="D60" s="22">
        <v>37869000</v>
      </c>
      <c r="E60" s="22">
        <f>D60-C60</f>
        <v>9693000</v>
      </c>
      <c r="F60" s="306">
        <f>IF(C60=0,0,E60/C60)</f>
        <v>0.3440161839863714</v>
      </c>
    </row>
    <row r="61" spans="1:6" ht="24" customHeight="1" x14ac:dyDescent="0.25">
      <c r="A61" s="307"/>
      <c r="B61" s="308" t="s">
        <v>58</v>
      </c>
      <c r="C61" s="309">
        <f>SUM(C59:C60)</f>
        <v>403991000</v>
      </c>
      <c r="D61" s="309">
        <f>SUM(D59:D60)</f>
        <v>475689000</v>
      </c>
      <c r="E61" s="309">
        <f>D61-C61</f>
        <v>71698000</v>
      </c>
      <c r="F61" s="310">
        <f>IF(C61=0,0,E61/C61)</f>
        <v>0.17747425066399994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641721000</v>
      </c>
      <c r="D63" s="22">
        <v>351613000</v>
      </c>
      <c r="E63" s="22">
        <f>D63-C63</f>
        <v>-290108000</v>
      </c>
      <c r="F63" s="306">
        <f>IF(C63=0,0,E63/C63)</f>
        <v>-0.45207808377784114</v>
      </c>
    </row>
    <row r="64" spans="1:6" ht="24" customHeight="1" x14ac:dyDescent="0.2">
      <c r="A64" s="304">
        <v>4</v>
      </c>
      <c r="B64" s="305" t="s">
        <v>60</v>
      </c>
      <c r="C64" s="22">
        <v>99540000</v>
      </c>
      <c r="D64" s="22">
        <v>227225000</v>
      </c>
      <c r="E64" s="22">
        <f>D64-C64</f>
        <v>127685000</v>
      </c>
      <c r="F64" s="306">
        <f>IF(C64=0,0,E64/C64)</f>
        <v>1.2827506530038175</v>
      </c>
    </row>
    <row r="65" spans="1:6" ht="24" customHeight="1" x14ac:dyDescent="0.25">
      <c r="A65" s="307"/>
      <c r="B65" s="308" t="s">
        <v>61</v>
      </c>
      <c r="C65" s="309">
        <f>SUM(C61:C64)</f>
        <v>1145252000</v>
      </c>
      <c r="D65" s="309">
        <f>SUM(D61:D64)</f>
        <v>1054527000</v>
      </c>
      <c r="E65" s="309">
        <f>D65-C65</f>
        <v>-90725000</v>
      </c>
      <c r="F65" s="310">
        <f>IF(C65=0,0,E65/C65)</f>
        <v>-7.9218372899588912E-2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509479000</v>
      </c>
      <c r="D70" s="22">
        <v>1160932000</v>
      </c>
      <c r="E70" s="22">
        <f>D70-C70</f>
        <v>651453000</v>
      </c>
      <c r="F70" s="306">
        <f>IF(C70=0,0,E70/C70)</f>
        <v>1.278665067647538</v>
      </c>
    </row>
    <row r="71" spans="1:6" ht="24" customHeight="1" x14ac:dyDescent="0.2">
      <c r="A71" s="304">
        <v>2</v>
      </c>
      <c r="B71" s="305" t="s">
        <v>65</v>
      </c>
      <c r="C71" s="22">
        <v>147379000</v>
      </c>
      <c r="D71" s="22">
        <v>170523000</v>
      </c>
      <c r="E71" s="22">
        <f>D71-C71</f>
        <v>23144000</v>
      </c>
      <c r="F71" s="306">
        <f>IF(C71=0,0,E71/C71)</f>
        <v>0.15703729839393671</v>
      </c>
    </row>
    <row r="72" spans="1:6" ht="24" customHeight="1" x14ac:dyDescent="0.2">
      <c r="A72" s="304">
        <v>3</v>
      </c>
      <c r="B72" s="305" t="s">
        <v>66</v>
      </c>
      <c r="C72" s="22">
        <v>255055000</v>
      </c>
      <c r="D72" s="22">
        <v>278126000</v>
      </c>
      <c r="E72" s="22">
        <f>D72-C72</f>
        <v>23071000</v>
      </c>
      <c r="F72" s="306">
        <f>IF(C72=0,0,E72/C72)</f>
        <v>9.0454999901981928E-2</v>
      </c>
    </row>
    <row r="73" spans="1:6" ht="24" customHeight="1" x14ac:dyDescent="0.25">
      <c r="A73" s="304"/>
      <c r="B73" s="308" t="s">
        <v>67</v>
      </c>
      <c r="C73" s="309">
        <f>SUM(C70:C72)</f>
        <v>911913000</v>
      </c>
      <c r="D73" s="309">
        <f>SUM(D70:D72)</f>
        <v>1609581000</v>
      </c>
      <c r="E73" s="309">
        <f>D73-C73</f>
        <v>697668000</v>
      </c>
      <c r="F73" s="310">
        <f>IF(C73=0,0,E73/C73)</f>
        <v>0.76505982478591705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2413698000</v>
      </c>
      <c r="D75" s="309">
        <f>D56+D65+D67+D73</f>
        <v>3081446000</v>
      </c>
      <c r="E75" s="309">
        <f>D75-C75</f>
        <v>667748000</v>
      </c>
      <c r="F75" s="310">
        <f>IF(C75=0,0,E75/C75)</f>
        <v>0.27664935712752797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FILING&amp;RHARTFORD HOSPITAL</oddHeader>
    <oddFooter>&amp;LREPORT 100&amp;CPAGE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4294961000</v>
      </c>
      <c r="D11" s="76">
        <v>4664919000</v>
      </c>
      <c r="E11" s="76">
        <f t="shared" ref="E11:E20" si="0">D11-C11</f>
        <v>369958000</v>
      </c>
      <c r="F11" s="77">
        <f t="shared" ref="F11:F20" si="1">IF(C11=0,0,E11/C11)</f>
        <v>8.613768553428075E-2</v>
      </c>
    </row>
    <row r="12" spans="1:7" ht="23.1" customHeight="1" x14ac:dyDescent="0.2">
      <c r="A12" s="74">
        <v>2</v>
      </c>
      <c r="B12" s="75" t="s">
        <v>72</v>
      </c>
      <c r="C12" s="76">
        <v>2372213000</v>
      </c>
      <c r="D12" s="76">
        <v>2658150000</v>
      </c>
      <c r="E12" s="76">
        <f t="shared" si="0"/>
        <v>285937000</v>
      </c>
      <c r="F12" s="77">
        <f t="shared" si="1"/>
        <v>0.12053597210705784</v>
      </c>
    </row>
    <row r="13" spans="1:7" ht="23.1" customHeight="1" x14ac:dyDescent="0.2">
      <c r="A13" s="74">
        <v>3</v>
      </c>
      <c r="B13" s="75" t="s">
        <v>73</v>
      </c>
      <c r="C13" s="76">
        <v>43000000</v>
      </c>
      <c r="D13" s="76">
        <v>57516000</v>
      </c>
      <c r="E13" s="76">
        <f t="shared" si="0"/>
        <v>14516000</v>
      </c>
      <c r="F13" s="77">
        <f t="shared" si="1"/>
        <v>0.33758139534883719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1879748000</v>
      </c>
      <c r="D15" s="79">
        <f>D11-D12-D13-D14</f>
        <v>1949253000</v>
      </c>
      <c r="E15" s="79">
        <f t="shared" si="0"/>
        <v>69505000</v>
      </c>
      <c r="F15" s="80">
        <f t="shared" si="1"/>
        <v>3.6975700998218911E-2</v>
      </c>
    </row>
    <row r="16" spans="1:7" ht="23.1" customHeight="1" x14ac:dyDescent="0.2">
      <c r="A16" s="74">
        <v>5</v>
      </c>
      <c r="B16" s="75" t="s">
        <v>76</v>
      </c>
      <c r="C16" s="76">
        <v>0</v>
      </c>
      <c r="D16" s="76">
        <v>45069000</v>
      </c>
      <c r="E16" s="76">
        <f t="shared" si="0"/>
        <v>45069000</v>
      </c>
      <c r="F16" s="77">
        <f t="shared" si="1"/>
        <v>0</v>
      </c>
      <c r="G16" s="65"/>
    </row>
    <row r="17" spans="1:7" ht="31.5" customHeight="1" x14ac:dyDescent="0.25">
      <c r="A17" s="71"/>
      <c r="B17" s="81" t="s">
        <v>77</v>
      </c>
      <c r="C17" s="79">
        <f>C15-C16</f>
        <v>1879748000</v>
      </c>
      <c r="D17" s="79">
        <f>D15-D16</f>
        <v>1904184000</v>
      </c>
      <c r="E17" s="79">
        <f t="shared" si="0"/>
        <v>24436000</v>
      </c>
      <c r="F17" s="80">
        <f t="shared" si="1"/>
        <v>1.2999614841989459E-2</v>
      </c>
    </row>
    <row r="18" spans="1:7" ht="23.1" customHeight="1" x14ac:dyDescent="0.2">
      <c r="A18" s="74">
        <v>6</v>
      </c>
      <c r="B18" s="75" t="s">
        <v>78</v>
      </c>
      <c r="C18" s="76">
        <v>256850000</v>
      </c>
      <c r="D18" s="76">
        <v>211736000</v>
      </c>
      <c r="E18" s="76">
        <f t="shared" si="0"/>
        <v>-45114000</v>
      </c>
      <c r="F18" s="77">
        <f t="shared" si="1"/>
        <v>-0.17564337161767568</v>
      </c>
      <c r="G18" s="65"/>
    </row>
    <row r="19" spans="1:7" ht="33" customHeight="1" x14ac:dyDescent="0.2">
      <c r="A19" s="74">
        <v>7</v>
      </c>
      <c r="B19" s="82" t="s">
        <v>79</v>
      </c>
      <c r="C19" s="76">
        <v>10688000</v>
      </c>
      <c r="D19" s="76">
        <v>10309000</v>
      </c>
      <c r="E19" s="76">
        <f t="shared" si="0"/>
        <v>-379000</v>
      </c>
      <c r="F19" s="77">
        <f t="shared" si="1"/>
        <v>-3.5460329341317362E-2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2147286000</v>
      </c>
      <c r="D20" s="79">
        <f>SUM(D17:D19)</f>
        <v>2126229000</v>
      </c>
      <c r="E20" s="79">
        <f t="shared" si="0"/>
        <v>-21057000</v>
      </c>
      <c r="F20" s="80">
        <f t="shared" si="1"/>
        <v>-9.8063322724592818E-3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918718000</v>
      </c>
      <c r="D23" s="76">
        <v>1011861000</v>
      </c>
      <c r="E23" s="76">
        <f t="shared" ref="E23:E32" si="2">D23-C23</f>
        <v>93143000</v>
      </c>
      <c r="F23" s="77">
        <f t="shared" ref="F23:F32" si="3">IF(C23=0,0,E23/C23)</f>
        <v>0.10138366724065491</v>
      </c>
    </row>
    <row r="24" spans="1:7" ht="23.1" customHeight="1" x14ac:dyDescent="0.2">
      <c r="A24" s="74">
        <v>2</v>
      </c>
      <c r="B24" s="75" t="s">
        <v>83</v>
      </c>
      <c r="C24" s="76">
        <v>284716000</v>
      </c>
      <c r="D24" s="76">
        <v>299157000</v>
      </c>
      <c r="E24" s="76">
        <f t="shared" si="2"/>
        <v>14441000</v>
      </c>
      <c r="F24" s="77">
        <f t="shared" si="3"/>
        <v>5.07207181893536E-2</v>
      </c>
    </row>
    <row r="25" spans="1:7" ht="23.1" customHeight="1" x14ac:dyDescent="0.2">
      <c r="A25" s="74">
        <v>3</v>
      </c>
      <c r="B25" s="75" t="s">
        <v>84</v>
      </c>
      <c r="C25" s="76">
        <v>65155000</v>
      </c>
      <c r="D25" s="76">
        <v>68794000</v>
      </c>
      <c r="E25" s="76">
        <f t="shared" si="2"/>
        <v>3639000</v>
      </c>
      <c r="F25" s="77">
        <f t="shared" si="3"/>
        <v>5.5851431202517073E-2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246175000</v>
      </c>
      <c r="D26" s="76">
        <v>270728000</v>
      </c>
      <c r="E26" s="76">
        <f t="shared" si="2"/>
        <v>24553000</v>
      </c>
      <c r="F26" s="77">
        <f t="shared" si="3"/>
        <v>9.9737991266375545E-2</v>
      </c>
    </row>
    <row r="27" spans="1:7" ht="23.1" customHeight="1" x14ac:dyDescent="0.2">
      <c r="A27" s="74">
        <v>5</v>
      </c>
      <c r="B27" s="75" t="s">
        <v>86</v>
      </c>
      <c r="C27" s="76">
        <v>93592000</v>
      </c>
      <c r="D27" s="76">
        <v>102308000</v>
      </c>
      <c r="E27" s="76">
        <f t="shared" si="2"/>
        <v>8716000</v>
      </c>
      <c r="F27" s="77">
        <f t="shared" si="3"/>
        <v>9.3127617745106417E-2</v>
      </c>
    </row>
    <row r="28" spans="1:7" ht="23.1" customHeight="1" x14ac:dyDescent="0.2">
      <c r="A28" s="74">
        <v>6</v>
      </c>
      <c r="B28" s="75" t="s">
        <v>87</v>
      </c>
      <c r="C28" s="76">
        <v>77212000</v>
      </c>
      <c r="D28" s="76">
        <v>0</v>
      </c>
      <c r="E28" s="76">
        <f t="shared" si="2"/>
        <v>-77212000</v>
      </c>
      <c r="F28" s="77">
        <f t="shared" si="3"/>
        <v>-1</v>
      </c>
    </row>
    <row r="29" spans="1:7" ht="23.1" customHeight="1" x14ac:dyDescent="0.2">
      <c r="A29" s="74">
        <v>7</v>
      </c>
      <c r="B29" s="75" t="s">
        <v>88</v>
      </c>
      <c r="C29" s="76">
        <v>13221000</v>
      </c>
      <c r="D29" s="76">
        <v>13969000</v>
      </c>
      <c r="E29" s="76">
        <f t="shared" si="2"/>
        <v>748000</v>
      </c>
      <c r="F29" s="77">
        <f t="shared" si="3"/>
        <v>5.6576658346569851E-2</v>
      </c>
    </row>
    <row r="30" spans="1:7" ht="23.1" customHeight="1" x14ac:dyDescent="0.2">
      <c r="A30" s="74">
        <v>8</v>
      </c>
      <c r="B30" s="75" t="s">
        <v>89</v>
      </c>
      <c r="C30" s="76">
        <v>24038000</v>
      </c>
      <c r="D30" s="76">
        <v>19354000</v>
      </c>
      <c r="E30" s="76">
        <f t="shared" si="2"/>
        <v>-4684000</v>
      </c>
      <c r="F30" s="77">
        <f t="shared" si="3"/>
        <v>-0.19485814127631251</v>
      </c>
    </row>
    <row r="31" spans="1:7" ht="23.1" customHeight="1" x14ac:dyDescent="0.2">
      <c r="A31" s="74">
        <v>9</v>
      </c>
      <c r="B31" s="75" t="s">
        <v>90</v>
      </c>
      <c r="C31" s="76">
        <v>363883000</v>
      </c>
      <c r="D31" s="76">
        <v>374827000</v>
      </c>
      <c r="E31" s="76">
        <f t="shared" si="2"/>
        <v>10944000</v>
      </c>
      <c r="F31" s="77">
        <f t="shared" si="3"/>
        <v>3.007560122347018E-2</v>
      </c>
    </row>
    <row r="32" spans="1:7" ht="23.1" customHeight="1" x14ac:dyDescent="0.25">
      <c r="A32" s="71"/>
      <c r="B32" s="78" t="s">
        <v>91</v>
      </c>
      <c r="C32" s="79">
        <f>SUM(C23:C31)</f>
        <v>2086710000</v>
      </c>
      <c r="D32" s="79">
        <f>SUM(D23:D31)</f>
        <v>2160998000</v>
      </c>
      <c r="E32" s="79">
        <f t="shared" si="2"/>
        <v>74288000</v>
      </c>
      <c r="F32" s="80">
        <f t="shared" si="3"/>
        <v>3.5600538646961007E-2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60576000</v>
      </c>
      <c r="D34" s="79">
        <f>+D20-D32</f>
        <v>-34769000</v>
      </c>
      <c r="E34" s="79">
        <f>D34-C34</f>
        <v>-95345000</v>
      </c>
      <c r="F34" s="80">
        <f>IF(C34=0,0,E34/C34)</f>
        <v>-1.5739731907025885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11886000</v>
      </c>
      <c r="D37" s="76">
        <v>13657000</v>
      </c>
      <c r="E37" s="76">
        <f>D37-C37</f>
        <v>1771000</v>
      </c>
      <c r="F37" s="77">
        <f>IF(C37=0,0,E37/C37)</f>
        <v>0.14899882214369847</v>
      </c>
    </row>
    <row r="38" spans="1:6" ht="23.1" customHeight="1" x14ac:dyDescent="0.2">
      <c r="A38" s="85">
        <v>2</v>
      </c>
      <c r="B38" s="75" t="s">
        <v>95</v>
      </c>
      <c r="C38" s="76">
        <v>1626000</v>
      </c>
      <c r="D38" s="76">
        <v>771000</v>
      </c>
      <c r="E38" s="76">
        <f>D38-C38</f>
        <v>-855000</v>
      </c>
      <c r="F38" s="77">
        <f>IF(C38=0,0,E38/C38)</f>
        <v>-0.52583025830258301</v>
      </c>
    </row>
    <row r="39" spans="1:6" ht="23.1" customHeight="1" x14ac:dyDescent="0.2">
      <c r="A39" s="85">
        <v>3</v>
      </c>
      <c r="B39" s="75" t="s">
        <v>96</v>
      </c>
      <c r="C39" s="76">
        <v>1051000</v>
      </c>
      <c r="D39" s="76">
        <v>70732000</v>
      </c>
      <c r="E39" s="76">
        <f>D39-C39</f>
        <v>69681000</v>
      </c>
      <c r="F39" s="77">
        <f>IF(C39=0,0,E39/C39)</f>
        <v>66.299714557564229</v>
      </c>
    </row>
    <row r="40" spans="1:6" ht="23.1" customHeight="1" x14ac:dyDescent="0.25">
      <c r="A40" s="83"/>
      <c r="B40" s="78" t="s">
        <v>97</v>
      </c>
      <c r="C40" s="79">
        <f>SUM(C37:C39)</f>
        <v>14563000</v>
      </c>
      <c r="D40" s="79">
        <f>SUM(D37:D39)</f>
        <v>85160000</v>
      </c>
      <c r="E40" s="79">
        <f>D40-C40</f>
        <v>70597000</v>
      </c>
      <c r="F40" s="80">
        <f>IF(C40=0,0,E40/C40)</f>
        <v>4.8476962164389201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75139000</v>
      </c>
      <c r="D42" s="79">
        <f>D34+D40</f>
        <v>50391000</v>
      </c>
      <c r="E42" s="79">
        <f>D42-C42</f>
        <v>-24748000</v>
      </c>
      <c r="F42" s="80">
        <f>IF(C42=0,0,E42/C42)</f>
        <v>-0.32936291406593116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54000000</v>
      </c>
      <c r="D45" s="76">
        <v>-20567000</v>
      </c>
      <c r="E45" s="76">
        <f>D45-C45</f>
        <v>-74567000</v>
      </c>
      <c r="F45" s="77">
        <f>IF(C45=0,0,E45/C45)</f>
        <v>-1.3808703703703704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316456000</v>
      </c>
      <c r="E46" s="76">
        <f>D46-C46</f>
        <v>316456000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54000000</v>
      </c>
      <c r="D47" s="79">
        <f>SUM(D45:D46)</f>
        <v>295889000</v>
      </c>
      <c r="E47" s="79">
        <f>D47-C47</f>
        <v>241889000</v>
      </c>
      <c r="F47" s="80">
        <f>IF(C47=0,0,E47/C47)</f>
        <v>4.4794259259259261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129139000</v>
      </c>
      <c r="D49" s="79">
        <f>D42+D47</f>
        <v>346280000</v>
      </c>
      <c r="E49" s="79">
        <f>D49-C49</f>
        <v>217141000</v>
      </c>
      <c r="F49" s="80">
        <f>IF(C49=0,0,E49/C49)</f>
        <v>1.6814517690240749</v>
      </c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FILING&amp;RHARTFORD HOSPITAL</oddHeader>
    <oddFooter>&amp;LREPORT 100&amp;CPAGE &amp;P of &amp;N&amp;R&amp;D,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2014-10-07T12:16:17Z</cp:lastPrinted>
  <dcterms:created xsi:type="dcterms:W3CDTF">2014-10-06T18:25:49Z</dcterms:created>
  <dcterms:modified xsi:type="dcterms:W3CDTF">2014-10-09T18:04:03Z</dcterms:modified>
</cp:coreProperties>
</file>