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D226" i="14"/>
  <c r="D227" i="14"/>
  <c r="D223" i="14"/>
  <c r="D204" i="14"/>
  <c r="D269" i="14" s="1"/>
  <c r="D203" i="14"/>
  <c r="D267" i="14" s="1"/>
  <c r="D270" i="14" s="1"/>
  <c r="D198" i="14"/>
  <c r="D290" i="14"/>
  <c r="D191" i="14"/>
  <c r="D280" i="14"/>
  <c r="D189" i="14"/>
  <c r="D262" i="14"/>
  <c r="D188" i="14"/>
  <c r="D261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/>
  <c r="D207" i="14" s="1"/>
  <c r="D208" i="14" s="1"/>
  <c r="D135" i="14"/>
  <c r="D130" i="14"/>
  <c r="D129" i="14"/>
  <c r="D124" i="14"/>
  <c r="D123" i="14"/>
  <c r="D192" i="14"/>
  <c r="D120" i="14"/>
  <c r="D110" i="14"/>
  <c r="D109" i="14"/>
  <c r="D111" i="14"/>
  <c r="D101" i="14"/>
  <c r="D102" i="14"/>
  <c r="D103" i="14" s="1"/>
  <c r="D100" i="14"/>
  <c r="D95" i="14"/>
  <c r="D94" i="14"/>
  <c r="D88" i="14"/>
  <c r="D89" i="14" s="1"/>
  <c r="D85" i="14"/>
  <c r="D76" i="14"/>
  <c r="D77" i="14"/>
  <c r="D67" i="14"/>
  <c r="D66" i="14"/>
  <c r="D59" i="14"/>
  <c r="D60" i="14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/>
  <c r="D32" i="14" s="1"/>
  <c r="D29" i="14"/>
  <c r="D24" i="14"/>
  <c r="D23" i="14"/>
  <c r="D20" i="14"/>
  <c r="D21" i="14" s="1"/>
  <c r="D126" i="14" s="1"/>
  <c r="D127" i="14" s="1"/>
  <c r="D17" i="14"/>
  <c r="E97" i="19"/>
  <c r="D97" i="19"/>
  <c r="C97" i="19"/>
  <c r="E96" i="19"/>
  <c r="D96" i="19"/>
  <c r="D98" i="19" s="1"/>
  <c r="C96" i="19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D86" i="19"/>
  <c r="D88" i="19" s="1"/>
  <c r="C86" i="19"/>
  <c r="E83" i="19"/>
  <c r="D83" i="19"/>
  <c r="D102" i="19"/>
  <c r="C83" i="19"/>
  <c r="E76" i="19"/>
  <c r="E77" i="19" s="1"/>
  <c r="E109" i="19" s="1"/>
  <c r="D76" i="19"/>
  <c r="C76" i="19"/>
  <c r="E75" i="19"/>
  <c r="E101" i="19"/>
  <c r="D75" i="19"/>
  <c r="D77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 s="1"/>
  <c r="C12" i="19"/>
  <c r="C23" i="19" s="1"/>
  <c r="C46" i="19" s="1"/>
  <c r="D21" i="18"/>
  <c r="E21" i="18" s="1"/>
  <c r="F21" i="18" s="1"/>
  <c r="C21" i="18"/>
  <c r="D19" i="18"/>
  <c r="E19" i="18" s="1"/>
  <c r="F19" i="18" s="1"/>
  <c r="C19" i="18"/>
  <c r="F17" i="18"/>
  <c r="E17" i="18"/>
  <c r="F15" i="18"/>
  <c r="E15" i="18"/>
  <c r="D45" i="17"/>
  <c r="E45" i="17" s="1"/>
  <c r="F45" i="17" s="1"/>
  <c r="C45" i="17"/>
  <c r="D44" i="17"/>
  <c r="E44" i="17" s="1"/>
  <c r="F44" i="17" s="1"/>
  <c r="C44" i="17"/>
  <c r="D43" i="17"/>
  <c r="D46" i="17" s="1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F33" i="17" s="1"/>
  <c r="F30" i="17"/>
  <c r="E30" i="17"/>
  <c r="F29" i="17"/>
  <c r="E29" i="17"/>
  <c r="F28" i="17"/>
  <c r="E28" i="17"/>
  <c r="F27" i="17"/>
  <c r="E27" i="17"/>
  <c r="D25" i="17"/>
  <c r="D39" i="17" s="1"/>
  <c r="C25" i="17"/>
  <c r="C39" i="17"/>
  <c r="E24" i="17"/>
  <c r="F24" i="17" s="1"/>
  <c r="E23" i="17"/>
  <c r="F23" i="17" s="1"/>
  <c r="E22" i="17"/>
  <c r="F22" i="17" s="1"/>
  <c r="D19" i="17"/>
  <c r="D20" i="17" s="1"/>
  <c r="C19" i="17"/>
  <c r="C20" i="17" s="1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C37" i="16" s="1"/>
  <c r="C38" i="16" s="1"/>
  <c r="C127" i="16" s="1"/>
  <c r="C129" i="16" s="1"/>
  <c r="C133" i="16" s="1"/>
  <c r="E328" i="15"/>
  <c r="E325" i="15"/>
  <c r="D324" i="15"/>
  <c r="C324" i="15"/>
  <c r="C326" i="15" s="1"/>
  <c r="C330" i="15" s="1"/>
  <c r="E318" i="15"/>
  <c r="E315" i="15"/>
  <c r="D314" i="15"/>
  <c r="D316" i="15"/>
  <c r="C314" i="15"/>
  <c r="E314" i="15"/>
  <c r="E308" i="15"/>
  <c r="E305" i="15"/>
  <c r="D301" i="15"/>
  <c r="C301" i="15"/>
  <c r="D293" i="15"/>
  <c r="C293" i="15"/>
  <c r="E293" i="15" s="1"/>
  <c r="D292" i="15"/>
  <c r="C292" i="15"/>
  <c r="D291" i="15"/>
  <c r="C291" i="15"/>
  <c r="E291" i="15" s="1"/>
  <c r="D290" i="15"/>
  <c r="C290" i="15"/>
  <c r="D288" i="15"/>
  <c r="E288" i="15" s="1"/>
  <c r="C288" i="15"/>
  <c r="D287" i="15"/>
  <c r="C287" i="15"/>
  <c r="D282" i="15"/>
  <c r="C282" i="15"/>
  <c r="D281" i="15"/>
  <c r="C281" i="15"/>
  <c r="E281" i="15" s="1"/>
  <c r="D280" i="15"/>
  <c r="C280" i="15"/>
  <c r="D279" i="15"/>
  <c r="C279" i="15"/>
  <c r="D278" i="15"/>
  <c r="C278" i="15"/>
  <c r="D277" i="15"/>
  <c r="C277" i="15"/>
  <c r="E277" i="15" s="1"/>
  <c r="D276" i="15"/>
  <c r="C276" i="15"/>
  <c r="E270" i="15"/>
  <c r="D265" i="15"/>
  <c r="D302" i="15" s="1"/>
  <c r="C265" i="15"/>
  <c r="C302" i="15"/>
  <c r="C303" i="15" s="1"/>
  <c r="C306" i="15" s="1"/>
  <c r="C310" i="15" s="1"/>
  <c r="D262" i="15"/>
  <c r="C262" i="15"/>
  <c r="D251" i="15"/>
  <c r="C251" i="15"/>
  <c r="D233" i="15"/>
  <c r="C233" i="15"/>
  <c r="E233" i="15" s="1"/>
  <c r="D232" i="15"/>
  <c r="C232" i="15"/>
  <c r="D231" i="15"/>
  <c r="C231" i="15"/>
  <c r="D230" i="15"/>
  <c r="C230" i="15"/>
  <c r="E230" i="15"/>
  <c r="D228" i="15"/>
  <c r="C228" i="15"/>
  <c r="D227" i="15"/>
  <c r="E227" i="15" s="1"/>
  <c r="C227" i="15"/>
  <c r="D221" i="15"/>
  <c r="D245" i="15" s="1"/>
  <c r="C221" i="15"/>
  <c r="E221" i="15" s="1"/>
  <c r="D220" i="15"/>
  <c r="C220" i="15"/>
  <c r="C244" i="15" s="1"/>
  <c r="D219" i="15"/>
  <c r="D243" i="15" s="1"/>
  <c r="C219" i="15"/>
  <c r="C243" i="15" s="1"/>
  <c r="D218" i="15"/>
  <c r="C218" i="15"/>
  <c r="C217" i="15" s="1"/>
  <c r="C241" i="15" s="1"/>
  <c r="D216" i="15"/>
  <c r="D240" i="15" s="1"/>
  <c r="C216" i="15"/>
  <c r="C240" i="15" s="1"/>
  <c r="D215" i="15"/>
  <c r="C215" i="15"/>
  <c r="E209" i="15"/>
  <c r="E208" i="15"/>
  <c r="E207" i="15"/>
  <c r="E206" i="15"/>
  <c r="D205" i="15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261" i="15" s="1"/>
  <c r="E186" i="15"/>
  <c r="E185" i="15"/>
  <c r="D179" i="15"/>
  <c r="C179" i="15"/>
  <c r="E179" i="15" s="1"/>
  <c r="D178" i="15"/>
  <c r="C178" i="15"/>
  <c r="E178" i="15" s="1"/>
  <c r="D177" i="15"/>
  <c r="C177" i="15"/>
  <c r="E177" i="15" s="1"/>
  <c r="D176" i="15"/>
  <c r="C176" i="15"/>
  <c r="E176" i="15" s="1"/>
  <c r="D174" i="15"/>
  <c r="E174" i="15" s="1"/>
  <c r="C174" i="15"/>
  <c r="D173" i="15"/>
  <c r="C173" i="15"/>
  <c r="E173" i="15"/>
  <c r="D167" i="15"/>
  <c r="E167" i="15" s="1"/>
  <c r="C167" i="15"/>
  <c r="D166" i="15"/>
  <c r="C166" i="15"/>
  <c r="E166" i="15"/>
  <c r="D165" i="15"/>
  <c r="C165" i="15"/>
  <c r="E165" i="15" s="1"/>
  <c r="D164" i="15"/>
  <c r="C164" i="15"/>
  <c r="E164" i="15"/>
  <c r="D162" i="15"/>
  <c r="C162" i="15"/>
  <c r="E162" i="15" s="1"/>
  <c r="D161" i="15"/>
  <c r="E161" i="15" s="1"/>
  <c r="C161" i="15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D163" i="15" s="1"/>
  <c r="C139" i="15"/>
  <c r="C144" i="15" s="1"/>
  <c r="E138" i="15"/>
  <c r="E137" i="15"/>
  <c r="D75" i="15"/>
  <c r="C75" i="15"/>
  <c r="D74" i="15"/>
  <c r="E74" i="15" s="1"/>
  <c r="C74" i="15"/>
  <c r="D73" i="15"/>
  <c r="C73" i="15"/>
  <c r="D72" i="15"/>
  <c r="E72" i="15" s="1"/>
  <c r="C72" i="15"/>
  <c r="D70" i="15"/>
  <c r="E70" i="15" s="1"/>
  <c r="C70" i="15"/>
  <c r="D69" i="15"/>
  <c r="E69" i="15" s="1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E41" i="15" s="1"/>
  <c r="D40" i="15"/>
  <c r="E40" i="15" s="1"/>
  <c r="C40" i="15"/>
  <c r="D39" i="15"/>
  <c r="C39" i="15"/>
  <c r="E39" i="15" s="1"/>
  <c r="D38" i="15"/>
  <c r="C38" i="15"/>
  <c r="D37" i="15"/>
  <c r="E37" i="15" s="1"/>
  <c r="C37" i="15"/>
  <c r="D36" i="15"/>
  <c r="E36" i="15" s="1"/>
  <c r="C36" i="15"/>
  <c r="D32" i="15"/>
  <c r="C32" i="15"/>
  <c r="C33" i="15" s="1"/>
  <c r="E31" i="15"/>
  <c r="E30" i="15"/>
  <c r="E29" i="15"/>
  <c r="E28" i="15"/>
  <c r="E27" i="15"/>
  <c r="E26" i="15"/>
  <c r="E25" i="15"/>
  <c r="D21" i="15"/>
  <c r="D22" i="15" s="1"/>
  <c r="C21" i="15"/>
  <c r="C22" i="15" s="1"/>
  <c r="C284" i="15" s="1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 s="1"/>
  <c r="F311" i="14" s="1"/>
  <c r="E308" i="14"/>
  <c r="F308" i="14"/>
  <c r="C307" i="14"/>
  <c r="E299" i="14"/>
  <c r="C299" i="14"/>
  <c r="C298" i="14"/>
  <c r="E298" i="14" s="1"/>
  <c r="F298" i="14" s="1"/>
  <c r="C297" i="14"/>
  <c r="E297" i="14" s="1"/>
  <c r="F297" i="14" s="1"/>
  <c r="C296" i="14"/>
  <c r="C295" i="14"/>
  <c r="E295" i="14" s="1"/>
  <c r="C294" i="14"/>
  <c r="C250" i="14"/>
  <c r="E250" i="14" s="1"/>
  <c r="E249" i="14"/>
  <c r="F249" i="14" s="1"/>
  <c r="E248" i="14"/>
  <c r="F248" i="14"/>
  <c r="E245" i="14"/>
  <c r="F245" i="14" s="1"/>
  <c r="E244" i="14"/>
  <c r="F244" i="14" s="1"/>
  <c r="E243" i="14"/>
  <c r="F243" i="14" s="1"/>
  <c r="C238" i="14"/>
  <c r="E238" i="14" s="1"/>
  <c r="C237" i="14"/>
  <c r="E234" i="14"/>
  <c r="F234" i="14" s="1"/>
  <c r="E233" i="14"/>
  <c r="F233" i="14" s="1"/>
  <c r="C230" i="14"/>
  <c r="E230" i="14" s="1"/>
  <c r="C229" i="14"/>
  <c r="E229" i="14"/>
  <c r="F229" i="14" s="1"/>
  <c r="E228" i="14"/>
  <c r="F228" i="14" s="1"/>
  <c r="C226" i="14"/>
  <c r="C227" i="14" s="1"/>
  <c r="E225" i="14"/>
  <c r="F225" i="14" s="1"/>
  <c r="E224" i="14"/>
  <c r="F224" i="14" s="1"/>
  <c r="C223" i="14"/>
  <c r="E223" i="14" s="1"/>
  <c r="E222" i="14"/>
  <c r="F222" i="14" s="1"/>
  <c r="E221" i="14"/>
  <c r="F221" i="14" s="1"/>
  <c r="C204" i="14"/>
  <c r="E204" i="14" s="1"/>
  <c r="F204" i="14" s="1"/>
  <c r="C203" i="14"/>
  <c r="C198" i="14"/>
  <c r="C191" i="14"/>
  <c r="E191" i="14" s="1"/>
  <c r="C189" i="14"/>
  <c r="C188" i="14"/>
  <c r="C206" i="14" s="1"/>
  <c r="C180" i="14"/>
  <c r="E180" i="14" s="1"/>
  <c r="C179" i="14"/>
  <c r="C171" i="14"/>
  <c r="E171" i="14" s="1"/>
  <c r="F171" i="14" s="1"/>
  <c r="C172" i="14"/>
  <c r="E172" i="14" s="1"/>
  <c r="C170" i="14"/>
  <c r="E170" i="14" s="1"/>
  <c r="E169" i="14"/>
  <c r="F169" i="14" s="1"/>
  <c r="E168" i="14"/>
  <c r="F168" i="14" s="1"/>
  <c r="C165" i="14"/>
  <c r="E165" i="14"/>
  <c r="F165" i="14" s="1"/>
  <c r="C164" i="14"/>
  <c r="E163" i="14"/>
  <c r="F163" i="14" s="1"/>
  <c r="C158" i="14"/>
  <c r="C159" i="14" s="1"/>
  <c r="E159" i="14" s="1"/>
  <c r="E158" i="14"/>
  <c r="F158" i="14" s="1"/>
  <c r="E157" i="14"/>
  <c r="F157" i="14" s="1"/>
  <c r="E156" i="14"/>
  <c r="F156" i="14" s="1"/>
  <c r="F155" i="14"/>
  <c r="C155" i="14"/>
  <c r="E155" i="14" s="1"/>
  <c r="E154" i="14"/>
  <c r="F154" i="14" s="1"/>
  <c r="E153" i="14"/>
  <c r="F153" i="14" s="1"/>
  <c r="C145" i="14"/>
  <c r="E145" i="14" s="1"/>
  <c r="C144" i="14"/>
  <c r="C136" i="14"/>
  <c r="E136" i="14" s="1"/>
  <c r="C135" i="14"/>
  <c r="F134" i="14"/>
  <c r="E134" i="14"/>
  <c r="E133" i="14"/>
  <c r="F133" i="14" s="1"/>
  <c r="C130" i="14"/>
  <c r="C129" i="14"/>
  <c r="E129" i="14" s="1"/>
  <c r="E128" i="14"/>
  <c r="F128" i="14" s="1"/>
  <c r="C123" i="14"/>
  <c r="C193" i="14" s="1"/>
  <c r="C194" i="14" s="1"/>
  <c r="E122" i="14"/>
  <c r="F122" i="14" s="1"/>
  <c r="E121" i="14"/>
  <c r="F121" i="14" s="1"/>
  <c r="C120" i="14"/>
  <c r="E119" i="14"/>
  <c r="F119" i="14" s="1"/>
  <c r="E118" i="14"/>
  <c r="F118" i="14" s="1"/>
  <c r="C110" i="14"/>
  <c r="E110" i="14" s="1"/>
  <c r="C109" i="14"/>
  <c r="E109" i="14" s="1"/>
  <c r="C101" i="14"/>
  <c r="E101" i="14" s="1"/>
  <c r="C100" i="14"/>
  <c r="E100" i="14" s="1"/>
  <c r="F100" i="14" s="1"/>
  <c r="E99" i="14"/>
  <c r="F99" i="14" s="1"/>
  <c r="E98" i="14"/>
  <c r="F98" i="14" s="1"/>
  <c r="C95" i="14"/>
  <c r="E95" i="14" s="1"/>
  <c r="C94" i="14"/>
  <c r="E94" i="14" s="1"/>
  <c r="E93" i="14"/>
  <c r="F93" i="14" s="1"/>
  <c r="C88" i="14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E74" i="14"/>
  <c r="F74" i="14" s="1"/>
  <c r="E73" i="14"/>
  <c r="F73" i="14" s="1"/>
  <c r="C67" i="14"/>
  <c r="E67" i="14" s="1"/>
  <c r="F67" i="14" s="1"/>
  <c r="C66" i="14"/>
  <c r="C59" i="14"/>
  <c r="C60" i="14" s="1"/>
  <c r="C58" i="14"/>
  <c r="E58" i="14"/>
  <c r="E57" i="14"/>
  <c r="F57" i="14"/>
  <c r="E56" i="14"/>
  <c r="F56" i="14"/>
  <c r="C53" i="14"/>
  <c r="E53" i="14" s="1"/>
  <c r="F53" i="14" s="1"/>
  <c r="C52" i="14"/>
  <c r="E51" i="14"/>
  <c r="F51" i="14"/>
  <c r="C47" i="14"/>
  <c r="E47" i="14"/>
  <c r="E46" i="14"/>
  <c r="F46" i="14"/>
  <c r="E45" i="14"/>
  <c r="F45" i="14"/>
  <c r="C44" i="14"/>
  <c r="E44" i="14" s="1"/>
  <c r="F44" i="14" s="1"/>
  <c r="F43" i="14"/>
  <c r="E43" i="14"/>
  <c r="F42" i="14"/>
  <c r="E42" i="14"/>
  <c r="E36" i="14"/>
  <c r="C36" i="14"/>
  <c r="C35" i="14"/>
  <c r="E35" i="14" s="1"/>
  <c r="C30" i="14"/>
  <c r="C31" i="14" s="1"/>
  <c r="C29" i="14"/>
  <c r="E29" i="14" s="1"/>
  <c r="E28" i="14"/>
  <c r="F28" i="14" s="1"/>
  <c r="E27" i="14"/>
  <c r="F27" i="14" s="1"/>
  <c r="C24" i="14"/>
  <c r="C23" i="14"/>
  <c r="E22" i="14"/>
  <c r="F22" i="14" s="1"/>
  <c r="C20" i="14"/>
  <c r="C282" i="14" s="1"/>
  <c r="E19" i="14"/>
  <c r="F19" i="14" s="1"/>
  <c r="E18" i="14"/>
  <c r="F18" i="14" s="1"/>
  <c r="C17" i="14"/>
  <c r="E17" i="14" s="1"/>
  <c r="E16" i="14"/>
  <c r="F16" i="14" s="1"/>
  <c r="E15" i="14"/>
  <c r="F15" i="14" s="1"/>
  <c r="D24" i="13"/>
  <c r="C24" i="13"/>
  <c r="E24" i="13" s="1"/>
  <c r="E23" i="13"/>
  <c r="F23" i="13" s="1"/>
  <c r="D20" i="13"/>
  <c r="C20" i="13"/>
  <c r="E19" i="13"/>
  <c r="F19" i="13" s="1"/>
  <c r="E18" i="13"/>
  <c r="F18" i="13" s="1"/>
  <c r="D15" i="13"/>
  <c r="C15" i="13"/>
  <c r="F14" i="13"/>
  <c r="E14" i="13"/>
  <c r="E13" i="13"/>
  <c r="F13" i="13" s="1"/>
  <c r="E12" i="13"/>
  <c r="F12" i="13" s="1"/>
  <c r="D99" i="12"/>
  <c r="C99" i="12"/>
  <c r="E98" i="12"/>
  <c r="F98" i="12" s="1"/>
  <c r="E97" i="12"/>
  <c r="F97" i="12" s="1"/>
  <c r="E96" i="12"/>
  <c r="F96" i="12" s="1"/>
  <c r="D92" i="12"/>
  <c r="C92" i="12"/>
  <c r="E92" i="12" s="1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C84" i="12"/>
  <c r="E84" i="12" s="1"/>
  <c r="E83" i="12"/>
  <c r="F83" i="12" s="1"/>
  <c r="E82" i="12"/>
  <c r="F82" i="12" s="1"/>
  <c r="E81" i="12"/>
  <c r="F81" i="12" s="1"/>
  <c r="E80" i="12"/>
  <c r="F80" i="12" s="1"/>
  <c r="F79" i="12"/>
  <c r="E79" i="12"/>
  <c r="D75" i="12"/>
  <c r="C75" i="12"/>
  <c r="E74" i="12"/>
  <c r="F74" i="12" s="1"/>
  <c r="E73" i="12"/>
  <c r="E75" i="12" s="1"/>
  <c r="F75" i="12" s="1"/>
  <c r="D70" i="12"/>
  <c r="C70" i="12"/>
  <c r="E70" i="12" s="1"/>
  <c r="E69" i="12"/>
  <c r="F69" i="12" s="1"/>
  <c r="E68" i="12"/>
  <c r="F68" i="12" s="1"/>
  <c r="D65" i="12"/>
  <c r="C65" i="12"/>
  <c r="E65" i="12" s="1"/>
  <c r="E64" i="12"/>
  <c r="F64" i="12" s="1"/>
  <c r="E63" i="12"/>
  <c r="F63" i="12" s="1"/>
  <c r="D60" i="12"/>
  <c r="C60" i="12"/>
  <c r="E59" i="12"/>
  <c r="F59" i="12" s="1"/>
  <c r="E58" i="12"/>
  <c r="E60" i="12" s="1"/>
  <c r="F60" i="12" s="1"/>
  <c r="D55" i="12"/>
  <c r="C55" i="12"/>
  <c r="E55" i="12" s="1"/>
  <c r="E54" i="12"/>
  <c r="F54" i="12" s="1"/>
  <c r="E53" i="12"/>
  <c r="F53" i="12" s="1"/>
  <c r="D50" i="12"/>
  <c r="C50" i="12"/>
  <c r="E50" i="12" s="1"/>
  <c r="E49" i="12"/>
  <c r="F49" i="12" s="1"/>
  <c r="E48" i="12"/>
  <c r="F48" i="12" s="1"/>
  <c r="D45" i="12"/>
  <c r="C45" i="12"/>
  <c r="E44" i="12"/>
  <c r="F44" i="12" s="1"/>
  <c r="E43" i="12"/>
  <c r="F43" i="12" s="1"/>
  <c r="D37" i="12"/>
  <c r="C37" i="12"/>
  <c r="E37" i="12" s="1"/>
  <c r="F36" i="12"/>
  <c r="E36" i="12"/>
  <c r="E35" i="12"/>
  <c r="F35" i="12" s="1"/>
  <c r="E34" i="12"/>
  <c r="F34" i="12" s="1"/>
  <c r="E33" i="12"/>
  <c r="F33" i="12" s="1"/>
  <c r="D30" i="12"/>
  <c r="E30" i="12" s="1"/>
  <c r="C30" i="12"/>
  <c r="F29" i="12"/>
  <c r="E29" i="12"/>
  <c r="E28" i="12"/>
  <c r="F28" i="12" s="1"/>
  <c r="E27" i="12"/>
  <c r="F27" i="12" s="1"/>
  <c r="E26" i="12"/>
  <c r="F26" i="12" s="1"/>
  <c r="D23" i="12"/>
  <c r="C23" i="12"/>
  <c r="E23" i="12" s="1"/>
  <c r="F22" i="12"/>
  <c r="E22" i="12"/>
  <c r="E21" i="12"/>
  <c r="F21" i="12" s="1"/>
  <c r="E20" i="12"/>
  <c r="F20" i="12" s="1"/>
  <c r="E19" i="12"/>
  <c r="F19" i="12" s="1"/>
  <c r="D16" i="12"/>
  <c r="E16" i="12" s="1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1" i="11"/>
  <c r="E17" i="11"/>
  <c r="E31" i="11" s="1"/>
  <c r="D17" i="11"/>
  <c r="D33" i="11" s="1"/>
  <c r="D36" i="11" s="1"/>
  <c r="D38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 s="1"/>
  <c r="D66" i="10"/>
  <c r="C66" i="10"/>
  <c r="C65" i="10" s="1"/>
  <c r="D65" i="10"/>
  <c r="E60" i="10"/>
  <c r="D60" i="10"/>
  <c r="C60" i="10"/>
  <c r="E58" i="10"/>
  <c r="D58" i="10"/>
  <c r="C58" i="10"/>
  <c r="E55" i="10"/>
  <c r="D55" i="10"/>
  <c r="C55" i="10"/>
  <c r="E54" i="10"/>
  <c r="E50" i="10" s="1"/>
  <c r="D54" i="10"/>
  <c r="D50" i="10" s="1"/>
  <c r="C54" i="10"/>
  <c r="E46" i="10"/>
  <c r="E59" i="10" s="1"/>
  <c r="E61" i="10" s="1"/>
  <c r="E57" i="10" s="1"/>
  <c r="D46" i="10"/>
  <c r="C46" i="10"/>
  <c r="C59" i="10" s="1"/>
  <c r="C61" i="10" s="1"/>
  <c r="C57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15" i="10" s="1"/>
  <c r="D13" i="10"/>
  <c r="C13" i="10"/>
  <c r="C25" i="10" s="1"/>
  <c r="C27" i="10" s="1"/>
  <c r="D46" i="9"/>
  <c r="C46" i="9"/>
  <c r="E46" i="9" s="1"/>
  <c r="F45" i="9"/>
  <c r="E45" i="9"/>
  <c r="E44" i="9"/>
  <c r="F44" i="9" s="1"/>
  <c r="D39" i="9"/>
  <c r="E39" i="9" s="1"/>
  <c r="C39" i="9"/>
  <c r="E38" i="9"/>
  <c r="F38" i="9" s="1"/>
  <c r="E37" i="9"/>
  <c r="F37" i="9" s="1"/>
  <c r="E36" i="9"/>
  <c r="F36" i="9" s="1"/>
  <c r="D31" i="9"/>
  <c r="C31" i="9"/>
  <c r="E30" i="9"/>
  <c r="F30" i="9" s="1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E18" i="9"/>
  <c r="F18" i="9" s="1"/>
  <c r="E17" i="9"/>
  <c r="F17" i="9" s="1"/>
  <c r="D16" i="9"/>
  <c r="E16" i="9" s="1"/>
  <c r="C16" i="9"/>
  <c r="F15" i="9"/>
  <c r="E15" i="9"/>
  <c r="E14" i="9"/>
  <c r="F14" i="9" s="1"/>
  <c r="E13" i="9"/>
  <c r="F13" i="9" s="1"/>
  <c r="E12" i="9"/>
  <c r="F12" i="9" s="1"/>
  <c r="D73" i="8"/>
  <c r="C73" i="8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D61" i="8"/>
  <c r="E61" i="8" s="1"/>
  <c r="C61" i="8"/>
  <c r="F60" i="8"/>
  <c r="E60" i="8"/>
  <c r="F59" i="8"/>
  <c r="E59" i="8"/>
  <c r="D56" i="8"/>
  <c r="E56" i="8" s="1"/>
  <c r="F56" i="8" s="1"/>
  <c r="C56" i="8"/>
  <c r="F55" i="8"/>
  <c r="E55" i="8"/>
  <c r="E54" i="8"/>
  <c r="F54" i="8" s="1"/>
  <c r="F53" i="8"/>
  <c r="E53" i="8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E38" i="8"/>
  <c r="F38" i="8" s="1"/>
  <c r="C38" i="8"/>
  <c r="C41" i="8"/>
  <c r="E37" i="8"/>
  <c r="F37" i="8" s="1"/>
  <c r="E36" i="8"/>
  <c r="F36" i="8" s="1"/>
  <c r="E33" i="8"/>
  <c r="F33" i="8" s="1"/>
  <c r="F32" i="8"/>
  <c r="E32" i="8"/>
  <c r="F31" i="8"/>
  <c r="E31" i="8"/>
  <c r="D29" i="8"/>
  <c r="C29" i="8"/>
  <c r="E28" i="8"/>
  <c r="F28" i="8" s="1"/>
  <c r="F27" i="8"/>
  <c r="E27" i="8"/>
  <c r="F26" i="8"/>
  <c r="E26" i="8"/>
  <c r="E25" i="8"/>
  <c r="F25" i="8" s="1"/>
  <c r="D22" i="8"/>
  <c r="E22" i="8" s="1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C120" i="7"/>
  <c r="D119" i="7"/>
  <c r="E119" i="7" s="1"/>
  <c r="C119" i="7"/>
  <c r="D118" i="7"/>
  <c r="C118" i="7"/>
  <c r="D117" i="7"/>
  <c r="E117" i="7" s="1"/>
  <c r="C117" i="7"/>
  <c r="D116" i="7"/>
  <c r="C116" i="7"/>
  <c r="D115" i="7"/>
  <c r="E115" i="7" s="1"/>
  <c r="C115" i="7"/>
  <c r="D114" i="7"/>
  <c r="C114" i="7"/>
  <c r="D113" i="7"/>
  <c r="E113" i="7" s="1"/>
  <c r="C113" i="7"/>
  <c r="D112" i="7"/>
  <c r="E112" i="7" s="1"/>
  <c r="F112" i="7" s="1"/>
  <c r="C112" i="7"/>
  <c r="C121" i="7"/>
  <c r="D108" i="7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E96" i="7" s="1"/>
  <c r="C96" i="7"/>
  <c r="D95" i="7"/>
  <c r="C95" i="7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F58" i="7"/>
  <c r="E58" i="7"/>
  <c r="E57" i="7"/>
  <c r="F57" i="7" s="1"/>
  <c r="E56" i="7"/>
  <c r="F56" i="7" s="1"/>
  <c r="E55" i="7"/>
  <c r="F55" i="7" s="1"/>
  <c r="F54" i="7"/>
  <c r="E54" i="7"/>
  <c r="E53" i="7"/>
  <c r="F53" i="7" s="1"/>
  <c r="E52" i="7"/>
  <c r="F52" i="7" s="1"/>
  <c r="E51" i="7"/>
  <c r="F51" i="7" s="1"/>
  <c r="E50" i="7"/>
  <c r="F50" i="7" s="1"/>
  <c r="D48" i="7"/>
  <c r="E48" i="7" s="1"/>
  <c r="C48" i="7"/>
  <c r="F48" i="7" s="1"/>
  <c r="D47" i="7"/>
  <c r="E47" i="7" s="1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C36" i="7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C24" i="7"/>
  <c r="F24" i="7" s="1"/>
  <c r="D23" i="7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D204" i="6"/>
  <c r="C204" i="6"/>
  <c r="D203" i="6"/>
  <c r="E203" i="6" s="1"/>
  <c r="C203" i="6"/>
  <c r="D202" i="6"/>
  <c r="C202" i="6"/>
  <c r="D201" i="6"/>
  <c r="C201" i="6"/>
  <c r="D200" i="6"/>
  <c r="C200" i="6"/>
  <c r="D199" i="6"/>
  <c r="E199" i="6" s="1"/>
  <c r="C199" i="6"/>
  <c r="C208" i="6" s="1"/>
  <c r="D198" i="6"/>
  <c r="E198" i="6" s="1"/>
  <c r="C198" i="6"/>
  <c r="F193" i="6"/>
  <c r="D193" i="6"/>
  <c r="E193" i="6"/>
  <c r="C193" i="6"/>
  <c r="F192" i="6"/>
  <c r="D192" i="6"/>
  <c r="E192" i="6"/>
  <c r="C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7" i="6"/>
  <c r="D167" i="6"/>
  <c r="E167" i="6"/>
  <c r="C167" i="6"/>
  <c r="F166" i="6"/>
  <c r="D166" i="6"/>
  <c r="E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 s="1"/>
  <c r="D140" i="6"/>
  <c r="E140" i="6" s="1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F115" i="6" s="1"/>
  <c r="D114" i="6"/>
  <c r="E114" i="6" s="1"/>
  <c r="C114" i="6"/>
  <c r="F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D101" i="6"/>
  <c r="C101" i="6"/>
  <c r="E100" i="6"/>
  <c r="F100" i="6" s="1"/>
  <c r="E99" i="6"/>
  <c r="F99" i="6" s="1"/>
  <c r="E98" i="6"/>
  <c r="F98" i="6" s="1"/>
  <c r="E97" i="6"/>
  <c r="F97" i="6" s="1"/>
  <c r="E96" i="6"/>
  <c r="F96" i="6" s="1"/>
  <c r="E95" i="6"/>
  <c r="F95" i="6" s="1"/>
  <c r="E94" i="6"/>
  <c r="F94" i="6" s="1"/>
  <c r="E93" i="6"/>
  <c r="F93" i="6" s="1"/>
  <c r="E92" i="6"/>
  <c r="F92" i="6" s="1"/>
  <c r="D89" i="6"/>
  <c r="C89" i="6"/>
  <c r="F89" i="6" s="1"/>
  <c r="D88" i="6"/>
  <c r="E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C37" i="6"/>
  <c r="F37" i="6" s="1"/>
  <c r="D36" i="6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 s="1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C161" i="5"/>
  <c r="E160" i="5"/>
  <c r="E166" i="5" s="1"/>
  <c r="C160" i="5"/>
  <c r="C166" i="5" s="1"/>
  <c r="E147" i="5"/>
  <c r="D147" i="5"/>
  <c r="D143" i="5" s="1"/>
  <c r="C147" i="5"/>
  <c r="E145" i="5"/>
  <c r="D145" i="5"/>
  <c r="C145" i="5"/>
  <c r="E144" i="5"/>
  <c r="D144" i="5"/>
  <c r="C144" i="5"/>
  <c r="E143" i="5"/>
  <c r="E149" i="5" s="1"/>
  <c r="C143" i="5"/>
  <c r="C149" i="5" s="1"/>
  <c r="E126" i="5"/>
  <c r="D126" i="5"/>
  <c r="C126" i="5"/>
  <c r="E119" i="5"/>
  <c r="D119" i="5"/>
  <c r="C119" i="5"/>
  <c r="E108" i="5"/>
  <c r="D108" i="5"/>
  <c r="C108" i="5"/>
  <c r="E107" i="5"/>
  <c r="E109" i="5"/>
  <c r="E106" i="5" s="1"/>
  <c r="D107" i="5"/>
  <c r="D109" i="5" s="1"/>
  <c r="D106" i="5" s="1"/>
  <c r="C107" i="5"/>
  <c r="E102" i="5"/>
  <c r="E104" i="5" s="1"/>
  <c r="D102" i="5"/>
  <c r="D104" i="5" s="1"/>
  <c r="C102" i="5"/>
  <c r="C104" i="5" s="1"/>
  <c r="E100" i="5"/>
  <c r="D100" i="5"/>
  <c r="C100" i="5"/>
  <c r="E95" i="5"/>
  <c r="D95" i="5"/>
  <c r="C95" i="5"/>
  <c r="C94" i="5"/>
  <c r="E94" i="5"/>
  <c r="D94" i="5"/>
  <c r="E89" i="5"/>
  <c r="D89" i="5"/>
  <c r="C89" i="5"/>
  <c r="E87" i="5"/>
  <c r="D87" i="5"/>
  <c r="C87" i="5"/>
  <c r="E84" i="5"/>
  <c r="D84" i="5"/>
  <c r="C84" i="5"/>
  <c r="E83" i="5"/>
  <c r="E79" i="5" s="1"/>
  <c r="D83" i="5"/>
  <c r="D79" i="5" s="1"/>
  <c r="C83" i="5"/>
  <c r="C79" i="5" s="1"/>
  <c r="E75" i="5"/>
  <c r="E77" i="5" s="1"/>
  <c r="E71" i="5" s="1"/>
  <c r="D75" i="5"/>
  <c r="D77" i="5" s="1"/>
  <c r="D71" i="5" s="1"/>
  <c r="D88" i="5"/>
  <c r="D90" i="5" s="1"/>
  <c r="D86" i="5" s="1"/>
  <c r="C75" i="5"/>
  <c r="C88" i="5"/>
  <c r="C90" i="5" s="1"/>
  <c r="C86" i="5" s="1"/>
  <c r="E74" i="5"/>
  <c r="D74" i="5"/>
  <c r="C74" i="5"/>
  <c r="E67" i="5"/>
  <c r="D67" i="5"/>
  <c r="C67" i="5"/>
  <c r="E38" i="5"/>
  <c r="E53" i="5" s="1"/>
  <c r="D38" i="5"/>
  <c r="D43" i="5"/>
  <c r="C38" i="5"/>
  <c r="C43" i="5" s="1"/>
  <c r="C57" i="5"/>
  <c r="C62" i="5" s="1"/>
  <c r="E33" i="5"/>
  <c r="E34" i="5" s="1"/>
  <c r="D33" i="5"/>
  <c r="D34" i="5" s="1"/>
  <c r="E26" i="5"/>
  <c r="D26" i="5"/>
  <c r="C26" i="5"/>
  <c r="E13" i="5"/>
  <c r="E15" i="5" s="1"/>
  <c r="D13" i="5"/>
  <c r="D25" i="5" s="1"/>
  <c r="D27" i="5" s="1"/>
  <c r="C13" i="5"/>
  <c r="C25" i="5" s="1"/>
  <c r="C27" i="5" s="1"/>
  <c r="E174" i="4"/>
  <c r="F174" i="4" s="1"/>
  <c r="D171" i="4"/>
  <c r="C171" i="4"/>
  <c r="F170" i="4"/>
  <c r="E170" i="4"/>
  <c r="E169" i="4"/>
  <c r="F169" i="4" s="1"/>
  <c r="F168" i="4"/>
  <c r="E168" i="4"/>
  <c r="E167" i="4"/>
  <c r="F167" i="4" s="1"/>
  <c r="F166" i="4"/>
  <c r="E166" i="4"/>
  <c r="F165" i="4"/>
  <c r="E165" i="4"/>
  <c r="E164" i="4"/>
  <c r="F164" i="4" s="1"/>
  <c r="E163" i="4"/>
  <c r="F163" i="4" s="1"/>
  <c r="F162" i="4"/>
  <c r="E162" i="4"/>
  <c r="E161" i="4"/>
  <c r="F161" i="4" s="1"/>
  <c r="E160" i="4"/>
  <c r="F160" i="4" s="1"/>
  <c r="E159" i="4"/>
  <c r="F159" i="4" s="1"/>
  <c r="E158" i="4"/>
  <c r="F158" i="4" s="1"/>
  <c r="D155" i="4"/>
  <c r="E155" i="4" s="1"/>
  <c r="C155" i="4"/>
  <c r="E154" i="4"/>
  <c r="F154" i="4" s="1"/>
  <c r="E153" i="4"/>
  <c r="F153" i="4" s="1"/>
  <c r="E152" i="4"/>
  <c r="F152" i="4" s="1"/>
  <c r="E151" i="4"/>
  <c r="F151" i="4" s="1"/>
  <c r="F150" i="4"/>
  <c r="E150" i="4"/>
  <c r="E149" i="4"/>
  <c r="F149" i="4" s="1"/>
  <c r="E148" i="4"/>
  <c r="F148" i="4" s="1"/>
  <c r="E147" i="4"/>
  <c r="F147" i="4" s="1"/>
  <c r="F146" i="4"/>
  <c r="E146" i="4"/>
  <c r="E145" i="4"/>
  <c r="F145" i="4" s="1"/>
  <c r="E144" i="4"/>
  <c r="F144" i="4" s="1"/>
  <c r="E143" i="4"/>
  <c r="F143" i="4" s="1"/>
  <c r="E142" i="4"/>
  <c r="F142" i="4" s="1"/>
  <c r="E141" i="4"/>
  <c r="F141" i="4" s="1"/>
  <c r="E140" i="4"/>
  <c r="F140" i="4" s="1"/>
  <c r="F139" i="4"/>
  <c r="E139" i="4"/>
  <c r="E138" i="4"/>
  <c r="F138" i="4" s="1"/>
  <c r="E137" i="4"/>
  <c r="F137" i="4" s="1"/>
  <c r="E136" i="4"/>
  <c r="F136" i="4" s="1"/>
  <c r="F135" i="4"/>
  <c r="E135" i="4"/>
  <c r="E134" i="4"/>
  <c r="F134" i="4" s="1"/>
  <c r="E133" i="4"/>
  <c r="F133" i="4" s="1"/>
  <c r="E132" i="4"/>
  <c r="F132" i="4" s="1"/>
  <c r="E131" i="4"/>
  <c r="F131" i="4" s="1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C118" i="4"/>
  <c r="E117" i="4"/>
  <c r="F117" i="4" s="1"/>
  <c r="E116" i="4"/>
  <c r="F116" i="4" s="1"/>
  <c r="E115" i="4"/>
  <c r="F115" i="4" s="1"/>
  <c r="E114" i="4"/>
  <c r="F114" i="4" s="1"/>
  <c r="E113" i="4"/>
  <c r="F113" i="4" s="1"/>
  <c r="E112" i="4"/>
  <c r="F112" i="4" s="1"/>
  <c r="D109" i="4"/>
  <c r="C109" i="4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E81" i="4"/>
  <c r="F81" i="4" s="1"/>
  <c r="D78" i="4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E41" i="4" s="1"/>
  <c r="F41" i="4" s="1"/>
  <c r="C41" i="4"/>
  <c r="F40" i="4"/>
  <c r="E40" i="4"/>
  <c r="E39" i="4"/>
  <c r="F39" i="4"/>
  <c r="E38" i="4"/>
  <c r="F38" i="4"/>
  <c r="D35" i="4"/>
  <c r="C35" i="4"/>
  <c r="E35" i="4" s="1"/>
  <c r="E34" i="4"/>
  <c r="F34" i="4" s="1"/>
  <c r="E33" i="4"/>
  <c r="F33" i="4" s="1"/>
  <c r="D30" i="4"/>
  <c r="C30" i="4"/>
  <c r="E29" i="4"/>
  <c r="F29" i="4" s="1"/>
  <c r="E28" i="4"/>
  <c r="F28" i="4" s="1"/>
  <c r="E27" i="4"/>
  <c r="F27" i="4" s="1"/>
  <c r="D24" i="4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C179" i="3"/>
  <c r="F178" i="3"/>
  <c r="E178" i="3"/>
  <c r="E177" i="3"/>
  <c r="F177" i="3" s="1"/>
  <c r="E176" i="3"/>
  <c r="F176" i="3" s="1"/>
  <c r="F175" i="3"/>
  <c r="E175" i="3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F162" i="3"/>
  <c r="E162" i="3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F152" i="3"/>
  <c r="E152" i="3"/>
  <c r="E151" i="3"/>
  <c r="F151" i="3" s="1"/>
  <c r="E150" i="3"/>
  <c r="F150" i="3" s="1"/>
  <c r="F149" i="3"/>
  <c r="E149" i="3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F136" i="3"/>
  <c r="E136" i="3"/>
  <c r="E135" i="3"/>
  <c r="F135" i="3" s="1"/>
  <c r="E134" i="3"/>
  <c r="F134" i="3" s="1"/>
  <c r="F133" i="3"/>
  <c r="E133" i="3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F123" i="3"/>
  <c r="E123" i="3"/>
  <c r="E122" i="3"/>
  <c r="F122" i="3" s="1"/>
  <c r="E121" i="3"/>
  <c r="F121" i="3" s="1"/>
  <c r="F120" i="3"/>
  <c r="E120" i="3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C111" i="3"/>
  <c r="F110" i="3"/>
  <c r="E110" i="3"/>
  <c r="E109" i="3"/>
  <c r="F109" i="3" s="1"/>
  <c r="E108" i="3"/>
  <c r="F108" i="3" s="1"/>
  <c r="F107" i="3"/>
  <c r="E107" i="3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C94" i="3"/>
  <c r="F94" i="3" s="1"/>
  <c r="D93" i="3"/>
  <c r="C93" i="3"/>
  <c r="D92" i="3"/>
  <c r="C92" i="3"/>
  <c r="D91" i="3"/>
  <c r="C91" i="3"/>
  <c r="F91" i="3" s="1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E84" i="3" s="1"/>
  <c r="C84" i="3"/>
  <c r="F84" i="3" s="1"/>
  <c r="D81" i="3"/>
  <c r="E81" i="3" s="1"/>
  <c r="F81" i="3" s="1"/>
  <c r="C81" i="3"/>
  <c r="F80" i="3"/>
  <c r="E80" i="3"/>
  <c r="E79" i="3"/>
  <c r="F79" i="3" s="1"/>
  <c r="E78" i="3"/>
  <c r="F78" i="3" s="1"/>
  <c r="F77" i="3"/>
  <c r="E77" i="3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F67" i="3"/>
  <c r="E67" i="3"/>
  <c r="E66" i="3"/>
  <c r="F66" i="3" s="1"/>
  <c r="E65" i="3"/>
  <c r="F65" i="3" s="1"/>
  <c r="F64" i="3"/>
  <c r="E64" i="3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E51" i="3" s="1"/>
  <c r="C51" i="3"/>
  <c r="F51" i="3"/>
  <c r="D50" i="3"/>
  <c r="C50" i="3"/>
  <c r="D49" i="3"/>
  <c r="C49" i="3"/>
  <c r="D48" i="3"/>
  <c r="E48" i="3" s="1"/>
  <c r="C48" i="3"/>
  <c r="F48" i="3"/>
  <c r="D47" i="3"/>
  <c r="C47" i="3"/>
  <c r="D46" i="3"/>
  <c r="C46" i="3"/>
  <c r="D45" i="3"/>
  <c r="E45" i="3" s="1"/>
  <c r="F45" i="3" s="1"/>
  <c r="C45" i="3"/>
  <c r="D44" i="3"/>
  <c r="E44" i="3" s="1"/>
  <c r="F44" i="3" s="1"/>
  <c r="C44" i="3"/>
  <c r="D43" i="3"/>
  <c r="E43" i="3" s="1"/>
  <c r="F43" i="3" s="1"/>
  <c r="C43" i="3"/>
  <c r="D42" i="3"/>
  <c r="E42" i="3" s="1"/>
  <c r="F42" i="3" s="1"/>
  <c r="C42" i="3"/>
  <c r="D41" i="3"/>
  <c r="E41" i="3" s="1"/>
  <c r="C41" i="3"/>
  <c r="D38" i="3"/>
  <c r="C38" i="3"/>
  <c r="F37" i="3"/>
  <c r="E37" i="3"/>
  <c r="E36" i="3"/>
  <c r="F36" i="3" s="1"/>
  <c r="E35" i="3"/>
  <c r="F35" i="3" s="1"/>
  <c r="F34" i="3"/>
  <c r="E34" i="3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F24" i="3"/>
  <c r="E24" i="3"/>
  <c r="E23" i="3"/>
  <c r="F23" i="3" s="1"/>
  <c r="E22" i="3"/>
  <c r="F22" i="3" s="1"/>
  <c r="F21" i="3"/>
  <c r="E21" i="3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F45" i="2"/>
  <c r="E45" i="2"/>
  <c r="E44" i="2"/>
  <c r="F44" i="2" s="1"/>
  <c r="D39" i="2"/>
  <c r="C39" i="2"/>
  <c r="E38" i="2"/>
  <c r="F38" i="2" s="1"/>
  <c r="E37" i="2"/>
  <c r="F37" i="2" s="1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C16" i="2"/>
  <c r="F15" i="2"/>
  <c r="E15" i="2"/>
  <c r="E14" i="2"/>
  <c r="F14" i="2" s="1"/>
  <c r="E13" i="2"/>
  <c r="F13" i="2" s="1"/>
  <c r="E12" i="2"/>
  <c r="F12" i="2" s="1"/>
  <c r="D73" i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D65" i="1" s="1"/>
  <c r="C61" i="1"/>
  <c r="E60" i="1"/>
  <c r="F60" i="1" s="1"/>
  <c r="E59" i="1"/>
  <c r="F59" i="1" s="1"/>
  <c r="D56" i="1"/>
  <c r="D75" i="1" s="1"/>
  <c r="C56" i="1"/>
  <c r="E55" i="1"/>
  <c r="F55" i="1" s="1"/>
  <c r="F54" i="1"/>
  <c r="E54" i="1"/>
  <c r="F53" i="1"/>
  <c r="E53" i="1"/>
  <c r="F52" i="1"/>
  <c r="E52" i="1"/>
  <c r="E51" i="1"/>
  <c r="F51" i="1" s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E38" i="1" s="1"/>
  <c r="C38" i="1"/>
  <c r="C41" i="1" s="1"/>
  <c r="C43" i="1" s="1"/>
  <c r="E37" i="1"/>
  <c r="F37" i="1" s="1"/>
  <c r="E36" i="1"/>
  <c r="F36" i="1" s="1"/>
  <c r="E33" i="1"/>
  <c r="F33" i="1" s="1"/>
  <c r="F32" i="1"/>
  <c r="E32" i="1"/>
  <c r="F31" i="1"/>
  <c r="E31" i="1"/>
  <c r="D29" i="1"/>
  <c r="C29" i="1"/>
  <c r="E28" i="1"/>
  <c r="F28" i="1" s="1"/>
  <c r="F27" i="1"/>
  <c r="E27" i="1"/>
  <c r="F26" i="1"/>
  <c r="E26" i="1"/>
  <c r="E25" i="1"/>
  <c r="F25" i="1" s="1"/>
  <c r="D22" i="1"/>
  <c r="C22" i="1"/>
  <c r="E21" i="1"/>
  <c r="F21" i="1" s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F14" i="1"/>
  <c r="E14" i="1"/>
  <c r="E13" i="1"/>
  <c r="F13" i="1" s="1"/>
  <c r="E179" i="14"/>
  <c r="F179" i="14" s="1"/>
  <c r="E227" i="14"/>
  <c r="E296" i="14"/>
  <c r="F296" i="14" s="1"/>
  <c r="D68" i="14"/>
  <c r="D146" i="14"/>
  <c r="D190" i="14"/>
  <c r="D272" i="14"/>
  <c r="D283" i="14"/>
  <c r="D278" i="14"/>
  <c r="F17" i="14"/>
  <c r="F36" i="14"/>
  <c r="D239" i="14"/>
  <c r="D264" i="14"/>
  <c r="F85" i="14"/>
  <c r="E120" i="14"/>
  <c r="E189" i="14"/>
  <c r="F189" i="14" s="1"/>
  <c r="E203" i="14"/>
  <c r="D214" i="14"/>
  <c r="D254" i="14" s="1"/>
  <c r="E254" i="14" s="1"/>
  <c r="F254" i="14" s="1"/>
  <c r="C21" i="5"/>
  <c r="C139" i="5"/>
  <c r="C135" i="5"/>
  <c r="C138" i="5"/>
  <c r="C136" i="5"/>
  <c r="C140" i="5"/>
  <c r="C137" i="5"/>
  <c r="E154" i="5"/>
  <c r="E157" i="5"/>
  <c r="E155" i="5"/>
  <c r="E152" i="5"/>
  <c r="E156" i="5"/>
  <c r="E153" i="5"/>
  <c r="C156" i="5"/>
  <c r="C152" i="5"/>
  <c r="C154" i="5"/>
  <c r="C155" i="5"/>
  <c r="C153" i="5"/>
  <c r="C157" i="5"/>
  <c r="C21" i="10"/>
  <c r="D21" i="5"/>
  <c r="E137" i="5"/>
  <c r="E135" i="5"/>
  <c r="E139" i="5"/>
  <c r="E136" i="5"/>
  <c r="E140" i="5"/>
  <c r="E138" i="5"/>
  <c r="D15" i="10"/>
  <c r="D25" i="10"/>
  <c r="D27" i="10" s="1"/>
  <c r="E22" i="1"/>
  <c r="F22" i="1" s="1"/>
  <c r="E29" i="1"/>
  <c r="F29" i="1" s="1"/>
  <c r="E56" i="1"/>
  <c r="F56" i="1" s="1"/>
  <c r="E61" i="1"/>
  <c r="F61" i="1" s="1"/>
  <c r="E73" i="1"/>
  <c r="F73" i="1" s="1"/>
  <c r="E39" i="2"/>
  <c r="F39" i="2" s="1"/>
  <c r="E46" i="2"/>
  <c r="F46" i="2" s="1"/>
  <c r="E25" i="3"/>
  <c r="F25" i="3" s="1"/>
  <c r="C52" i="3"/>
  <c r="E68" i="3"/>
  <c r="F68" i="3" s="1"/>
  <c r="C95" i="3"/>
  <c r="E111" i="3"/>
  <c r="F111" i="3" s="1"/>
  <c r="E137" i="3"/>
  <c r="F137" i="3" s="1"/>
  <c r="E166" i="3"/>
  <c r="F166" i="3" s="1"/>
  <c r="E18" i="4"/>
  <c r="F18" i="4" s="1"/>
  <c r="E30" i="4"/>
  <c r="F30" i="4" s="1"/>
  <c r="E59" i="4"/>
  <c r="F59" i="4" s="1"/>
  <c r="E78" i="4"/>
  <c r="F78" i="4" s="1"/>
  <c r="C83" i="4"/>
  <c r="E171" i="4"/>
  <c r="F171" i="4" s="1"/>
  <c r="C176" i="4"/>
  <c r="D49" i="5"/>
  <c r="C15" i="5"/>
  <c r="E25" i="5"/>
  <c r="E27" i="5"/>
  <c r="C49" i="5"/>
  <c r="D53" i="5"/>
  <c r="C77" i="5"/>
  <c r="C71" i="5"/>
  <c r="E63" i="6"/>
  <c r="F63" i="6"/>
  <c r="E115" i="6"/>
  <c r="D207" i="6"/>
  <c r="D65" i="8"/>
  <c r="H17" i="11"/>
  <c r="F33" i="11"/>
  <c r="E24" i="10"/>
  <c r="E17" i="10"/>
  <c r="E28" i="10" s="1"/>
  <c r="E70" i="10" s="1"/>
  <c r="E72" i="10" s="1"/>
  <c r="E69" i="10" s="1"/>
  <c r="C65" i="1"/>
  <c r="E65" i="1" s="1"/>
  <c r="F65" i="1" s="1"/>
  <c r="D57" i="5"/>
  <c r="D62" i="5" s="1"/>
  <c r="D121" i="7"/>
  <c r="E121" i="7" s="1"/>
  <c r="F121" i="7" s="1"/>
  <c r="D59" i="10"/>
  <c r="D61" i="10" s="1"/>
  <c r="D57" i="10" s="1"/>
  <c r="D48" i="10"/>
  <c r="D42" i="10"/>
  <c r="C19" i="2"/>
  <c r="E88" i="5"/>
  <c r="E90" i="5" s="1"/>
  <c r="E86" i="5" s="1"/>
  <c r="F35" i="4"/>
  <c r="E37" i="6"/>
  <c r="E89" i="6"/>
  <c r="E141" i="6"/>
  <c r="D208" i="6"/>
  <c r="E208" i="6" s="1"/>
  <c r="F208" i="6" s="1"/>
  <c r="D41" i="8"/>
  <c r="E41" i="8"/>
  <c r="F41" i="8" s="1"/>
  <c r="C50" i="10"/>
  <c r="D75" i="8"/>
  <c r="D55" i="15"/>
  <c r="E55" i="15"/>
  <c r="E54" i="15"/>
  <c r="D189" i="15"/>
  <c r="D261" i="15"/>
  <c r="E261" i="15" s="1"/>
  <c r="E188" i="15"/>
  <c r="E205" i="15"/>
  <c r="D210" i="15"/>
  <c r="E218" i="15"/>
  <c r="D217" i="15"/>
  <c r="E20" i="14"/>
  <c r="E23" i="14"/>
  <c r="F23" i="14" s="1"/>
  <c r="E31" i="14"/>
  <c r="F31" i="14" s="1"/>
  <c r="C48" i="14"/>
  <c r="E52" i="14"/>
  <c r="F52" i="14"/>
  <c r="E60" i="14"/>
  <c r="F60" i="14"/>
  <c r="E66" i="14"/>
  <c r="F66" i="14"/>
  <c r="E76" i="14"/>
  <c r="F76" i="14"/>
  <c r="E88" i="14"/>
  <c r="F88" i="14"/>
  <c r="F101" i="14"/>
  <c r="F136" i="14"/>
  <c r="F159" i="14"/>
  <c r="F170" i="14"/>
  <c r="C181" i="14"/>
  <c r="C199" i="14"/>
  <c r="E226" i="14"/>
  <c r="F226" i="14" s="1"/>
  <c r="F238" i="14"/>
  <c r="C266" i="14"/>
  <c r="C274" i="14"/>
  <c r="E22" i="15"/>
  <c r="C239" i="15"/>
  <c r="C283" i="15"/>
  <c r="C316" i="15"/>
  <c r="C320" i="15" s="1"/>
  <c r="D41" i="17"/>
  <c r="C215" i="14"/>
  <c r="C267" i="14"/>
  <c r="C283" i="14"/>
  <c r="C205" i="14"/>
  <c r="F203" i="14"/>
  <c r="C306" i="14"/>
  <c r="F250" i="14"/>
  <c r="C145" i="15"/>
  <c r="E156" i="15"/>
  <c r="D157" i="15"/>
  <c r="E157" i="15"/>
  <c r="D252" i="15"/>
  <c r="E231" i="15"/>
  <c r="F29" i="14"/>
  <c r="F35" i="14"/>
  <c r="C37" i="14"/>
  <c r="F47" i="14"/>
  <c r="F58" i="14"/>
  <c r="F94" i="14"/>
  <c r="F95" i="14"/>
  <c r="F120" i="14"/>
  <c r="F129" i="14"/>
  <c r="C146" i="14"/>
  <c r="C214" i="14"/>
  <c r="F227" i="14"/>
  <c r="C278" i="14"/>
  <c r="E21" i="15"/>
  <c r="E219" i="15"/>
  <c r="D43" i="15"/>
  <c r="E38" i="15"/>
  <c r="D71" i="15"/>
  <c r="D65" i="15"/>
  <c r="D294" i="15" s="1"/>
  <c r="D289" i="15"/>
  <c r="E289" i="15" s="1"/>
  <c r="E60" i="15"/>
  <c r="D144" i="15"/>
  <c r="D175" i="15"/>
  <c r="E139" i="15"/>
  <c r="E251" i="15"/>
  <c r="C41" i="17"/>
  <c r="D109" i="19"/>
  <c r="D108" i="19"/>
  <c r="D209" i="14"/>
  <c r="D104" i="14"/>
  <c r="D174" i="14"/>
  <c r="D268" i="14"/>
  <c r="D271" i="14"/>
  <c r="D263" i="14"/>
  <c r="C21" i="14"/>
  <c r="C32" i="14"/>
  <c r="C61" i="14"/>
  <c r="C77" i="14"/>
  <c r="E77" i="14" s="1"/>
  <c r="C89" i="14"/>
  <c r="F109" i="14"/>
  <c r="C137" i="14"/>
  <c r="F145" i="14"/>
  <c r="F180" i="14"/>
  <c r="F223" i="14"/>
  <c r="C239" i="14"/>
  <c r="C255" i="14"/>
  <c r="C262" i="14"/>
  <c r="F295" i="14"/>
  <c r="F299" i="14"/>
  <c r="D283" i="15"/>
  <c r="E283" i="15" s="1"/>
  <c r="E151" i="15"/>
  <c r="C168" i="15"/>
  <c r="E195" i="15"/>
  <c r="E215" i="15"/>
  <c r="D229" i="15"/>
  <c r="E229" i="15" s="1"/>
  <c r="D242" i="15"/>
  <c r="D244" i="15"/>
  <c r="E244" i="15" s="1"/>
  <c r="D284" i="15"/>
  <c r="E284" i="15" s="1"/>
  <c r="D326" i="15"/>
  <c r="D90" i="14"/>
  <c r="C277" i="14"/>
  <c r="C261" i="14"/>
  <c r="C254" i="14"/>
  <c r="E188" i="14"/>
  <c r="F188" i="14" s="1"/>
  <c r="C285" i="14"/>
  <c r="C269" i="14"/>
  <c r="D33" i="15"/>
  <c r="E32" i="15"/>
  <c r="D320" i="15"/>
  <c r="E316" i="15"/>
  <c r="C108" i="19"/>
  <c r="C109" i="19"/>
  <c r="D175" i="14"/>
  <c r="D62" i="14"/>
  <c r="D210" i="14"/>
  <c r="D105" i="14"/>
  <c r="F20" i="14"/>
  <c r="C304" i="14"/>
  <c r="C102" i="14"/>
  <c r="C190" i="14"/>
  <c r="D222" i="15"/>
  <c r="D223" i="15" s="1"/>
  <c r="D253" i="15"/>
  <c r="E265" i="15"/>
  <c r="D239" i="15"/>
  <c r="E239" i="15" s="1"/>
  <c r="C242" i="15"/>
  <c r="C22" i="16"/>
  <c r="E22" i="19"/>
  <c r="D34" i="19"/>
  <c r="D125" i="14"/>
  <c r="D138" i="14"/>
  <c r="D161" i="14"/>
  <c r="D162" i="14" s="1"/>
  <c r="D193" i="14"/>
  <c r="D266" i="14"/>
  <c r="D277" i="14"/>
  <c r="D285" i="14"/>
  <c r="D22" i="19"/>
  <c r="C54" i="19"/>
  <c r="E108" i="19"/>
  <c r="D160" i="14"/>
  <c r="D200" i="14"/>
  <c r="D206" i="14"/>
  <c r="E206" i="14" s="1"/>
  <c r="F206" i="14" s="1"/>
  <c r="D274" i="14"/>
  <c r="E274" i="14"/>
  <c r="E19" i="17"/>
  <c r="F19" i="17"/>
  <c r="E39" i="17"/>
  <c r="E43" i="17"/>
  <c r="E46" i="17" s="1"/>
  <c r="F46" i="17" s="1"/>
  <c r="D23" i="19"/>
  <c r="D46" i="19" s="1"/>
  <c r="C111" i="19"/>
  <c r="D49" i="14"/>
  <c r="D91" i="14"/>
  <c r="D199" i="14"/>
  <c r="E199" i="14"/>
  <c r="D205" i="14"/>
  <c r="E205" i="14"/>
  <c r="D215" i="14"/>
  <c r="D216" i="14"/>
  <c r="C30" i="19"/>
  <c r="C36" i="19"/>
  <c r="C40" i="19"/>
  <c r="D300" i="14"/>
  <c r="E266" i="14"/>
  <c r="F266" i="14" s="1"/>
  <c r="D265" i="14"/>
  <c r="F43" i="17"/>
  <c r="D106" i="14"/>
  <c r="C56" i="19"/>
  <c r="C48" i="19"/>
  <c r="C38" i="19"/>
  <c r="C113" i="19"/>
  <c r="D40" i="19"/>
  <c r="D30" i="19"/>
  <c r="D54" i="19"/>
  <c r="D53" i="19"/>
  <c r="D45" i="19"/>
  <c r="D39" i="19"/>
  <c r="D35" i="19"/>
  <c r="D29" i="19"/>
  <c r="D110" i="19"/>
  <c r="E33" i="15"/>
  <c r="C287" i="14"/>
  <c r="C279" i="14"/>
  <c r="C284" i="14"/>
  <c r="E262" i="14"/>
  <c r="F262" i="14" s="1"/>
  <c r="C272" i="14"/>
  <c r="C138" i="14"/>
  <c r="E138" i="14" s="1"/>
  <c r="E137" i="14"/>
  <c r="C207" i="14"/>
  <c r="F137" i="14"/>
  <c r="C139" i="14"/>
  <c r="E61" i="14"/>
  <c r="F61" i="14"/>
  <c r="D304" i="14"/>
  <c r="D273" i="14"/>
  <c r="C216" i="14"/>
  <c r="E214" i="14"/>
  <c r="F214" i="14" s="1"/>
  <c r="E37" i="14"/>
  <c r="F37" i="14" s="1"/>
  <c r="D234" i="15"/>
  <c r="D211" i="15"/>
  <c r="C24" i="5"/>
  <c r="C20" i="5"/>
  <c r="C17" i="5"/>
  <c r="D24" i="10"/>
  <c r="D17" i="10"/>
  <c r="D28" i="10"/>
  <c r="D70" i="10" s="1"/>
  <c r="D72" i="10" s="1"/>
  <c r="D69" i="10" s="1"/>
  <c r="D140" i="14"/>
  <c r="D44" i="15"/>
  <c r="F205" i="14"/>
  <c r="D246" i="15"/>
  <c r="F102" i="14"/>
  <c r="E102" i="14"/>
  <c r="C103" i="14"/>
  <c r="D63" i="14"/>
  <c r="E269" i="14"/>
  <c r="F269" i="14" s="1"/>
  <c r="C271" i="14"/>
  <c r="C263" i="14"/>
  <c r="E263" i="14" s="1"/>
  <c r="E261" i="14"/>
  <c r="F261" i="14" s="1"/>
  <c r="C268" i="14"/>
  <c r="E326" i="15"/>
  <c r="D330" i="15"/>
  <c r="E330" i="15" s="1"/>
  <c r="C169" i="15"/>
  <c r="E181" i="14"/>
  <c r="F181" i="14" s="1"/>
  <c r="D254" i="15"/>
  <c r="D43" i="8"/>
  <c r="E141" i="5"/>
  <c r="D50" i="14"/>
  <c r="D282" i="14"/>
  <c r="E282" i="14" s="1"/>
  <c r="F282" i="14" s="1"/>
  <c r="D194" i="14"/>
  <c r="E193" i="14"/>
  <c r="F193" i="14" s="1"/>
  <c r="D255" i="14"/>
  <c r="E255" i="14" s="1"/>
  <c r="F255" i="14" s="1"/>
  <c r="E215" i="14"/>
  <c r="F215" i="14" s="1"/>
  <c r="D92" i="14"/>
  <c r="D113" i="14" s="1"/>
  <c r="D287" i="14"/>
  <c r="D279" i="14"/>
  <c r="E279" i="14" s="1"/>
  <c r="F279" i="14" s="1"/>
  <c r="D284" i="14"/>
  <c r="E284" i="14" s="1"/>
  <c r="F284" i="14" s="1"/>
  <c r="E277" i="14"/>
  <c r="F277" i="14" s="1"/>
  <c r="E110" i="19"/>
  <c r="E53" i="19"/>
  <c r="E45" i="19"/>
  <c r="E39" i="19"/>
  <c r="E35" i="19"/>
  <c r="E29" i="19"/>
  <c r="E47" i="19" s="1"/>
  <c r="E190" i="14"/>
  <c r="F190" i="14"/>
  <c r="D211" i="14"/>
  <c r="E239" i="14"/>
  <c r="F239" i="14" s="1"/>
  <c r="E89" i="14"/>
  <c r="F89" i="14" s="1"/>
  <c r="C161" i="14"/>
  <c r="E161" i="14" s="1"/>
  <c r="F161" i="14" s="1"/>
  <c r="C49" i="14"/>
  <c r="E21" i="14"/>
  <c r="F21" i="14" s="1"/>
  <c r="C196" i="14"/>
  <c r="C91" i="14"/>
  <c r="E91" i="14" s="1"/>
  <c r="F91" i="14" s="1"/>
  <c r="D168" i="15"/>
  <c r="E168" i="15" s="1"/>
  <c r="D145" i="15"/>
  <c r="E145" i="15" s="1"/>
  <c r="D180" i="15"/>
  <c r="E144" i="15"/>
  <c r="D76" i="15"/>
  <c r="E278" i="14"/>
  <c r="F278" i="14" s="1"/>
  <c r="C288" i="14"/>
  <c r="E306" i="14"/>
  <c r="C270" i="14"/>
  <c r="E267" i="14"/>
  <c r="F267" i="14" s="1"/>
  <c r="C195" i="14"/>
  <c r="C90" i="14"/>
  <c r="E90" i="14" s="1"/>
  <c r="E48" i="14"/>
  <c r="C160" i="14"/>
  <c r="F48" i="14"/>
  <c r="D241" i="15"/>
  <c r="E241" i="15" s="1"/>
  <c r="E217" i="15"/>
  <c r="F36" i="11"/>
  <c r="F38" i="11"/>
  <c r="F40" i="11" s="1"/>
  <c r="H33" i="11"/>
  <c r="H36" i="11" s="1"/>
  <c r="H38" i="11" s="1"/>
  <c r="H40" i="11" s="1"/>
  <c r="E21" i="5"/>
  <c r="E242" i="15"/>
  <c r="F274" i="14"/>
  <c r="F199" i="14"/>
  <c r="C158" i="5"/>
  <c r="E158" i="5"/>
  <c r="C141" i="5"/>
  <c r="D286" i="14"/>
  <c r="E286" i="14" s="1"/>
  <c r="F286" i="14" s="1"/>
  <c r="E285" i="14"/>
  <c r="F285" i="14" s="1"/>
  <c r="D176" i="14"/>
  <c r="C140" i="14"/>
  <c r="C62" i="14"/>
  <c r="E32" i="14"/>
  <c r="C105" i="14"/>
  <c r="C106" i="14" s="1"/>
  <c r="F32" i="14"/>
  <c r="D66" i="15"/>
  <c r="E146" i="14"/>
  <c r="F146" i="14" s="1"/>
  <c r="C286" i="14"/>
  <c r="E283" i="14"/>
  <c r="F283" i="14"/>
  <c r="C33" i="2"/>
  <c r="E216" i="14"/>
  <c r="F216" i="14" s="1"/>
  <c r="E268" i="14"/>
  <c r="F268" i="14" s="1"/>
  <c r="D139" i="14"/>
  <c r="E139" i="14"/>
  <c r="F39" i="17"/>
  <c r="D288" i="14"/>
  <c r="E288" i="14" s="1"/>
  <c r="F288" i="14" s="1"/>
  <c r="C41" i="2"/>
  <c r="C48" i="2" s="1"/>
  <c r="C63" i="14"/>
  <c r="E63" i="14" s="1"/>
  <c r="F63" i="14" s="1"/>
  <c r="D324" i="14"/>
  <c r="E194" i="14"/>
  <c r="F194" i="14" s="1"/>
  <c r="D196" i="14"/>
  <c r="E196" i="14" s="1"/>
  <c r="F196" i="14" s="1"/>
  <c r="D195" i="14"/>
  <c r="E195" i="14" s="1"/>
  <c r="F195" i="14" s="1"/>
  <c r="D99" i="15"/>
  <c r="D95" i="15"/>
  <c r="D88" i="15"/>
  <c r="D84" i="15"/>
  <c r="D101" i="15"/>
  <c r="D97" i="15"/>
  <c r="D86" i="15"/>
  <c r="D96" i="15"/>
  <c r="D85" i="15"/>
  <c r="D83" i="15"/>
  <c r="D100" i="15"/>
  <c r="D89" i="15"/>
  <c r="D258" i="15"/>
  <c r="D98" i="15"/>
  <c r="D87" i="15"/>
  <c r="E304" i="14"/>
  <c r="F304" i="14" s="1"/>
  <c r="E207" i="14"/>
  <c r="F207" i="14" s="1"/>
  <c r="C208" i="14"/>
  <c r="E208" i="14" s="1"/>
  <c r="F208" i="14" s="1"/>
  <c r="E272" i="14"/>
  <c r="F272" i="14"/>
  <c r="E160" i="14"/>
  <c r="F160" i="14"/>
  <c r="D70" i="14"/>
  <c r="E103" i="14"/>
  <c r="F103" i="14" s="1"/>
  <c r="D235" i="15"/>
  <c r="D47" i="19"/>
  <c r="D37" i="19"/>
  <c r="D112" i="19"/>
  <c r="D55" i="19"/>
  <c r="F139" i="14"/>
  <c r="C50" i="14"/>
  <c r="E50" i="14" s="1"/>
  <c r="C141" i="14"/>
  <c r="E270" i="14"/>
  <c r="F270" i="14" s="1"/>
  <c r="D77" i="15"/>
  <c r="D122" i="15" s="1"/>
  <c r="D128" i="15" s="1"/>
  <c r="E287" i="14"/>
  <c r="F287" i="14" s="1"/>
  <c r="C273" i="14"/>
  <c r="E273" i="14" s="1"/>
  <c r="F273" i="14" s="1"/>
  <c r="D113" i="19"/>
  <c r="D56" i="19"/>
  <c r="D48" i="19"/>
  <c r="D38" i="19"/>
  <c r="E49" i="14"/>
  <c r="F49" i="14" s="1"/>
  <c r="E271" i="14"/>
  <c r="F271" i="14" s="1"/>
  <c r="F138" i="14"/>
  <c r="E105" i="14"/>
  <c r="F105" i="14" s="1"/>
  <c r="D181" i="15"/>
  <c r="D169" i="15"/>
  <c r="E169" i="15" s="1"/>
  <c r="C162" i="14"/>
  <c r="E37" i="19"/>
  <c r="E55" i="19"/>
  <c r="D281" i="14"/>
  <c r="D141" i="14"/>
  <c r="E140" i="14"/>
  <c r="F140" i="14" s="1"/>
  <c r="C28" i="5"/>
  <c r="C99" i="5" s="1"/>
  <c r="C101" i="5" s="1"/>
  <c r="C98" i="5" s="1"/>
  <c r="C112" i="5"/>
  <c r="C111" i="5" s="1"/>
  <c r="C289" i="14"/>
  <c r="C291" i="14"/>
  <c r="C305" i="14" s="1"/>
  <c r="F263" i="14"/>
  <c r="E62" i="14"/>
  <c r="F62" i="14" s="1"/>
  <c r="D259" i="15"/>
  <c r="C104" i="14"/>
  <c r="E104" i="14"/>
  <c r="C22" i="5"/>
  <c r="D322" i="14"/>
  <c r="E141" i="14"/>
  <c r="F141" i="14" s="1"/>
  <c r="D148" i="14"/>
  <c r="D126" i="15"/>
  <c r="D115" i="15"/>
  <c r="D124" i="15"/>
  <c r="D109" i="15"/>
  <c r="D125" i="15"/>
  <c r="D123" i="15"/>
  <c r="D121" i="15"/>
  <c r="C322" i="14"/>
  <c r="E322" i="14" s="1"/>
  <c r="F322" i="14" s="1"/>
  <c r="C209" i="14"/>
  <c r="E209" i="14" s="1"/>
  <c r="F209" i="14" s="1"/>
  <c r="D197" i="14"/>
  <c r="C70" i="14"/>
  <c r="E70" i="14" s="1"/>
  <c r="D90" i="15"/>
  <c r="D263" i="15"/>
  <c r="D102" i="15"/>
  <c r="D91" i="15"/>
  <c r="E106" i="14" l="1"/>
  <c r="F106" i="14" s="1"/>
  <c r="C309" i="14"/>
  <c r="C310" i="14" s="1"/>
  <c r="C312" i="14" s="1"/>
  <c r="E24" i="5"/>
  <c r="E20" i="5" s="1"/>
  <c r="E17" i="5"/>
  <c r="E92" i="14"/>
  <c r="F92" i="14" s="1"/>
  <c r="F50" i="14"/>
  <c r="C210" i="14"/>
  <c r="D110" i="15"/>
  <c r="D112" i="15"/>
  <c r="D114" i="15"/>
  <c r="D127" i="15"/>
  <c r="D113" i="15"/>
  <c r="D111" i="15"/>
  <c r="F104" i="14"/>
  <c r="E112" i="19"/>
  <c r="D247" i="15"/>
  <c r="F90" i="14"/>
  <c r="D291" i="14"/>
  <c r="D295" i="15"/>
  <c r="C92" i="14"/>
  <c r="E320" i="15"/>
  <c r="E46" i="3"/>
  <c r="F46" i="3" s="1"/>
  <c r="E47" i="3"/>
  <c r="F47" i="3" s="1"/>
  <c r="D83" i="4"/>
  <c r="E83" i="4" s="1"/>
  <c r="F83" i="4" s="1"/>
  <c r="D166" i="5"/>
  <c r="E23" i="6"/>
  <c r="F23" i="6" s="1"/>
  <c r="C75" i="1"/>
  <c r="E75" i="1" s="1"/>
  <c r="F75" i="1" s="1"/>
  <c r="D41" i="1"/>
  <c r="E41" i="1" s="1"/>
  <c r="E49" i="3"/>
  <c r="F49" i="3" s="1"/>
  <c r="E50" i="3"/>
  <c r="F50" i="3" s="1"/>
  <c r="D95" i="3"/>
  <c r="E95" i="3" s="1"/>
  <c r="F95" i="3" s="1"/>
  <c r="C53" i="5"/>
  <c r="C109" i="5"/>
  <c r="C106" i="5" s="1"/>
  <c r="D149" i="5"/>
  <c r="E24" i="6"/>
  <c r="F24" i="6" s="1"/>
  <c r="E36" i="6"/>
  <c r="E202" i="6"/>
  <c r="F204" i="6"/>
  <c r="F60" i="7"/>
  <c r="F31" i="9"/>
  <c r="E48" i="10"/>
  <c r="E42" i="10" s="1"/>
  <c r="E99" i="12"/>
  <c r="F99" i="12" s="1"/>
  <c r="E15" i="13"/>
  <c r="E20" i="13"/>
  <c r="F20" i="13" s="1"/>
  <c r="C68" i="14"/>
  <c r="E68" i="14" s="1"/>
  <c r="F68" i="14" s="1"/>
  <c r="C111" i="14"/>
  <c r="E111" i="14" s="1"/>
  <c r="F111" i="14" s="1"/>
  <c r="C65" i="15"/>
  <c r="E243" i="15"/>
  <c r="E220" i="15"/>
  <c r="E232" i="15"/>
  <c r="E279" i="15"/>
  <c r="E290" i="15"/>
  <c r="E292" i="15"/>
  <c r="E324" i="15"/>
  <c r="E16" i="17"/>
  <c r="F16" i="17" s="1"/>
  <c r="E36" i="17"/>
  <c r="C102" i="19"/>
  <c r="D101" i="19"/>
  <c r="D103" i="19" s="1"/>
  <c r="C88" i="19"/>
  <c r="E88" i="19"/>
  <c r="D93" i="19"/>
  <c r="C98" i="19"/>
  <c r="E98" i="19"/>
  <c r="E101" i="6"/>
  <c r="F101" i="6" s="1"/>
  <c r="E102" i="6"/>
  <c r="F102" i="6" s="1"/>
  <c r="F198" i="6"/>
  <c r="E204" i="6"/>
  <c r="E206" i="6"/>
  <c r="F206" i="6" s="1"/>
  <c r="E23" i="7"/>
  <c r="E24" i="7"/>
  <c r="E60" i="7"/>
  <c r="E71" i="7"/>
  <c r="E72" i="7"/>
  <c r="E83" i="7"/>
  <c r="E84" i="7"/>
  <c r="E108" i="7"/>
  <c r="F108" i="7" s="1"/>
  <c r="E31" i="9"/>
  <c r="C48" i="10"/>
  <c r="C42" i="10" s="1"/>
  <c r="F16" i="12"/>
  <c r="F30" i="12"/>
  <c r="E45" i="12"/>
  <c r="F110" i="14"/>
  <c r="C43" i="15"/>
  <c r="E73" i="15"/>
  <c r="E75" i="15"/>
  <c r="C163" i="15"/>
  <c r="E163" i="15" s="1"/>
  <c r="C175" i="15"/>
  <c r="E175" i="15" s="1"/>
  <c r="E302" i="15"/>
  <c r="E287" i="15"/>
  <c r="E102" i="19"/>
  <c r="E103" i="19" s="1"/>
  <c r="E162" i="14"/>
  <c r="D323" i="14"/>
  <c r="D183" i="14"/>
  <c r="D22" i="10"/>
  <c r="D21" i="10"/>
  <c r="D20" i="10"/>
  <c r="C313" i="14"/>
  <c r="F41" i="1"/>
  <c r="D129" i="15"/>
  <c r="D264" i="15"/>
  <c r="D103" i="15"/>
  <c r="F70" i="14"/>
  <c r="F162" i="14"/>
  <c r="D289" i="14"/>
  <c r="E289" i="14" s="1"/>
  <c r="F289" i="14" s="1"/>
  <c r="D111" i="19"/>
  <c r="D36" i="19"/>
  <c r="F38" i="1"/>
  <c r="D19" i="2"/>
  <c r="E16" i="2"/>
  <c r="F16" i="2" s="1"/>
  <c r="E31" i="2"/>
  <c r="F31" i="2" s="1"/>
  <c r="F41" i="3"/>
  <c r="F155" i="4"/>
  <c r="E38" i="3"/>
  <c r="F38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E92" i="3"/>
  <c r="F92" i="3" s="1"/>
  <c r="E93" i="3"/>
  <c r="F93" i="3" s="1"/>
  <c r="E94" i="3"/>
  <c r="E124" i="3"/>
  <c r="F124" i="3" s="1"/>
  <c r="E153" i="3"/>
  <c r="F153" i="3" s="1"/>
  <c r="E179" i="3"/>
  <c r="F179" i="3" s="1"/>
  <c r="E24" i="4"/>
  <c r="F24" i="4" s="1"/>
  <c r="E109" i="4"/>
  <c r="F109" i="4" s="1"/>
  <c r="E118" i="4"/>
  <c r="F118" i="4" s="1"/>
  <c r="E43" i="5"/>
  <c r="E49" i="6"/>
  <c r="F49" i="6" s="1"/>
  <c r="E50" i="6"/>
  <c r="F50" i="6" s="1"/>
  <c r="E62" i="6"/>
  <c r="F62" i="6" s="1"/>
  <c r="E75" i="6"/>
  <c r="F75" i="6" s="1"/>
  <c r="E76" i="6"/>
  <c r="F76" i="6" s="1"/>
  <c r="E127" i="6"/>
  <c r="F127" i="6" s="1"/>
  <c r="E128" i="6"/>
  <c r="F128" i="6" s="1"/>
  <c r="F45" i="12"/>
  <c r="D52" i="3"/>
  <c r="E52" i="3" s="1"/>
  <c r="F52" i="3" s="1"/>
  <c r="D176" i="4"/>
  <c r="E176" i="4" s="1"/>
  <c r="F176" i="4" s="1"/>
  <c r="D15" i="5"/>
  <c r="E57" i="5"/>
  <c r="E62" i="5" s="1"/>
  <c r="E49" i="5"/>
  <c r="C207" i="6"/>
  <c r="F199" i="6"/>
  <c r="E200" i="6"/>
  <c r="F200" i="6" s="1"/>
  <c r="E201" i="6"/>
  <c r="F201" i="6" s="1"/>
  <c r="F202" i="6"/>
  <c r="F203" i="6"/>
  <c r="F36" i="7"/>
  <c r="F96" i="7"/>
  <c r="F113" i="7"/>
  <c r="F115" i="7"/>
  <c r="F117" i="7"/>
  <c r="F119" i="7"/>
  <c r="F22" i="8"/>
  <c r="F61" i="8"/>
  <c r="F16" i="9"/>
  <c r="F39" i="9"/>
  <c r="E205" i="6"/>
  <c r="F205" i="6" s="1"/>
  <c r="E35" i="7"/>
  <c r="F35" i="7" s="1"/>
  <c r="E59" i="7"/>
  <c r="F59" i="7" s="1"/>
  <c r="E95" i="7"/>
  <c r="F95" i="7" s="1"/>
  <c r="E107" i="7"/>
  <c r="F107" i="7" s="1"/>
  <c r="E114" i="7"/>
  <c r="F114" i="7" s="1"/>
  <c r="E116" i="7"/>
  <c r="F116" i="7" s="1"/>
  <c r="E118" i="7"/>
  <c r="F118" i="7" s="1"/>
  <c r="E120" i="7"/>
  <c r="F120" i="7" s="1"/>
  <c r="D122" i="7"/>
  <c r="E29" i="8"/>
  <c r="F29" i="8" s="1"/>
  <c r="E73" i="8"/>
  <c r="F73" i="8" s="1"/>
  <c r="D19" i="9"/>
  <c r="F46" i="9"/>
  <c r="C15" i="10"/>
  <c r="E25" i="10"/>
  <c r="E27" i="10" s="1"/>
  <c r="D31" i="11"/>
  <c r="E33" i="11"/>
  <c r="E36" i="11" s="1"/>
  <c r="E38" i="11" s="1"/>
  <c r="I17" i="11"/>
  <c r="G33" i="11"/>
  <c r="F23" i="12"/>
  <c r="F37" i="12"/>
  <c r="F50" i="12"/>
  <c r="F55" i="12"/>
  <c r="F58" i="12"/>
  <c r="F65" i="12"/>
  <c r="F70" i="12"/>
  <c r="F73" i="12"/>
  <c r="F84" i="12"/>
  <c r="F92" i="12"/>
  <c r="F15" i="13"/>
  <c r="F24" i="13"/>
  <c r="E24" i="14"/>
  <c r="F24" i="14" s="1"/>
  <c r="E30" i="14"/>
  <c r="F30" i="14" s="1"/>
  <c r="E59" i="14"/>
  <c r="F59" i="14" s="1"/>
  <c r="F135" i="14"/>
  <c r="E135" i="14"/>
  <c r="C173" i="14"/>
  <c r="F172" i="14"/>
  <c r="C290" i="14"/>
  <c r="E198" i="14"/>
  <c r="F198" i="14" s="1"/>
  <c r="E260" i="15"/>
  <c r="E240" i="15"/>
  <c r="C252" i="15"/>
  <c r="C122" i="7"/>
  <c r="C43" i="8"/>
  <c r="C65" i="8"/>
  <c r="C19" i="9"/>
  <c r="C31" i="11"/>
  <c r="H31" i="11" s="1"/>
  <c r="C264" i="14"/>
  <c r="C200" i="14"/>
  <c r="C280" i="14"/>
  <c r="F191" i="14"/>
  <c r="F237" i="14"/>
  <c r="E123" i="14"/>
  <c r="F123" i="14" s="1"/>
  <c r="C124" i="14"/>
  <c r="E164" i="14"/>
  <c r="F164" i="14" s="1"/>
  <c r="C192" i="14"/>
  <c r="F230" i="14"/>
  <c r="E237" i="14"/>
  <c r="E294" i="14"/>
  <c r="F294" i="14" s="1"/>
  <c r="C71" i="15"/>
  <c r="C189" i="15"/>
  <c r="E189" i="15" s="1"/>
  <c r="C210" i="15"/>
  <c r="E216" i="15"/>
  <c r="C222" i="15"/>
  <c r="C245" i="15"/>
  <c r="E245" i="15" s="1"/>
  <c r="E262" i="15"/>
  <c r="E276" i="15"/>
  <c r="E278" i="15"/>
  <c r="E280" i="15"/>
  <c r="E282" i="15"/>
  <c r="D303" i="15"/>
  <c r="E20" i="17"/>
  <c r="F20" i="17" s="1"/>
  <c r="E40" i="17"/>
  <c r="E307" i="14"/>
  <c r="F307" i="14" s="1"/>
  <c r="E228" i="15"/>
  <c r="E130" i="14"/>
  <c r="F130" i="14" s="1"/>
  <c r="E144" i="14"/>
  <c r="F144" i="14" s="1"/>
  <c r="C64" i="16"/>
  <c r="C65" i="16" s="1"/>
  <c r="C114" i="16" s="1"/>
  <c r="C116" i="16" s="1"/>
  <c r="C119" i="16" s="1"/>
  <c r="C123" i="16" s="1"/>
  <c r="C34" i="19"/>
  <c r="C101" i="19"/>
  <c r="C103" i="19" s="1"/>
  <c r="E301" i="15"/>
  <c r="E25" i="17"/>
  <c r="F25" i="17" s="1"/>
  <c r="F36" i="17"/>
  <c r="C33" i="19"/>
  <c r="E33" i="19"/>
  <c r="C22" i="19"/>
  <c r="E23" i="19"/>
  <c r="C44" i="15" l="1"/>
  <c r="E43" i="15"/>
  <c r="D140" i="5"/>
  <c r="D138" i="5"/>
  <c r="D139" i="5"/>
  <c r="D136" i="5"/>
  <c r="D135" i="5"/>
  <c r="D137" i="5"/>
  <c r="D157" i="5"/>
  <c r="D152" i="5"/>
  <c r="D156" i="5"/>
  <c r="D153" i="5"/>
  <c r="D154" i="5"/>
  <c r="D155" i="5"/>
  <c r="D43" i="1"/>
  <c r="E43" i="1" s="1"/>
  <c r="F43" i="1" s="1"/>
  <c r="E210" i="14"/>
  <c r="F210" i="14" s="1"/>
  <c r="C253" i="15"/>
  <c r="E253" i="15" s="1"/>
  <c r="C66" i="15"/>
  <c r="C294" i="15"/>
  <c r="E294" i="15" s="1"/>
  <c r="E65" i="15"/>
  <c r="C324" i="14"/>
  <c r="C113" i="14"/>
  <c r="E113" i="14" s="1"/>
  <c r="F113" i="14" s="1"/>
  <c r="E291" i="14"/>
  <c r="F291" i="14" s="1"/>
  <c r="D305" i="14"/>
  <c r="D116" i="15"/>
  <c r="D117" i="15" s="1"/>
  <c r="D131" i="15" s="1"/>
  <c r="E28" i="5"/>
  <c r="E112" i="5"/>
  <c r="E111" i="5" s="1"/>
  <c r="C45" i="19"/>
  <c r="C29" i="19"/>
  <c r="C39" i="19"/>
  <c r="C110" i="19"/>
  <c r="C53" i="19"/>
  <c r="C35" i="19"/>
  <c r="C246" i="15"/>
  <c r="E246" i="15" s="1"/>
  <c r="E222" i="15"/>
  <c r="C211" i="15"/>
  <c r="C234" i="15"/>
  <c r="E234" i="15" s="1"/>
  <c r="E210" i="15"/>
  <c r="C180" i="15"/>
  <c r="E180" i="15" s="1"/>
  <c r="E71" i="15"/>
  <c r="C76" i="15"/>
  <c r="E124" i="14"/>
  <c r="F124" i="14" s="1"/>
  <c r="C126" i="14"/>
  <c r="C125" i="14"/>
  <c r="C281" i="14"/>
  <c r="E280" i="14"/>
  <c r="F280" i="14" s="1"/>
  <c r="C300" i="14"/>
  <c r="E264" i="14"/>
  <c r="C265" i="14"/>
  <c r="F264" i="14"/>
  <c r="C33" i="9"/>
  <c r="E43" i="8"/>
  <c r="F43" i="8" s="1"/>
  <c r="C254" i="15"/>
  <c r="E254" i="15" s="1"/>
  <c r="E252" i="15"/>
  <c r="I33" i="11"/>
  <c r="I36" i="11" s="1"/>
  <c r="I38" i="11" s="1"/>
  <c r="I40" i="11" s="1"/>
  <c r="G36" i="11"/>
  <c r="G38" i="11" s="1"/>
  <c r="G40" i="11" s="1"/>
  <c r="E21" i="10"/>
  <c r="E20" i="10"/>
  <c r="E22" i="10"/>
  <c r="E122" i="7"/>
  <c r="I31" i="11"/>
  <c r="D266" i="15"/>
  <c r="C314" i="14"/>
  <c r="C256" i="14"/>
  <c r="C251" i="14"/>
  <c r="C315" i="14"/>
  <c r="E54" i="19"/>
  <c r="E111" i="19"/>
  <c r="E36" i="19"/>
  <c r="E46" i="19"/>
  <c r="E30" i="19"/>
  <c r="E40" i="19"/>
  <c r="F40" i="17"/>
  <c r="E41" i="17"/>
  <c r="F41" i="17" s="1"/>
  <c r="E303" i="15"/>
  <c r="D306" i="15"/>
  <c r="E192" i="14"/>
  <c r="F192" i="14" s="1"/>
  <c r="C223" i="15"/>
  <c r="E200" i="14"/>
  <c r="F200" i="14" s="1"/>
  <c r="E65" i="8"/>
  <c r="F65" i="8" s="1"/>
  <c r="C75" i="8"/>
  <c r="F122" i="7"/>
  <c r="E290" i="14"/>
  <c r="F290" i="14" s="1"/>
  <c r="C174" i="14"/>
  <c r="C175" i="14"/>
  <c r="E173" i="14"/>
  <c r="F173" i="14" s="1"/>
  <c r="C24" i="10"/>
  <c r="C20" i="10" s="1"/>
  <c r="C17" i="10"/>
  <c r="C28" i="10" s="1"/>
  <c r="E19" i="9"/>
  <c r="F19" i="9" s="1"/>
  <c r="D33" i="9"/>
  <c r="D24" i="5"/>
  <c r="D20" i="5" s="1"/>
  <c r="D17" i="5"/>
  <c r="D33" i="2"/>
  <c r="E19" i="2"/>
  <c r="F19" i="2" s="1"/>
  <c r="D105" i="15"/>
  <c r="E207" i="6"/>
  <c r="F207" i="6" s="1"/>
  <c r="D325" i="14"/>
  <c r="E324" i="14" l="1"/>
  <c r="F324" i="14" s="1"/>
  <c r="D158" i="5"/>
  <c r="C98" i="15"/>
  <c r="E98" i="15" s="1"/>
  <c r="C83" i="15"/>
  <c r="E83" i="15" s="1"/>
  <c r="C96" i="15"/>
  <c r="C85" i="15"/>
  <c r="E85" i="15" s="1"/>
  <c r="C88" i="15"/>
  <c r="E88" i="15" s="1"/>
  <c r="C86" i="15"/>
  <c r="E86" i="15" s="1"/>
  <c r="C84" i="15"/>
  <c r="E44" i="15"/>
  <c r="C258" i="15"/>
  <c r="E258" i="15" s="1"/>
  <c r="C87" i="15"/>
  <c r="E87" i="15" s="1"/>
  <c r="C100" i="15"/>
  <c r="E100" i="15" s="1"/>
  <c r="C89" i="15"/>
  <c r="E89" i="15" s="1"/>
  <c r="C99" i="15"/>
  <c r="E99" i="15" s="1"/>
  <c r="C97" i="15"/>
  <c r="E97" i="15" s="1"/>
  <c r="C95" i="15"/>
  <c r="E95" i="15" s="1"/>
  <c r="C101" i="15"/>
  <c r="E101" i="15" s="1"/>
  <c r="E99" i="5"/>
  <c r="E101" i="5" s="1"/>
  <c r="E98" i="5" s="1"/>
  <c r="E22" i="5"/>
  <c r="D309" i="14"/>
  <c r="E305" i="14"/>
  <c r="F305" i="14" s="1"/>
  <c r="E66" i="15"/>
  <c r="C295" i="15"/>
  <c r="E295" i="15" s="1"/>
  <c r="D141" i="5"/>
  <c r="D112" i="5"/>
  <c r="D111" i="5" s="1"/>
  <c r="D28" i="5"/>
  <c r="E33" i="9"/>
  <c r="D41" i="9"/>
  <c r="C70" i="10"/>
  <c r="C72" i="10" s="1"/>
  <c r="C69" i="10" s="1"/>
  <c r="C22" i="10"/>
  <c r="F174" i="14"/>
  <c r="E174" i="14"/>
  <c r="C247" i="15"/>
  <c r="E247" i="15" s="1"/>
  <c r="E223" i="15"/>
  <c r="E48" i="19"/>
  <c r="E113" i="19"/>
  <c r="E38" i="19"/>
  <c r="E56" i="19"/>
  <c r="C257" i="14"/>
  <c r="D267" i="15"/>
  <c r="C41" i="9"/>
  <c r="F33" i="9"/>
  <c r="E265" i="14"/>
  <c r="F265" i="14" s="1"/>
  <c r="E300" i="14"/>
  <c r="F300" i="14" s="1"/>
  <c r="E281" i="14"/>
  <c r="F281" i="14" s="1"/>
  <c r="E125" i="14"/>
  <c r="F125" i="14" s="1"/>
  <c r="C77" i="15"/>
  <c r="C259" i="15"/>
  <c r="E76" i="15"/>
  <c r="C112" i="19"/>
  <c r="C47" i="19"/>
  <c r="C55" i="19"/>
  <c r="C37" i="19"/>
  <c r="D41" i="2"/>
  <c r="E33" i="2"/>
  <c r="F33" i="2" s="1"/>
  <c r="C176" i="14"/>
  <c r="E175" i="14"/>
  <c r="F175" i="14" s="1"/>
  <c r="E75" i="8"/>
  <c r="F75" i="8"/>
  <c r="D310" i="15"/>
  <c r="E310" i="15" s="1"/>
  <c r="E306" i="15"/>
  <c r="C318" i="14"/>
  <c r="E126" i="14"/>
  <c r="C127" i="14"/>
  <c r="F126" i="14"/>
  <c r="C181" i="15"/>
  <c r="E181" i="15" s="1"/>
  <c r="C235" i="15"/>
  <c r="E235" i="15" s="1"/>
  <c r="E211" i="15"/>
  <c r="D310" i="14" l="1"/>
  <c r="E309" i="14"/>
  <c r="F309" i="14" s="1"/>
  <c r="C90" i="15"/>
  <c r="E84" i="15"/>
  <c r="C102" i="15"/>
  <c r="E96" i="15"/>
  <c r="C148" i="14"/>
  <c r="E127" i="14"/>
  <c r="C197" i="14"/>
  <c r="F127" i="14"/>
  <c r="C125" i="15"/>
  <c r="E125" i="15" s="1"/>
  <c r="C114" i="15"/>
  <c r="E114" i="15" s="1"/>
  <c r="C123" i="15"/>
  <c r="E123" i="15" s="1"/>
  <c r="C122" i="15"/>
  <c r="C111" i="15"/>
  <c r="E111" i="15" s="1"/>
  <c r="C126" i="15"/>
  <c r="E126" i="15" s="1"/>
  <c r="C124" i="15"/>
  <c r="E124" i="15" s="1"/>
  <c r="C121" i="15"/>
  <c r="C110" i="15"/>
  <c r="C127" i="15"/>
  <c r="E127" i="15" s="1"/>
  <c r="C112" i="15"/>
  <c r="E112" i="15" s="1"/>
  <c r="C109" i="15"/>
  <c r="C115" i="15"/>
  <c r="E115" i="15" s="1"/>
  <c r="C113" i="15"/>
  <c r="E113" i="15" s="1"/>
  <c r="E77" i="15"/>
  <c r="C48" i="9"/>
  <c r="E41" i="9"/>
  <c r="F41" i="9" s="1"/>
  <c r="D48" i="9"/>
  <c r="E48" i="9" s="1"/>
  <c r="D99" i="5"/>
  <c r="D101" i="5" s="1"/>
  <c r="D98" i="5" s="1"/>
  <c r="D22" i="5"/>
  <c r="C211" i="14"/>
  <c r="C323" i="14"/>
  <c r="E176" i="14"/>
  <c r="F176" i="14" s="1"/>
  <c r="C183" i="14"/>
  <c r="E41" i="2"/>
  <c r="F41" i="2" s="1"/>
  <c r="D48" i="2"/>
  <c r="E48" i="2" s="1"/>
  <c r="F48" i="2" s="1"/>
  <c r="C263" i="15"/>
  <c r="E259" i="15"/>
  <c r="D269" i="15"/>
  <c r="D268" i="15"/>
  <c r="C103" i="15" l="1"/>
  <c r="E103" i="15" s="1"/>
  <c r="E102" i="15"/>
  <c r="C91" i="15"/>
  <c r="E90" i="15"/>
  <c r="E310" i="14"/>
  <c r="F310" i="14" s="1"/>
  <c r="D312" i="14"/>
  <c r="D271" i="15"/>
  <c r="C264" i="15"/>
  <c r="E263" i="15"/>
  <c r="C325" i="14"/>
  <c r="E323" i="14"/>
  <c r="F323" i="14" s="1"/>
  <c r="C116" i="15"/>
  <c r="E116" i="15" s="1"/>
  <c r="E110" i="15"/>
  <c r="E183" i="14"/>
  <c r="F183" i="14" s="1"/>
  <c r="E211" i="14"/>
  <c r="F211" i="14" s="1"/>
  <c r="F48" i="9"/>
  <c r="C117" i="15"/>
  <c r="E109" i="15"/>
  <c r="E121" i="15"/>
  <c r="C128" i="15"/>
  <c r="E128" i="15" s="1"/>
  <c r="E122" i="15"/>
  <c r="E197" i="14"/>
  <c r="F197" i="14" s="1"/>
  <c r="E148" i="14"/>
  <c r="F148" i="14" s="1"/>
  <c r="C129" i="15" l="1"/>
  <c r="E129" i="15" s="1"/>
  <c r="D313" i="14"/>
  <c r="E312" i="14"/>
  <c r="F312" i="14" s="1"/>
  <c r="E91" i="15"/>
  <c r="C105" i="15"/>
  <c r="E105" i="15" s="1"/>
  <c r="C131" i="15"/>
  <c r="E131" i="15" s="1"/>
  <c r="E117" i="15"/>
  <c r="E325" i="14"/>
  <c r="F325" i="14" s="1"/>
  <c r="C266" i="15"/>
  <c r="E264" i="15"/>
  <c r="D251" i="14" l="1"/>
  <c r="E251" i="14" s="1"/>
  <c r="F251" i="14" s="1"/>
  <c r="D315" i="14"/>
  <c r="E315" i="14" s="1"/>
  <c r="F315" i="14" s="1"/>
  <c r="D256" i="14"/>
  <c r="E313" i="14"/>
  <c r="F313" i="14" s="1"/>
  <c r="D314" i="14"/>
  <c r="C267" i="15"/>
  <c r="E266" i="15"/>
  <c r="E314" i="14" l="1"/>
  <c r="F314" i="14" s="1"/>
  <c r="D318" i="14"/>
  <c r="E318" i="14" s="1"/>
  <c r="F318" i="14" s="1"/>
  <c r="D257" i="14"/>
  <c r="E257" i="14" s="1"/>
  <c r="F257" i="14" s="1"/>
  <c r="E256" i="14"/>
  <c r="F256" i="14" s="1"/>
  <c r="C269" i="15"/>
  <c r="E269" i="15" s="1"/>
  <c r="C268" i="15"/>
  <c r="E267" i="15"/>
  <c r="C271" i="15" l="1"/>
  <c r="E271" i="15" s="1"/>
  <c r="E268" i="15"/>
</calcChain>
</file>

<file path=xl/sharedStrings.xml><?xml version="1.0" encoding="utf-8"?>
<sst xmlns="http://schemas.openxmlformats.org/spreadsheetml/2006/main" count="2310" uniqueCount="985">
  <si>
    <t>HARTFORD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</si>
  <si>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</si>
  <si>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</si>
  <si>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</si>
  <si>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</si>
  <si>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</si>
  <si>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</si>
  <si>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</si>
  <si>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</si>
  <si>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</si>
  <si>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</si>
  <si>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</si>
  <si>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</si>
  <si>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</si>
  <si>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</si>
  <si>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</si>
  <si>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</si>
  <si>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</si>
  <si>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</si>
  <si>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</si>
  <si>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</si>
  <si>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</si>
  <si>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</si>
  <si>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</si>
  <si>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</si>
  <si>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</si>
  <si>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</si>
  <si>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</si>
  <si>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</si>
  <si>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</si>
  <si>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</si>
  <si>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</si>
  <si>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</si>
  <si>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</si>
  <si>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</si>
  <si>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</si>
  <si>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</si>
  <si>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</si>
  <si>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</si>
  <si>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</si>
  <si>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</si>
  <si>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</si>
  <si>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</si>
  <si>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</si>
  <si>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</si>
  <si>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</si>
  <si>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</si>
  <si>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</si>
  <si>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</si>
  <si>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</si>
  <si>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</si>
  <si>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</si>
  <si>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</si>
  <si>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</si>
  <si>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</si>
  <si>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</si>
  <si>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</si>
  <si>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</si>
  <si>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</si>
  <si>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</si>
  <si>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</si>
  <si>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</si>
  <si>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</si>
  <si>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</si>
  <si>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</si>
  <si>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</si>
  <si>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</si>
  <si>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</si>
  <si>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</si>
  <si>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</si>
  <si>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</si>
  <si>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</si>
  <si>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</si>
  <si>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</si>
  <si>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</si>
  <si>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</si>
  <si>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</si>
  <si>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</si>
  <si>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</si>
  <si>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</si>
  <si>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</si>
  <si>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</si>
  <si>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</si>
  <si>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</si>
  <si>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</si>
  <si>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</si>
  <si>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</si>
  <si>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</si>
  <si>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</si>
  <si>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</si>
  <si>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</si>
  <si>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</si>
  <si>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</si>
  <si>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</si>
  <si>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</si>
  <si>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</si>
  <si>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</si>
  <si>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</si>
  <si>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</si>
  <si>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</si>
  <si>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</si>
  <si>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</si>
  <si>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</si>
  <si>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</si>
  <si>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</si>
  <si>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</si>
  <si>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</si>
  <si>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</si>
  <si>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</si>
  <si>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</si>
  <si>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</si>
  <si>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</si>
  <si>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</si>
  <si>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</si>
  <si>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</si>
  <si>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</si>
  <si>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</si>
  <si>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</si>
  <si>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</si>
  <si>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</si>
  <si>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</si>
  <si>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</si>
  <si>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</si>
  <si>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</si>
  <si>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</si>
  <si>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</si>
  <si>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</si>
  <si>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</si>
  <si>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</si>
  <si>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</si>
  <si>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</si>
  <si>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</si>
  <si>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</si>
  <si>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</si>
  <si>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</si>
  <si>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</si>
  <si>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</si>
  <si>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</si>
  <si>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</si>
  <si>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</si>
  <si>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</si>
  <si>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</si>
  <si>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</si>
  <si>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</si>
  <si>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</si>
  <si>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</si>
  <si>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</si>
  <si>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</si>
  <si>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</si>
  <si>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</si>
  <si>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</si>
  <si>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</si>
  <si>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</si>
  <si>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</si>
  <si>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</si>
  <si>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</si>
  <si>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</si>
  <si>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</si>
  <si>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</si>
  <si>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</si>
  <si>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</si>
  <si>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</si>
  <si>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</si>
  <si>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</si>
  <si>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</si>
  <si>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</si>
  <si>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</si>
  <si>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</si>
  <si>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</si>
  <si>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</si>
  <si>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</si>
  <si>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</si>
  <si>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</si>
  <si>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</si>
  <si>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</si>
  <si>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</si>
  <si>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</si>
  <si>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</si>
  <si>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</si>
  <si>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</si>
  <si>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</si>
  <si>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</si>
  <si>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</si>
  <si>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</si>
  <si>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</si>
  <si>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</si>
  <si>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</si>
  <si>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</si>
  <si>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</si>
  <si>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</si>
  <si>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</si>
  <si>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</si>
  <si>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</si>
  <si>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</si>
  <si>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</si>
  <si>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</si>
  <si>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</si>
  <si>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</si>
  <si>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</si>
  <si>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</si>
  <si>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</si>
  <si>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</si>
  <si>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</si>
  <si>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</si>
  <si>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</si>
  <si>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</si>
  <si>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</si>
  <si>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</si>
  <si>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</si>
  <si>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</si>
  <si>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</si>
  <si>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</si>
  <si>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</si>
  <si>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</si>
  <si>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</si>
  <si>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</si>
  <si>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</si>
  <si>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</si>
  <si>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</si>
  <si>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</si>
  <si>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</si>
  <si>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</si>
  <si>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</si>
  <si>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</si>
  <si>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</si>
  <si>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</si>
  <si>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</si>
  <si>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</si>
  <si>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</si>
  <si>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</si>
  <si>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</si>
  <si>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</si>
  <si>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</si>
  <si>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</si>
  <si>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</si>
  <si>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</si>
  <si>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</si>
  <si>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</si>
  <si>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</si>
  <si>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</si>
  <si>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</si>
  <si>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</si>
  <si>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</si>
  <si>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</si>
  <si>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</si>
  <si>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</si>
  <si>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</si>
  <si>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</si>
  <si>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</si>
  <si>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</si>
  <si>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</si>
  <si>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</si>
  <si>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</si>
  <si>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</si>
  <si>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</si>
  <si>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</si>
  <si>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</si>
  <si>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</si>
  <si>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</si>
  <si>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</si>
  <si>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</si>
  <si>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</si>
  <si>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</si>
  <si>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</si>
  <si>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</si>
  <si>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</si>
  <si>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</si>
  <si>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</si>
  <si>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</si>
  <si>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</si>
  <si>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</si>
  <si>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</si>
  <si>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</si>
  <si>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</si>
  <si>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</si>
  <si>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</si>
  <si>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</si>
  <si>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</si>
  <si>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</si>
  <si>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</si>
  <si>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</si>
  <si>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</si>
  <si>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</si>
  <si>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</si>
  <si>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</si>
  <si>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</si>
  <si>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</si>
  <si>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</si>
  <si>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</si>
  <si>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</si>
  <si>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</si>
  <si>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</si>
  <si>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</si>
  <si>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</si>
  <si>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</si>
  <si>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</si>
  <si>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</si>
  <si>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</si>
  <si>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</si>
  <si>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</si>
  <si>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</si>
  <si>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</si>
  <si>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</si>
  <si>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</si>
  <si>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</si>
  <si>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</si>
  <si>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</si>
  <si>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</si>
  <si>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</si>
  <si>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</si>
  <si>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</si>
  <si>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</si>
  <si>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</si>
  <si>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</si>
  <si>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</si>
  <si>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</si>
  <si>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</si>
  <si>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</si>
  <si>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</si>
  <si>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</si>
  <si>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</si>
  <si>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</si>
  <si>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</si>
  <si>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</si>
  <si>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</si>
  <si>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</si>
  <si>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</si>
  <si>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</si>
  <si>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</si>
  <si>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</si>
  <si>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</si>
  <si>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</si>
  <si>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</si>
  <si>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</si>
  <si>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</si>
  <si>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</si>
  <si>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</si>
  <si>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</si>
  <si>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</si>
  <si>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</si>
  <si>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</si>
  <si>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</si>
  <si>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</si>
  <si>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</si>
  <si>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</si>
  <si>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</si>
  <si>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</si>
  <si>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</si>
  <si>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</si>
  <si>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</si>
  <si>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</si>
  <si>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</si>
  <si>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</si>
  <si>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</si>
  <si>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</si>
  <si>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</si>
  <si>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</si>
  <si>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</si>
  <si>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</si>
  <si>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</si>
  <si>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</si>
  <si>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</si>
  <si>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</si>
  <si>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</si>
  <si>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</si>
  <si>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</si>
  <si>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</si>
  <si>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</si>
  <si>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</si>
  <si>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</si>
  <si>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</si>
  <si>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</si>
  <si>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</si>
  <si>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</si>
  <si>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</si>
  <si>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</si>
  <si>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</si>
  <si>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</si>
  <si>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</si>
  <si>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</si>
  <si>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</si>
  <si>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</si>
  <si>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</si>
  <si>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</si>
  <si>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</si>
  <si>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</si>
  <si>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</si>
  <si>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</si>
  <si>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</si>
  <si>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</si>
  <si>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</si>
  <si>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</si>
  <si>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</si>
  <si>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</si>
  <si>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</si>
  <si>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</si>
  <si>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</si>
  <si>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</si>
  <si>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</si>
  <si>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</si>
  <si>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</si>
  <si>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</si>
  <si>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</si>
  <si>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</si>
  <si>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</si>
  <si>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</si>
  <si>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</si>
  <si>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</si>
  <si>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</si>
  <si>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</si>
  <si>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</si>
  <si>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</si>
  <si>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</si>
  <si>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</si>
  <si>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</si>
  <si>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</si>
  <si>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</si>
  <si>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</si>
  <si>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</si>
  <si>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</si>
  <si>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</si>
  <si>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</si>
  <si>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</si>
  <si>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</si>
  <si>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</si>
  <si>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</si>
  <si>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</si>
  <si>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</si>
  <si>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</si>
  <si>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</si>
  <si>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</si>
  <si>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</si>
  <si>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</si>
  <si>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</si>
  <si>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</si>
  <si>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</si>
  <si>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</si>
  <si>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</si>
  <si>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</si>
  <si>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</si>
  <si>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</si>
  <si>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</si>
  <si>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</si>
  <si>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</si>
  <si>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</si>
  <si>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</si>
  <si>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</si>
  <si>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</si>
  <si>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</si>
  <si>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</si>
  <si>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</si>
  <si>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</si>
  <si>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</si>
  <si>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</si>
  <si>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</si>
  <si>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</si>
  <si>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</si>
  <si>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</si>
  <si>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</si>
  <si>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</si>
  <si>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</si>
  <si>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</si>
  <si>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</si>
  <si>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</si>
  <si>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</si>
  <si>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</si>
  <si>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</si>
  <si>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</si>
  <si>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</si>
  <si>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</si>
  <si>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</si>
  <si>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</si>
  <si>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</si>
  <si>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</si>
  <si>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</si>
  <si>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</si>
  <si>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</si>
  <si>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</si>
  <si>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</si>
  <si>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HARTFORD HEALTH CARE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</si>
  <si>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</si>
  <si>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</si>
  <si>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</si>
  <si>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</si>
  <si>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</si>
  <si>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</si>
  <si>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</si>
  <si>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</si>
  <si>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</si>
  <si>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</si>
  <si>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</si>
  <si>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</si>
  <si>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</si>
  <si>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</si>
  <si>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</si>
  <si>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</si>
  <si>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</si>
  <si>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</si>
  <si>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</si>
  <si>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</si>
  <si>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</si>
  <si>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</si>
  <si>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</si>
  <si>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</si>
  <si>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</si>
  <si>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</si>
  <si>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</si>
  <si>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</si>
  <si>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</si>
  <si>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</si>
  <si>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</si>
  <si>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</si>
  <si>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</si>
  <si>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</si>
  <si>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</si>
  <si>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</si>
  <si>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</si>
  <si>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</si>
  <si>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</si>
  <si>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</si>
  <si>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</si>
  <si>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</si>
  <si>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</si>
  <si>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</si>
  <si>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</si>
  <si>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</si>
  <si>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</si>
  <si>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</si>
  <si>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</si>
  <si>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</si>
  <si>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</si>
  <si>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</si>
  <si>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</si>
  <si>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</si>
  <si>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</si>
  <si>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</si>
  <si>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</si>
  <si>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</si>
  <si>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</si>
  <si>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</si>
  <si>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</si>
  <si>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</si>
  <si>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</si>
  <si>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</si>
  <si>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</si>
  <si>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</si>
  <si>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</si>
  <si>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</si>
  <si>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</si>
  <si>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</si>
  <si>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</si>
  <si>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</si>
  <si>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</si>
  <si>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</si>
  <si>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</si>
  <si>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</si>
  <si>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</si>
  <si>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</si>
  <si>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</si>
  <si>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</si>
  <si>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</si>
  <si>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</si>
  <si>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</si>
  <si>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</si>
  <si>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</si>
  <si>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</si>
  <si>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</si>
  <si>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</si>
  <si>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</si>
  <si>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</si>
  <si>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</si>
  <si>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</si>
  <si>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</si>
  <si>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</si>
  <si>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</si>
  <si>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</si>
  <si>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</si>
  <si>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</si>
  <si>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</si>
  <si>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</si>
  <si>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</si>
  <si>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</si>
  <si>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</si>
  <si>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</si>
  <si>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</si>
  <si>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</si>
  <si>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</si>
  <si>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</si>
  <si>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Hartford Hospital</t>
  </si>
  <si>
    <t>West Hartford Surgery Center</t>
  </si>
  <si>
    <t>Eye Surgery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</si>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</sst>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3" style="1" customWidth="1"/>
    <col min="3" max="3" width="16.140625" style="1" bestFit="1" customWidth="1"/>
    <col min="4" max="4" width="18.7109375" style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33536251</v>
      </c>
      <c r="D13" s="23">
        <v>60477778</v>
      </c>
      <c r="E13" s="23">
        <f t="shared" ref="E13:E22" si="0">D13-C13</f>
        <v>26941527</v>
      </c>
      <c r="F13" s="24">
        <f t="shared" ref="F13:F22" si="1">IF(C13=0,0,E13/C13)</f>
        <v>0.80335536014445985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4.5" customHeight="1" x14ac:dyDescent="0.2">
      <c r="A15" s="21">
        <v>3</v>
      </c>
      <c r="B15" s="22" t="s">
        <v>18</v>
      </c>
      <c r="C15" s="23">
        <v>116439803</v>
      </c>
      <c r="D15" s="23">
        <v>123703917</v>
      </c>
      <c r="E15" s="23">
        <f t="shared" si="0"/>
        <v>7264114</v>
      </c>
      <c r="F15" s="24">
        <f t="shared" si="1"/>
        <v>6.2385145052160557E-2</v>
      </c>
    </row>
    <row r="16" spans="1:8" ht="24" customHeight="1" x14ac:dyDescent="0.2">
      <c r="A16" s="21">
        <v>4</v>
      </c>
      <c r="B16" s="22" t="s">
        <v>19</v>
      </c>
      <c r="C16" s="23">
        <v>4304570</v>
      </c>
      <c r="D16" s="23">
        <v>3902820</v>
      </c>
      <c r="E16" s="23">
        <f t="shared" si="0"/>
        <v>-401750</v>
      </c>
      <c r="F16" s="24">
        <f t="shared" si="1"/>
        <v>-9.3331041195752418E-2</v>
      </c>
    </row>
    <row r="17" spans="1:11" ht="24" customHeight="1" x14ac:dyDescent="0.2">
      <c r="A17" s="21">
        <v>5</v>
      </c>
      <c r="B17" s="22" t="s">
        <v>20</v>
      </c>
      <c r="C17" s="23">
        <v>8221672</v>
      </c>
      <c r="D17" s="23">
        <v>16276475</v>
      </c>
      <c r="E17" s="23">
        <f t="shared" si="0"/>
        <v>8054803</v>
      </c>
      <c r="F17" s="24">
        <f t="shared" si="1"/>
        <v>0.97970376341941157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10906251</v>
      </c>
      <c r="D19" s="23">
        <v>11054903</v>
      </c>
      <c r="E19" s="23">
        <f t="shared" si="0"/>
        <v>148652</v>
      </c>
      <c r="F19" s="24">
        <f t="shared" si="1"/>
        <v>1.3629981558282492E-2</v>
      </c>
    </row>
    <row r="20" spans="1:11" ht="24" customHeight="1" x14ac:dyDescent="0.2">
      <c r="A20" s="21">
        <v>8</v>
      </c>
      <c r="B20" s="22" t="s">
        <v>23</v>
      </c>
      <c r="C20" s="23">
        <v>11166296</v>
      </c>
      <c r="D20" s="23">
        <v>10118833</v>
      </c>
      <c r="E20" s="23">
        <f t="shared" si="0"/>
        <v>-1047463</v>
      </c>
      <c r="F20" s="24">
        <f t="shared" si="1"/>
        <v>-9.380577050796432E-2</v>
      </c>
    </row>
    <row r="21" spans="1:11" ht="24" customHeight="1" x14ac:dyDescent="0.2">
      <c r="A21" s="21">
        <v>9</v>
      </c>
      <c r="B21" s="22" t="s">
        <v>24</v>
      </c>
      <c r="C21" s="23">
        <v>18731666</v>
      </c>
      <c r="D21" s="23">
        <v>14438542</v>
      </c>
      <c r="E21" s="23">
        <f t="shared" si="0"/>
        <v>-4293124</v>
      </c>
      <c r="F21" s="24">
        <f t="shared" si="1"/>
        <v>-0.22919071907432045</v>
      </c>
    </row>
    <row r="22" spans="1:11" ht="24" customHeight="1" x14ac:dyDescent="0.25">
      <c r="A22" s="25"/>
      <c r="B22" s="26" t="s">
        <v>25</v>
      </c>
      <c r="C22" s="27">
        <f>SUM(C13:C21)</f>
        <v>203306509</v>
      </c>
      <c r="D22" s="27">
        <f>SUM(D13:D21)</f>
        <v>239973268</v>
      </c>
      <c r="E22" s="27">
        <f t="shared" si="0"/>
        <v>36666759</v>
      </c>
      <c r="F22" s="28">
        <f t="shared" si="1"/>
        <v>0.1803521155340875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95521928</v>
      </c>
      <c r="D25" s="23">
        <v>92291655</v>
      </c>
      <c r="E25" s="23">
        <f>D25-C25</f>
        <v>-3230273</v>
      </c>
      <c r="F25" s="24">
        <f>IF(C25=0,0,E25/C25)</f>
        <v>-3.3817083340277637E-2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54673488</v>
      </c>
      <c r="E27" s="23">
        <f>D27-C27</f>
        <v>54673488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289276135</v>
      </c>
      <c r="D28" s="23">
        <v>282945295</v>
      </c>
      <c r="E28" s="23">
        <f>D28-C28</f>
        <v>-6330840</v>
      </c>
      <c r="F28" s="24">
        <f>IF(C28=0,0,E28/C28)</f>
        <v>-2.1885109879527395E-2</v>
      </c>
    </row>
    <row r="29" spans="1:11" ht="24" customHeight="1" x14ac:dyDescent="0.25">
      <c r="A29" s="25"/>
      <c r="B29" s="26" t="s">
        <v>32</v>
      </c>
      <c r="C29" s="27">
        <f>SUM(C25:C28)</f>
        <v>384798063</v>
      </c>
      <c r="D29" s="27">
        <f>SUM(D25:D28)</f>
        <v>429910438</v>
      </c>
      <c r="E29" s="27">
        <f>D29-C29</f>
        <v>45112375</v>
      </c>
      <c r="F29" s="28">
        <f>IF(C29=0,0,E29/C29)</f>
        <v>0.11723649191030361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40644646</v>
      </c>
      <c r="D33" s="23">
        <v>81481163</v>
      </c>
      <c r="E33" s="23">
        <f>D33-C33</f>
        <v>40836517</v>
      </c>
      <c r="F33" s="24">
        <f>IF(C33=0,0,E33/C33)</f>
        <v>1.004720695562215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797924023</v>
      </c>
      <c r="D36" s="23">
        <v>874183913</v>
      </c>
      <c r="E36" s="23">
        <f>D36-C36</f>
        <v>76259890</v>
      </c>
      <c r="F36" s="24">
        <f>IF(C36=0,0,E36/C36)</f>
        <v>9.5572871353442126E-2</v>
      </c>
    </row>
    <row r="37" spans="1:8" ht="24" customHeight="1" x14ac:dyDescent="0.2">
      <c r="A37" s="21">
        <v>2</v>
      </c>
      <c r="B37" s="22" t="s">
        <v>39</v>
      </c>
      <c r="C37" s="23">
        <v>552907136</v>
      </c>
      <c r="D37" s="23">
        <v>592931534</v>
      </c>
      <c r="E37" s="23">
        <f>D37-C37</f>
        <v>40024398</v>
      </c>
      <c r="F37" s="24">
        <f>IF(C37=0,0,E37/C37)</f>
        <v>7.238900602650207E-2</v>
      </c>
    </row>
    <row r="38" spans="1:8" ht="24" customHeight="1" x14ac:dyDescent="0.25">
      <c r="A38" s="25"/>
      <c r="B38" s="26" t="s">
        <v>40</v>
      </c>
      <c r="C38" s="27">
        <f>C36-C37</f>
        <v>245016887</v>
      </c>
      <c r="D38" s="27">
        <f>D36-D37</f>
        <v>281252379</v>
      </c>
      <c r="E38" s="27">
        <f>D38-C38</f>
        <v>36235492</v>
      </c>
      <c r="F38" s="28">
        <f>IF(C38=0,0,E38/C38)</f>
        <v>0.14788977381791649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36889362</v>
      </c>
      <c r="D40" s="23">
        <v>28120510</v>
      </c>
      <c r="E40" s="23">
        <f>D40-C40</f>
        <v>-8768852</v>
      </c>
      <c r="F40" s="24">
        <f>IF(C40=0,0,E40/C40)</f>
        <v>-0.23770679471225337</v>
      </c>
    </row>
    <row r="41" spans="1:8" ht="24" customHeight="1" x14ac:dyDescent="0.25">
      <c r="A41" s="25"/>
      <c r="B41" s="26" t="s">
        <v>42</v>
      </c>
      <c r="C41" s="27">
        <f>+C38+C40</f>
        <v>281906249</v>
      </c>
      <c r="D41" s="27">
        <f>+D38+D40</f>
        <v>309372889</v>
      </c>
      <c r="E41" s="27">
        <f>D41-C41</f>
        <v>27466640</v>
      </c>
      <c r="F41" s="28">
        <f>IF(C41=0,0,E41/C41)</f>
        <v>9.7431823868508849E-2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910655467</v>
      </c>
      <c r="D43" s="27">
        <f>D22+D29+D31+D32+D33+D41</f>
        <v>1060737758</v>
      </c>
      <c r="E43" s="27">
        <f>D43-C43</f>
        <v>150082291</v>
      </c>
      <c r="F43" s="28">
        <f>IF(C43=0,0,E43/C43)</f>
        <v>0.16480688519272899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41856450</v>
      </c>
      <c r="D49" s="23">
        <v>19542101</v>
      </c>
      <c r="E49" s="23">
        <f t="shared" ref="E49:E56" si="2">D49-C49</f>
        <v>-22314349</v>
      </c>
      <c r="F49" s="24">
        <f t="shared" ref="F49:F56" si="3">IF(C49=0,0,E49/C49)</f>
        <v>-0.5331161386118507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21592183</v>
      </c>
      <c r="D50" s="23">
        <v>18445257</v>
      </c>
      <c r="E50" s="23">
        <f t="shared" si="2"/>
        <v>-3146926</v>
      </c>
      <c r="F50" s="24">
        <f t="shared" si="3"/>
        <v>-0.1457437629164221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1980663</v>
      </c>
      <c r="D51" s="23">
        <v>6850045</v>
      </c>
      <c r="E51" s="23">
        <f t="shared" si="2"/>
        <v>4869382</v>
      </c>
      <c r="F51" s="24">
        <f t="shared" si="3"/>
        <v>2.4584606265679723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32944225</v>
      </c>
      <c r="D54" s="23">
        <v>16971544</v>
      </c>
      <c r="E54" s="23">
        <f t="shared" si="2"/>
        <v>-15972681</v>
      </c>
      <c r="F54" s="24">
        <f t="shared" si="3"/>
        <v>-0.48484008957563884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35247080</v>
      </c>
      <c r="D55" s="23">
        <v>57523250</v>
      </c>
      <c r="E55" s="23">
        <f t="shared" si="2"/>
        <v>22276170</v>
      </c>
      <c r="F55" s="24">
        <f t="shared" si="3"/>
        <v>0.63200043805047112</v>
      </c>
    </row>
    <row r="56" spans="1:6" ht="24" customHeight="1" x14ac:dyDescent="0.25">
      <c r="A56" s="25"/>
      <c r="B56" s="26" t="s">
        <v>54</v>
      </c>
      <c r="C56" s="27">
        <f>SUM(C49:C55)</f>
        <v>133620601</v>
      </c>
      <c r="D56" s="27">
        <f>SUM(D49:D55)</f>
        <v>119332197</v>
      </c>
      <c r="E56" s="27">
        <f t="shared" si="2"/>
        <v>-14288404</v>
      </c>
      <c r="F56" s="28">
        <f t="shared" si="3"/>
        <v>-0.10693264281905153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44750200</v>
      </c>
      <c r="D59" s="23">
        <v>169208339</v>
      </c>
      <c r="E59" s="23">
        <f>D59-C59</f>
        <v>124458139</v>
      </c>
      <c r="F59" s="24">
        <f>IF(C59=0,0,E59/C59)</f>
        <v>2.7811750338545971</v>
      </c>
    </row>
    <row r="60" spans="1:6" ht="24" customHeight="1" x14ac:dyDescent="0.2">
      <c r="A60" s="21">
        <v>2</v>
      </c>
      <c r="B60" s="22" t="s">
        <v>57</v>
      </c>
      <c r="C60" s="23">
        <v>16216676</v>
      </c>
      <c r="D60" s="23">
        <v>22380467</v>
      </c>
      <c r="E60" s="23">
        <f>D60-C60</f>
        <v>6163791</v>
      </c>
      <c r="F60" s="24">
        <f>IF(C60=0,0,E60/C60)</f>
        <v>0.3800896681909412</v>
      </c>
    </row>
    <row r="61" spans="1:6" ht="24" customHeight="1" x14ac:dyDescent="0.25">
      <c r="A61" s="25"/>
      <c r="B61" s="26" t="s">
        <v>58</v>
      </c>
      <c r="C61" s="27">
        <f>SUM(C59:C60)</f>
        <v>60966876</v>
      </c>
      <c r="D61" s="27">
        <f>SUM(D59:D60)</f>
        <v>191588806</v>
      </c>
      <c r="E61" s="27">
        <f>D61-C61</f>
        <v>130621930</v>
      </c>
      <c r="F61" s="28">
        <f>IF(C61=0,0,E61/C61)</f>
        <v>2.1425065309234479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279113923</v>
      </c>
      <c r="D63" s="23">
        <v>340366785</v>
      </c>
      <c r="E63" s="23">
        <f>D63-C63</f>
        <v>61252862</v>
      </c>
      <c r="F63" s="24">
        <f>IF(C63=0,0,E63/C63)</f>
        <v>0.21945469914806076</v>
      </c>
    </row>
    <row r="64" spans="1:6" ht="24" customHeight="1" x14ac:dyDescent="0.2">
      <c r="A64" s="21">
        <v>4</v>
      </c>
      <c r="B64" s="22" t="s">
        <v>60</v>
      </c>
      <c r="C64" s="23">
        <v>9234293</v>
      </c>
      <c r="D64" s="23">
        <v>6957786</v>
      </c>
      <c r="E64" s="23">
        <f>D64-C64</f>
        <v>-2276507</v>
      </c>
      <c r="F64" s="24">
        <f>IF(C64=0,0,E64/C64)</f>
        <v>-0.24652748185486426</v>
      </c>
    </row>
    <row r="65" spans="1:6" ht="24" customHeight="1" x14ac:dyDescent="0.25">
      <c r="A65" s="25"/>
      <c r="B65" s="26" t="s">
        <v>61</v>
      </c>
      <c r="C65" s="27">
        <f>SUM(C61:C64)</f>
        <v>349315092</v>
      </c>
      <c r="D65" s="27">
        <f>SUM(D61:D64)</f>
        <v>538913377</v>
      </c>
      <c r="E65" s="27">
        <f>D65-C65</f>
        <v>189598285</v>
      </c>
      <c r="F65" s="28">
        <f>IF(C65=0,0,E65/C65)</f>
        <v>0.54277152445506138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178313676</v>
      </c>
      <c r="D70" s="23">
        <v>163006762</v>
      </c>
      <c r="E70" s="23">
        <f>D70-C70</f>
        <v>-15306914</v>
      </c>
      <c r="F70" s="24">
        <f>IF(C70=0,0,E70/C70)</f>
        <v>-8.584262488088687E-2</v>
      </c>
    </row>
    <row r="71" spans="1:6" ht="24" customHeight="1" x14ac:dyDescent="0.2">
      <c r="A71" s="21">
        <v>2</v>
      </c>
      <c r="B71" s="22" t="s">
        <v>65</v>
      </c>
      <c r="C71" s="23">
        <v>89881759</v>
      </c>
      <c r="D71" s="23">
        <v>82502856</v>
      </c>
      <c r="E71" s="23">
        <f>D71-C71</f>
        <v>-7378903</v>
      </c>
      <c r="F71" s="24">
        <f>IF(C71=0,0,E71/C71)</f>
        <v>-8.2095667486881296E-2</v>
      </c>
    </row>
    <row r="72" spans="1:6" ht="24" customHeight="1" x14ac:dyDescent="0.2">
      <c r="A72" s="21">
        <v>3</v>
      </c>
      <c r="B72" s="22" t="s">
        <v>66</v>
      </c>
      <c r="C72" s="23">
        <v>159524339</v>
      </c>
      <c r="D72" s="23">
        <v>156982566</v>
      </c>
      <c r="E72" s="23">
        <f>D72-C72</f>
        <v>-2541773</v>
      </c>
      <c r="F72" s="24">
        <f>IF(C72=0,0,E72/C72)</f>
        <v>-1.5933449503276111E-2</v>
      </c>
    </row>
    <row r="73" spans="1:6" ht="24" customHeight="1" x14ac:dyDescent="0.25">
      <c r="A73" s="21"/>
      <c r="B73" s="26" t="s">
        <v>67</v>
      </c>
      <c r="C73" s="27">
        <f>SUM(C70:C72)</f>
        <v>427719774</v>
      </c>
      <c r="D73" s="27">
        <f>SUM(D70:D72)</f>
        <v>402492184</v>
      </c>
      <c r="E73" s="27">
        <f>D73-C73</f>
        <v>-25227590</v>
      </c>
      <c r="F73" s="28">
        <f>IF(C73=0,0,E73/C73)</f>
        <v>-5.8981584517530397E-2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910655467</v>
      </c>
      <c r="D75" s="27">
        <f>D56+D65+D67+D73</f>
        <v>1060737758</v>
      </c>
      <c r="E75" s="27">
        <f>D75-C75</f>
        <v>150082291</v>
      </c>
      <c r="F75" s="28">
        <f>IF(C75=0,0,E75/C75)</f>
        <v>0.16480688519272899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1118786000</v>
      </c>
      <c r="D11" s="51">
        <v>1242385000</v>
      </c>
      <c r="E11" s="51">
        <v>1615988000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173157000</v>
      </c>
      <c r="D12" s="49">
        <v>184106000</v>
      </c>
      <c r="E12" s="49">
        <v>187975000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1291943000</v>
      </c>
      <c r="D13" s="51">
        <f>+D11+D12</f>
        <v>1426491000</v>
      </c>
      <c r="E13" s="51">
        <f>+E11+E12</f>
        <v>1803963000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1281487000</v>
      </c>
      <c r="D14" s="49">
        <v>1408349000</v>
      </c>
      <c r="E14" s="49">
        <v>1760430000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10456000</v>
      </c>
      <c r="D15" s="51">
        <f>+D13-D14</f>
        <v>18142000</v>
      </c>
      <c r="E15" s="51">
        <f>+E13-E14</f>
        <v>43533000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-17330000</v>
      </c>
      <c r="D16" s="49">
        <v>31845000</v>
      </c>
      <c r="E16" s="49">
        <v>177356000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-6874000</v>
      </c>
      <c r="D17" s="51">
        <f>D15+D16</f>
        <v>49987000</v>
      </c>
      <c r="E17" s="51">
        <f>E15+E16</f>
        <v>220889000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8.2032742487327531E-3</v>
      </c>
      <c r="D20" s="169">
        <f>IF(+D27=0,0,+D24/+D27)</f>
        <v>1.2440205823623637E-2</v>
      </c>
      <c r="E20" s="169">
        <f>IF(+E27=0,0,+E24/+E27)</f>
        <v>2.1971726915251909E-2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-1.3596283734749293E-2</v>
      </c>
      <c r="D21" s="169">
        <f>IF(+D27=0,0,+D26/+D27)</f>
        <v>2.183653149891383E-2</v>
      </c>
      <c r="E21" s="169">
        <f>IF(+E27=0,0,+E26/+E27)</f>
        <v>8.9514106511874164E-2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-5.3930094860165402E-3</v>
      </c>
      <c r="D22" s="169">
        <f>IF(+D27=0,0,+D28/+D27)</f>
        <v>3.4276737322537471E-2</v>
      </c>
      <c r="E22" s="169">
        <f>IF(+E27=0,0,+E28/+E27)</f>
        <v>0.11148583342712608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10456000</v>
      </c>
      <c r="D24" s="51">
        <f>+D15</f>
        <v>18142000</v>
      </c>
      <c r="E24" s="51">
        <f>+E15</f>
        <v>43533000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1291943000</v>
      </c>
      <c r="D25" s="51">
        <f>+D13</f>
        <v>1426491000</v>
      </c>
      <c r="E25" s="51">
        <f>+E13</f>
        <v>1803963000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-17330000</v>
      </c>
      <c r="D26" s="51">
        <f>+D16</f>
        <v>31845000</v>
      </c>
      <c r="E26" s="51">
        <f>+E16</f>
        <v>177356000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1274613000</v>
      </c>
      <c r="D27" s="51">
        <f>SUM(D25:D26)</f>
        <v>1458336000</v>
      </c>
      <c r="E27" s="51">
        <f>SUM(E25:E26)</f>
        <v>1981319000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-6874000</v>
      </c>
      <c r="D28" s="51">
        <f>+D17</f>
        <v>49987000</v>
      </c>
      <c r="E28" s="51">
        <f>+E17</f>
        <v>220889000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350486000</v>
      </c>
      <c r="D31" s="51">
        <v>376306000</v>
      </c>
      <c r="E31" s="52">
        <v>491087000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661045000</v>
      </c>
      <c r="D32" s="51">
        <v>709149000</v>
      </c>
      <c r="E32" s="51">
        <v>847957000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-311283000</v>
      </c>
      <c r="D33" s="51">
        <f>+D32-C32</f>
        <v>48104000</v>
      </c>
      <c r="E33" s="51">
        <f>+E32-D32</f>
        <v>138808000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0.67979999999999996</v>
      </c>
      <c r="D34" s="171">
        <f>IF(C32=0,0,+D33/C32)</f>
        <v>7.2769629904166883E-2</v>
      </c>
      <c r="E34" s="171">
        <f>IF(D32=0,0,+E33/D32)</f>
        <v>0.19573883626713146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1.6748906449882393</v>
      </c>
      <c r="D38" s="269">
        <f>IF(+D40=0,0,+D39/+D40)</f>
        <v>1.5816522278693261</v>
      </c>
      <c r="E38" s="269">
        <f>IF(+E40=0,0,+E39/+E40)</f>
        <v>1.6789739603575593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324701000</v>
      </c>
      <c r="D39" s="270">
        <v>333920000</v>
      </c>
      <c r="E39" s="270">
        <v>462240000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193864000</v>
      </c>
      <c r="D40" s="270">
        <v>211121000</v>
      </c>
      <c r="E40" s="270">
        <v>275311000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24.685067363276755</v>
      </c>
      <c r="D42" s="271">
        <f>IF((D48/365)=0,0,+D45/(D48/365))</f>
        <v>24.465618595801416</v>
      </c>
      <c r="E42" s="271">
        <f>IF((E48/365)=0,0,+E45/(E48/365))</f>
        <v>30.359465405077295</v>
      </c>
    </row>
    <row r="43" spans="1:14" ht="24" customHeight="1" x14ac:dyDescent="0.2">
      <c r="A43" s="17">
        <v>5</v>
      </c>
      <c r="B43" s="188" t="s">
        <v>16</v>
      </c>
      <c r="C43" s="272">
        <v>82561000</v>
      </c>
      <c r="D43" s="272">
        <v>90044000</v>
      </c>
      <c r="E43" s="272">
        <v>139631000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82561000</v>
      </c>
      <c r="D45" s="270">
        <f>+D43+D44</f>
        <v>90044000</v>
      </c>
      <c r="E45" s="270">
        <f>+E43+E44</f>
        <v>139631000</v>
      </c>
    </row>
    <row r="46" spans="1:14" ht="24" customHeight="1" x14ac:dyDescent="0.2">
      <c r="A46" s="17">
        <v>8</v>
      </c>
      <c r="B46" s="45" t="s">
        <v>324</v>
      </c>
      <c r="C46" s="270">
        <f>+C14</f>
        <v>1281487000</v>
      </c>
      <c r="D46" s="270">
        <f>+D14</f>
        <v>1408349000</v>
      </c>
      <c r="E46" s="270">
        <f>+E14</f>
        <v>1760430000</v>
      </c>
    </row>
    <row r="47" spans="1:14" ht="24" customHeight="1" x14ac:dyDescent="0.2">
      <c r="A47" s="17">
        <v>9</v>
      </c>
      <c r="B47" s="45" t="s">
        <v>347</v>
      </c>
      <c r="C47" s="270">
        <v>60718000</v>
      </c>
      <c r="D47" s="270">
        <v>64992000</v>
      </c>
      <c r="E47" s="270">
        <v>81701000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1220769000</v>
      </c>
      <c r="D48" s="270">
        <f>+D46-D47</f>
        <v>1343357000</v>
      </c>
      <c r="E48" s="270">
        <f>+E46-E47</f>
        <v>1678729000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58.488164850114323</v>
      </c>
      <c r="D50" s="278">
        <f>IF((D55/365)=0,0,+D54/(D55/365))</f>
        <v>51.256325535160201</v>
      </c>
      <c r="E50" s="278">
        <f>IF((E55/365)=0,0,+E54/(E55/365))</f>
        <v>46.903074156491265</v>
      </c>
    </row>
    <row r="51" spans="1:5" ht="24" customHeight="1" x14ac:dyDescent="0.2">
      <c r="A51" s="17">
        <v>12</v>
      </c>
      <c r="B51" s="188" t="s">
        <v>350</v>
      </c>
      <c r="C51" s="279">
        <v>173216000</v>
      </c>
      <c r="D51" s="279">
        <v>177076000</v>
      </c>
      <c r="E51" s="279">
        <v>241722000</v>
      </c>
    </row>
    <row r="52" spans="1:5" ht="24" customHeight="1" x14ac:dyDescent="0.2">
      <c r="A52" s="17">
        <v>13</v>
      </c>
      <c r="B52" s="188" t="s">
        <v>21</v>
      </c>
      <c r="C52" s="270">
        <v>6060000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2610000</v>
      </c>
      <c r="E53" s="270">
        <v>34065000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179276000</v>
      </c>
      <c r="D54" s="280">
        <f>+D51+D52-D53</f>
        <v>174466000</v>
      </c>
      <c r="E54" s="280">
        <f>+E51+E52-E53</f>
        <v>207657000</v>
      </c>
    </row>
    <row r="55" spans="1:5" ht="24" customHeight="1" x14ac:dyDescent="0.2">
      <c r="A55" s="17">
        <v>16</v>
      </c>
      <c r="B55" s="45" t="s">
        <v>75</v>
      </c>
      <c r="C55" s="270">
        <f>+C11</f>
        <v>1118786000</v>
      </c>
      <c r="D55" s="270">
        <f>+D11</f>
        <v>1242385000</v>
      </c>
      <c r="E55" s="270">
        <f>+E11</f>
        <v>1615988000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57.963758909343206</v>
      </c>
      <c r="D57" s="283">
        <f>IF((D61/365)=0,0,+D58/(D61/365))</f>
        <v>57.363132063926422</v>
      </c>
      <c r="E57" s="283">
        <f>IF((E61/365)=0,0,+E58/(E61/365))</f>
        <v>59.859879110922613</v>
      </c>
    </row>
    <row r="58" spans="1:5" ht="24" customHeight="1" x14ac:dyDescent="0.2">
      <c r="A58" s="17">
        <v>18</v>
      </c>
      <c r="B58" s="45" t="s">
        <v>54</v>
      </c>
      <c r="C58" s="281">
        <f>+C40</f>
        <v>193864000</v>
      </c>
      <c r="D58" s="281">
        <f>+D40</f>
        <v>211121000</v>
      </c>
      <c r="E58" s="281">
        <f>+E40</f>
        <v>275311000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1281487000</v>
      </c>
      <c r="D59" s="281">
        <f t="shared" si="0"/>
        <v>1408349000</v>
      </c>
      <c r="E59" s="281">
        <f t="shared" si="0"/>
        <v>1760430000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60718000</v>
      </c>
      <c r="D60" s="176">
        <f t="shared" si="0"/>
        <v>64992000</v>
      </c>
      <c r="E60" s="176">
        <f t="shared" si="0"/>
        <v>81701000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1220769000</v>
      </c>
      <c r="D61" s="281">
        <f>+D59-D60</f>
        <v>1343357000</v>
      </c>
      <c r="E61" s="281">
        <f>+E59-E60</f>
        <v>1678729000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47.766680347769785</v>
      </c>
      <c r="D65" s="284">
        <f>IF(D67=0,0,(D66/D67)*100)</f>
        <v>47.412452480507483</v>
      </c>
      <c r="E65" s="284">
        <f>IF(E67=0,0,(E66/E67)*100)</f>
        <v>39.930899088841812</v>
      </c>
    </row>
    <row r="66" spans="1:5" ht="24" customHeight="1" x14ac:dyDescent="0.2">
      <c r="A66" s="17">
        <v>2</v>
      </c>
      <c r="B66" s="45" t="s">
        <v>67</v>
      </c>
      <c r="C66" s="281">
        <f>+C32</f>
        <v>661045000</v>
      </c>
      <c r="D66" s="281">
        <f>+D32</f>
        <v>709149000</v>
      </c>
      <c r="E66" s="281">
        <f>+E32</f>
        <v>847957000</v>
      </c>
    </row>
    <row r="67" spans="1:5" ht="24" customHeight="1" x14ac:dyDescent="0.2">
      <c r="A67" s="17">
        <v>3</v>
      </c>
      <c r="B67" s="45" t="s">
        <v>43</v>
      </c>
      <c r="C67" s="281">
        <v>1383904000</v>
      </c>
      <c r="D67" s="281">
        <v>1495702000</v>
      </c>
      <c r="E67" s="281">
        <v>2123561000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14.977677019151866</v>
      </c>
      <c r="D69" s="284">
        <f>IF(D75=0,0,(D72/D75)*100)</f>
        <v>30.285286827708457</v>
      </c>
      <c r="E69" s="284">
        <f>IF(E75=0,0,(E72/E75)*100)</f>
        <v>43.94035763347361</v>
      </c>
    </row>
    <row r="70" spans="1:5" ht="24" customHeight="1" x14ac:dyDescent="0.2">
      <c r="A70" s="17">
        <v>5</v>
      </c>
      <c r="B70" s="45" t="s">
        <v>358</v>
      </c>
      <c r="C70" s="281">
        <f>+C28</f>
        <v>-6874000</v>
      </c>
      <c r="D70" s="281">
        <f>+D28</f>
        <v>49987000</v>
      </c>
      <c r="E70" s="281">
        <f>+E28</f>
        <v>220889000</v>
      </c>
    </row>
    <row r="71" spans="1:5" ht="24" customHeight="1" x14ac:dyDescent="0.2">
      <c r="A71" s="17">
        <v>6</v>
      </c>
      <c r="B71" s="45" t="s">
        <v>347</v>
      </c>
      <c r="C71" s="176">
        <f>+C47</f>
        <v>60718000</v>
      </c>
      <c r="D71" s="176">
        <f>+D47</f>
        <v>64992000</v>
      </c>
      <c r="E71" s="176">
        <f>+E47</f>
        <v>81701000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53844000</v>
      </c>
      <c r="D72" s="281">
        <f>+D70+D71</f>
        <v>114979000</v>
      </c>
      <c r="E72" s="281">
        <f>+E70+E71</f>
        <v>302590000</v>
      </c>
    </row>
    <row r="73" spans="1:5" ht="24" customHeight="1" x14ac:dyDescent="0.2">
      <c r="A73" s="17">
        <v>8</v>
      </c>
      <c r="B73" s="45" t="s">
        <v>54</v>
      </c>
      <c r="C73" s="270">
        <f>+C40</f>
        <v>193864000</v>
      </c>
      <c r="D73" s="270">
        <f>+D40</f>
        <v>211121000</v>
      </c>
      <c r="E73" s="270">
        <f>+E40</f>
        <v>275311000</v>
      </c>
    </row>
    <row r="74" spans="1:5" ht="24" customHeight="1" x14ac:dyDescent="0.2">
      <c r="A74" s="17">
        <v>9</v>
      </c>
      <c r="B74" s="45" t="s">
        <v>58</v>
      </c>
      <c r="C74" s="281">
        <v>165631000</v>
      </c>
      <c r="D74" s="281">
        <v>168532000</v>
      </c>
      <c r="E74" s="281">
        <v>413327000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359495000</v>
      </c>
      <c r="D75" s="270">
        <f>+D73+D74</f>
        <v>379653000</v>
      </c>
      <c r="E75" s="270">
        <f>+E73+E74</f>
        <v>688638000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20.035781854075839</v>
      </c>
      <c r="D77" s="286">
        <f>IF(D80=0,0,(D78/D80)*100)</f>
        <v>19.201965178692486</v>
      </c>
      <c r="E77" s="286">
        <f>IF(E80=0,0,(E78/E80)*100)</f>
        <v>32.770335626234854</v>
      </c>
    </row>
    <row r="78" spans="1:5" ht="24" customHeight="1" x14ac:dyDescent="0.2">
      <c r="A78" s="17">
        <v>12</v>
      </c>
      <c r="B78" s="45" t="s">
        <v>58</v>
      </c>
      <c r="C78" s="270">
        <f>+C74</f>
        <v>165631000</v>
      </c>
      <c r="D78" s="270">
        <f>+D74</f>
        <v>168532000</v>
      </c>
      <c r="E78" s="270">
        <f>+E74</f>
        <v>413327000</v>
      </c>
    </row>
    <row r="79" spans="1:5" ht="24" customHeight="1" x14ac:dyDescent="0.2">
      <c r="A79" s="17">
        <v>13</v>
      </c>
      <c r="B79" s="45" t="s">
        <v>67</v>
      </c>
      <c r="C79" s="270">
        <f>+C32</f>
        <v>661045000</v>
      </c>
      <c r="D79" s="270">
        <f>+D32</f>
        <v>709149000</v>
      </c>
      <c r="E79" s="270">
        <f>+E32</f>
        <v>847957000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826676000</v>
      </c>
      <c r="D80" s="270">
        <f>+D78+D79</f>
        <v>877681000</v>
      </c>
      <c r="E80" s="270">
        <f>+E78+E79</f>
        <v>1261284000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FILING&amp;R&amp;8HARTFORD HEALTH CARE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142205</v>
      </c>
      <c r="D11" s="296">
        <v>28888</v>
      </c>
      <c r="E11" s="296">
        <v>28771</v>
      </c>
      <c r="F11" s="297">
        <v>415</v>
      </c>
      <c r="G11" s="297">
        <v>508</v>
      </c>
      <c r="H11" s="298">
        <f>IF(F11=0,0,$C11/(F11*365))</f>
        <v>0.93880178247235513</v>
      </c>
      <c r="I11" s="298">
        <f>IF(G11=0,0,$C11/(G11*365))</f>
        <v>0.76693452701973897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23938</v>
      </c>
      <c r="D13" s="296">
        <v>4554</v>
      </c>
      <c r="E13" s="296">
        <v>0</v>
      </c>
      <c r="F13" s="297">
        <v>66</v>
      </c>
      <c r="G13" s="297">
        <v>74</v>
      </c>
      <c r="H13" s="298">
        <f>IF(F13=0,0,$C13/(F13*365))</f>
        <v>0.99369032793690326</v>
      </c>
      <c r="I13" s="298">
        <f>IF(G13=0,0,$C13/(G13*365))</f>
        <v>0.88626434653831909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8493</v>
      </c>
      <c r="D15" s="296">
        <v>1102</v>
      </c>
      <c r="E15" s="296">
        <v>1083</v>
      </c>
      <c r="F15" s="297">
        <v>24</v>
      </c>
      <c r="G15" s="297">
        <v>29</v>
      </c>
      <c r="H15" s="298">
        <f t="shared" ref="H15:I17" si="0">IF(F15=0,0,$C15/(F15*365))</f>
        <v>0.96952054794520548</v>
      </c>
      <c r="I15" s="298">
        <f t="shared" si="0"/>
        <v>0.80236183278223905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28341</v>
      </c>
      <c r="D16" s="296">
        <v>3140</v>
      </c>
      <c r="E16" s="296">
        <v>3085</v>
      </c>
      <c r="F16" s="297">
        <v>78</v>
      </c>
      <c r="G16" s="297">
        <v>94</v>
      </c>
      <c r="H16" s="298">
        <f t="shared" si="0"/>
        <v>0.99546891464699683</v>
      </c>
      <c r="I16" s="298">
        <f t="shared" si="0"/>
        <v>0.82602739726027397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36834</v>
      </c>
      <c r="D17" s="300">
        <f>SUM(D15:D16)</f>
        <v>4242</v>
      </c>
      <c r="E17" s="300">
        <f>SUM(E15:E16)</f>
        <v>4168</v>
      </c>
      <c r="F17" s="300">
        <f>SUM(F15:F16)</f>
        <v>102</v>
      </c>
      <c r="G17" s="300">
        <f>SUM(G15:G16)</f>
        <v>123</v>
      </c>
      <c r="H17" s="301">
        <f t="shared" si="0"/>
        <v>0.98936341659951654</v>
      </c>
      <c r="I17" s="301">
        <f t="shared" si="0"/>
        <v>0.82044771132642835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11222</v>
      </c>
      <c r="D21" s="296">
        <v>3683</v>
      </c>
      <c r="E21" s="296">
        <v>3902</v>
      </c>
      <c r="F21" s="297">
        <v>31</v>
      </c>
      <c r="G21" s="297">
        <v>43</v>
      </c>
      <c r="H21" s="298">
        <f>IF(F21=0,0,$C21/(F21*365))</f>
        <v>0.99178082191780825</v>
      </c>
      <c r="I21" s="298">
        <f>IF(G21=0,0,$C21/(G21*365))</f>
        <v>0.71500477859190825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9356</v>
      </c>
      <c r="D23" s="296">
        <v>3861</v>
      </c>
      <c r="E23" s="296">
        <v>3862</v>
      </c>
      <c r="F23" s="297">
        <v>26</v>
      </c>
      <c r="G23" s="297">
        <v>48</v>
      </c>
      <c r="H23" s="298">
        <f>IF(F23=0,0,$C23/(F23*365))</f>
        <v>0.9858798735511064</v>
      </c>
      <c r="I23" s="298">
        <f>IF(G23=0,0,$C23/(G23*365))</f>
        <v>0.53401826484018267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214199</v>
      </c>
      <c r="D31" s="300">
        <f>SUM(D10:D29)-D13-D17-D23</f>
        <v>36813</v>
      </c>
      <c r="E31" s="300">
        <f>SUM(E10:E29)-E17-E23</f>
        <v>36841</v>
      </c>
      <c r="F31" s="300">
        <f>SUM(F10:F29)-F17-F23</f>
        <v>614</v>
      </c>
      <c r="G31" s="300">
        <f>SUM(G10:G29)-G17-G23</f>
        <v>748</v>
      </c>
      <c r="H31" s="301">
        <f>IF(F31=0,0,$C31/(F31*365))</f>
        <v>0.9557761813395208</v>
      </c>
      <c r="I31" s="301">
        <f>IF(G31=0,0,$C31/(G31*365))</f>
        <v>0.78455424511024829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223555</v>
      </c>
      <c r="D33" s="300">
        <f>SUM(D10:D29)-D13-D17</f>
        <v>40674</v>
      </c>
      <c r="E33" s="300">
        <f>SUM(E10:E29)-E17</f>
        <v>40703</v>
      </c>
      <c r="F33" s="300">
        <f>SUM(F10:F29)-F17</f>
        <v>640</v>
      </c>
      <c r="G33" s="300">
        <f>SUM(G10:G29)-G17</f>
        <v>796</v>
      </c>
      <c r="H33" s="301">
        <f>IF(F33=0,0,$C33/(F33*365))</f>
        <v>0.95699914383561646</v>
      </c>
      <c r="I33" s="301">
        <f>IF(G33=0,0,$C33/(G33*365))</f>
        <v>0.76944654780753086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223555</v>
      </c>
      <c r="D36" s="300">
        <f t="shared" si="1"/>
        <v>40674</v>
      </c>
      <c r="E36" s="300">
        <f t="shared" si="1"/>
        <v>40703</v>
      </c>
      <c r="F36" s="300">
        <f t="shared" si="1"/>
        <v>640</v>
      </c>
      <c r="G36" s="300">
        <f t="shared" si="1"/>
        <v>796</v>
      </c>
      <c r="H36" s="301">
        <f t="shared" si="1"/>
        <v>0.95699914383561646</v>
      </c>
      <c r="I36" s="301">
        <f t="shared" si="1"/>
        <v>0.76944654780753086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220114</v>
      </c>
      <c r="D37" s="300">
        <v>0</v>
      </c>
      <c r="E37" s="300">
        <v>0</v>
      </c>
      <c r="F37" s="302">
        <v>630</v>
      </c>
      <c r="G37" s="302">
        <v>760</v>
      </c>
      <c r="H37" s="301">
        <f>IF(F37=0,0,$C37/(F37*365))</f>
        <v>0.95722548380082628</v>
      </c>
      <c r="I37" s="301">
        <f>IF(G37=0,0,$C37/(G37*365))</f>
        <v>0.79348954578226383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3441</v>
      </c>
      <c r="D38" s="300">
        <f t="shared" si="2"/>
        <v>40674</v>
      </c>
      <c r="E38" s="300">
        <f t="shared" si="2"/>
        <v>40703</v>
      </c>
      <c r="F38" s="300">
        <f t="shared" si="2"/>
        <v>10</v>
      </c>
      <c r="G38" s="300">
        <f t="shared" si="2"/>
        <v>36</v>
      </c>
      <c r="H38" s="301">
        <f t="shared" si="2"/>
        <v>-2.263399652098208E-4</v>
      </c>
      <c r="I38" s="301">
        <f t="shared" si="2"/>
        <v>-2.4042997974732971E-2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1.5632808453801213E-2</v>
      </c>
      <c r="D40" s="148">
        <f t="shared" si="3"/>
        <v>0</v>
      </c>
      <c r="E40" s="148">
        <f t="shared" si="3"/>
        <v>0</v>
      </c>
      <c r="F40" s="148">
        <f t="shared" si="3"/>
        <v>1.5873015873015872E-2</v>
      </c>
      <c r="G40" s="148">
        <f t="shared" si="3"/>
        <v>4.736842105263158E-2</v>
      </c>
      <c r="H40" s="148">
        <f t="shared" si="3"/>
        <v>-2.3645417828942409E-4</v>
      </c>
      <c r="I40" s="148">
        <f t="shared" si="3"/>
        <v>-3.0300333637074094E-2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867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FILING&amp;RHARTFORD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27233</v>
      </c>
      <c r="D12" s="296">
        <v>19547</v>
      </c>
      <c r="E12" s="296">
        <f>+D12-C12</f>
        <v>-7686</v>
      </c>
      <c r="F12" s="316">
        <f>IF(C12=0,0,+E12/C12)</f>
        <v>-0.28223111665993461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3748</v>
      </c>
      <c r="D13" s="296">
        <v>3154</v>
      </c>
      <c r="E13" s="296">
        <f>+D13-C13</f>
        <v>-594</v>
      </c>
      <c r="F13" s="316">
        <f>IF(C13=0,0,+E13/C13)</f>
        <v>-0.15848452508004268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18431</v>
      </c>
      <c r="D14" s="296">
        <v>15510</v>
      </c>
      <c r="E14" s="296">
        <f>+D14-C14</f>
        <v>-2921</v>
      </c>
      <c r="F14" s="316">
        <f>IF(C14=0,0,+E14/C14)</f>
        <v>-0.15848299061364007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49412</v>
      </c>
      <c r="D16" s="300">
        <f>SUM(D12:D15)</f>
        <v>38211</v>
      </c>
      <c r="E16" s="300">
        <f>+D16-C16</f>
        <v>-11201</v>
      </c>
      <c r="F16" s="309">
        <f>IF(C16=0,0,+E16/C16)</f>
        <v>-0.22668582530559378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3380</v>
      </c>
      <c r="D19" s="296">
        <v>3527</v>
      </c>
      <c r="E19" s="296">
        <f>+D19-C19</f>
        <v>147</v>
      </c>
      <c r="F19" s="316">
        <f>IF(C19=0,0,+E19/C19)</f>
        <v>4.3491124260355028E-2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4501</v>
      </c>
      <c r="D20" s="296">
        <v>3836</v>
      </c>
      <c r="E20" s="296">
        <f>+D20-C20</f>
        <v>-665</v>
      </c>
      <c r="F20" s="316">
        <f>IF(C20=0,0,+E20/C20)</f>
        <v>-0.14774494556765164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441</v>
      </c>
      <c r="D21" s="296">
        <v>379</v>
      </c>
      <c r="E21" s="296">
        <f>+D21-C21</f>
        <v>-62</v>
      </c>
      <c r="F21" s="316">
        <f>IF(C21=0,0,+E21/C21)</f>
        <v>-0.14058956916099774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8322</v>
      </c>
      <c r="D23" s="300">
        <f>SUM(D19:D22)</f>
        <v>7742</v>
      </c>
      <c r="E23" s="300">
        <f>+D23-C23</f>
        <v>-580</v>
      </c>
      <c r="F23" s="309">
        <f>IF(C23=0,0,+E23/C23)</f>
        <v>-6.9694784907474161E-2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317</v>
      </c>
      <c r="D26" s="296">
        <v>239</v>
      </c>
      <c r="E26" s="296">
        <f>+D26-C26</f>
        <v>-78</v>
      </c>
      <c r="F26" s="316">
        <f>IF(C26=0,0,+E26/C26)</f>
        <v>-0.24605678233438485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427</v>
      </c>
      <c r="D27" s="296">
        <v>280</v>
      </c>
      <c r="E27" s="296">
        <f>+D27-C27</f>
        <v>-147</v>
      </c>
      <c r="F27" s="316">
        <f>IF(C27=0,0,+E27/C27)</f>
        <v>-0.34426229508196721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48</v>
      </c>
      <c r="D28" s="296">
        <v>31</v>
      </c>
      <c r="E28" s="296">
        <f>+D28-C28</f>
        <v>-17</v>
      </c>
      <c r="F28" s="316">
        <f>IF(C28=0,0,+E28/C28)</f>
        <v>-0.35416666666666669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792</v>
      </c>
      <c r="D30" s="300">
        <f>SUM(D26:D29)</f>
        <v>550</v>
      </c>
      <c r="E30" s="300">
        <f>+D30-C30</f>
        <v>-242</v>
      </c>
      <c r="F30" s="309">
        <f>IF(C30=0,0,+E30/C30)</f>
        <v>-0.30555555555555558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253</v>
      </c>
      <c r="D33" s="296">
        <v>289</v>
      </c>
      <c r="E33" s="296">
        <f>+D33-C33</f>
        <v>36</v>
      </c>
      <c r="F33" s="316">
        <f>IF(C33=0,0,+E33/C33)</f>
        <v>0.14229249011857709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969</v>
      </c>
      <c r="D34" s="296">
        <v>1000</v>
      </c>
      <c r="E34" s="296">
        <f>+D34-C34</f>
        <v>31</v>
      </c>
      <c r="F34" s="316">
        <f>IF(C34=0,0,+E34/C34)</f>
        <v>3.1991744066047469E-2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108</v>
      </c>
      <c r="D35" s="296">
        <v>111</v>
      </c>
      <c r="E35" s="296">
        <f>+D35-C35</f>
        <v>3</v>
      </c>
      <c r="F35" s="316">
        <f>IF(C35=0,0,+E35/C35)</f>
        <v>2.7777777777777776E-2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1330</v>
      </c>
      <c r="D37" s="300">
        <f>SUM(D33:D36)</f>
        <v>1400</v>
      </c>
      <c r="E37" s="300">
        <f>+D37-C37</f>
        <v>70</v>
      </c>
      <c r="F37" s="309">
        <f>IF(C37=0,0,+E37/C37)</f>
        <v>5.2631578947368418E-2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775</v>
      </c>
      <c r="D43" s="296">
        <v>1279</v>
      </c>
      <c r="E43" s="296">
        <f>+D43-C43</f>
        <v>504</v>
      </c>
      <c r="F43" s="316">
        <f>IF(C43=0,0,+E43/C43)</f>
        <v>0.65032258064516124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25567</v>
      </c>
      <c r="D44" s="296">
        <v>26537</v>
      </c>
      <c r="E44" s="296">
        <f>+D44-C44</f>
        <v>970</v>
      </c>
      <c r="F44" s="316">
        <f>IF(C44=0,0,+E44/C44)</f>
        <v>3.7939531427230416E-2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26342</v>
      </c>
      <c r="D45" s="300">
        <f>SUM(D43:D44)</f>
        <v>27816</v>
      </c>
      <c r="E45" s="300">
        <f>+D45-C45</f>
        <v>1474</v>
      </c>
      <c r="F45" s="309">
        <f>IF(C45=0,0,+E45/C45)</f>
        <v>5.5956267557512721E-2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2040</v>
      </c>
      <c r="D48" s="296">
        <v>2096</v>
      </c>
      <c r="E48" s="296">
        <f>+D48-C48</f>
        <v>56</v>
      </c>
      <c r="F48" s="316">
        <f>IF(C48=0,0,+E48/C48)</f>
        <v>2.7450980392156862E-2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1252</v>
      </c>
      <c r="D49" s="296">
        <v>1048</v>
      </c>
      <c r="E49" s="296">
        <f>+D49-C49</f>
        <v>-204</v>
      </c>
      <c r="F49" s="316">
        <f>IF(C49=0,0,+E49/C49)</f>
        <v>-0.16293929712460065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3292</v>
      </c>
      <c r="D50" s="300">
        <f>SUM(D48:D49)</f>
        <v>3144</v>
      </c>
      <c r="E50" s="300">
        <f>+D50-C50</f>
        <v>-148</v>
      </c>
      <c r="F50" s="309">
        <f>IF(C50=0,0,+E50/C50)</f>
        <v>-4.4957472660996353E-2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1230</v>
      </c>
      <c r="D53" s="296">
        <v>1247</v>
      </c>
      <c r="E53" s="296">
        <f>+D53-C53</f>
        <v>17</v>
      </c>
      <c r="F53" s="316">
        <f>IF(C53=0,0,+E53/C53)</f>
        <v>1.3821138211382113E-2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8</v>
      </c>
      <c r="D54" s="296">
        <v>22</v>
      </c>
      <c r="E54" s="296">
        <f>+D54-C54</f>
        <v>14</v>
      </c>
      <c r="F54" s="316">
        <f>IF(C54=0,0,+E54/C54)</f>
        <v>1.75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1238</v>
      </c>
      <c r="D55" s="300">
        <f>SUM(D53:D54)</f>
        <v>1269</v>
      </c>
      <c r="E55" s="300">
        <f>+D55-C55</f>
        <v>31</v>
      </c>
      <c r="F55" s="309">
        <f>IF(C55=0,0,+E55/C55)</f>
        <v>2.5040387722132473E-2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226</v>
      </c>
      <c r="D58" s="296">
        <v>232</v>
      </c>
      <c r="E58" s="296">
        <f>+D58-C58</f>
        <v>6</v>
      </c>
      <c r="F58" s="316">
        <f>IF(C58=0,0,+E58/C58)</f>
        <v>2.6548672566371681E-2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394</v>
      </c>
      <c r="D59" s="296">
        <v>475</v>
      </c>
      <c r="E59" s="296">
        <f>+D59-C59</f>
        <v>81</v>
      </c>
      <c r="F59" s="316">
        <f>IF(C59=0,0,+E59/C59)</f>
        <v>0.20558375634517767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620</v>
      </c>
      <c r="D60" s="300">
        <f>SUM(D58:D59)</f>
        <v>707</v>
      </c>
      <c r="E60" s="300">
        <f>SUM(E58:E59)</f>
        <v>87</v>
      </c>
      <c r="F60" s="309">
        <f>IF(C60=0,0,+E60/C60)</f>
        <v>0.14032258064516129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12539</v>
      </c>
      <c r="D63" s="296">
        <v>12103</v>
      </c>
      <c r="E63" s="296">
        <f>+D63-C63</f>
        <v>-436</v>
      </c>
      <c r="F63" s="316">
        <f>IF(C63=0,0,+E63/C63)</f>
        <v>-3.4771512879814975E-2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13903</v>
      </c>
      <c r="D64" s="296">
        <v>20955</v>
      </c>
      <c r="E64" s="296">
        <f>+D64-C64</f>
        <v>7052</v>
      </c>
      <c r="F64" s="316">
        <f>IF(C64=0,0,+E64/C64)</f>
        <v>0.5072286556858232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26442</v>
      </c>
      <c r="D65" s="300">
        <f>SUM(D63:D64)</f>
        <v>33058</v>
      </c>
      <c r="E65" s="300">
        <f>+D65-C65</f>
        <v>6616</v>
      </c>
      <c r="F65" s="309">
        <f>IF(C65=0,0,+E65/C65)</f>
        <v>0.25020800242039182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2897</v>
      </c>
      <c r="D68" s="296">
        <v>3069</v>
      </c>
      <c r="E68" s="296">
        <f>+D68-C68</f>
        <v>172</v>
      </c>
      <c r="F68" s="316">
        <f>IF(C68=0,0,+E68/C68)</f>
        <v>5.9371763893683122E-2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11252</v>
      </c>
      <c r="D69" s="296">
        <v>11099</v>
      </c>
      <c r="E69" s="296">
        <f>+D69-C69</f>
        <v>-153</v>
      </c>
      <c r="F69" s="318">
        <f>IF(C69=0,0,+E69/C69)</f>
        <v>-1.3597582651972983E-2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14149</v>
      </c>
      <c r="D70" s="300">
        <f>SUM(D68:D69)</f>
        <v>14168</v>
      </c>
      <c r="E70" s="300">
        <f>+D70-C70</f>
        <v>19</v>
      </c>
      <c r="F70" s="309">
        <f>IF(C70=0,0,+E70/C70)</f>
        <v>1.3428510848823238E-3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16735</v>
      </c>
      <c r="D73" s="319">
        <v>17014</v>
      </c>
      <c r="E73" s="296">
        <f>+D73-C73</f>
        <v>279</v>
      </c>
      <c r="F73" s="316">
        <f>IF(C73=0,0,+E73/C73)</f>
        <v>1.667164625037347E-2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78670</v>
      </c>
      <c r="D74" s="319">
        <v>78553</v>
      </c>
      <c r="E74" s="296">
        <f>+D74-C74</f>
        <v>-117</v>
      </c>
      <c r="F74" s="316">
        <f>IF(C74=0,0,+E74/C74)</f>
        <v>-1.4872251175797636E-3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95405</v>
      </c>
      <c r="D75" s="300">
        <f>SUM(D73:D74)</f>
        <v>95567</v>
      </c>
      <c r="E75" s="300">
        <f>SUM(E73:E74)</f>
        <v>162</v>
      </c>
      <c r="F75" s="309">
        <f>IF(C75=0,0,+E75/C75)</f>
        <v>1.6980242125674756E-3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14699</v>
      </c>
      <c r="D80" s="319">
        <v>12963</v>
      </c>
      <c r="E80" s="296">
        <f t="shared" si="0"/>
        <v>-1736</v>
      </c>
      <c r="F80" s="316">
        <f t="shared" si="1"/>
        <v>-0.11810327233145113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11730</v>
      </c>
      <c r="D81" s="319">
        <v>10206</v>
      </c>
      <c r="E81" s="296">
        <f t="shared" si="0"/>
        <v>-1524</v>
      </c>
      <c r="F81" s="316">
        <f t="shared" si="1"/>
        <v>-0.12992327365728901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12777</v>
      </c>
      <c r="D82" s="319">
        <v>12875</v>
      </c>
      <c r="E82" s="296">
        <f t="shared" si="0"/>
        <v>98</v>
      </c>
      <c r="F82" s="316">
        <f t="shared" si="1"/>
        <v>7.67003208890976E-3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45539</v>
      </c>
      <c r="D83" s="319">
        <v>48958</v>
      </c>
      <c r="E83" s="296">
        <f t="shared" si="0"/>
        <v>3419</v>
      </c>
      <c r="F83" s="316">
        <f t="shared" si="1"/>
        <v>7.5078504139309166E-2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84745</v>
      </c>
      <c r="D84" s="320">
        <f>SUM(D79:D83)</f>
        <v>85002</v>
      </c>
      <c r="E84" s="300">
        <f t="shared" si="0"/>
        <v>257</v>
      </c>
      <c r="F84" s="309">
        <f t="shared" si="1"/>
        <v>3.0326272936456429E-3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113900</v>
      </c>
      <c r="D87" s="322">
        <v>121905</v>
      </c>
      <c r="E87" s="323">
        <f t="shared" ref="E87:E92" si="2">+D87-C87</f>
        <v>8005</v>
      </c>
      <c r="F87" s="318">
        <f t="shared" ref="F87:F92" si="3">IF(C87=0,0,+E87/C87)</f>
        <v>7.0280948200175594E-2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12294</v>
      </c>
      <c r="D88" s="322">
        <v>13365</v>
      </c>
      <c r="E88" s="296">
        <f t="shared" si="2"/>
        <v>1071</v>
      </c>
      <c r="F88" s="316">
        <f t="shared" si="3"/>
        <v>8.7115666178623721E-2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1299</v>
      </c>
      <c r="D89" s="322">
        <v>1628</v>
      </c>
      <c r="E89" s="296">
        <f t="shared" si="2"/>
        <v>329</v>
      </c>
      <c r="F89" s="316">
        <f t="shared" si="3"/>
        <v>0.25327174749807546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10229</v>
      </c>
      <c r="D90" s="322">
        <v>10090</v>
      </c>
      <c r="E90" s="296">
        <f t="shared" si="2"/>
        <v>-139</v>
      </c>
      <c r="F90" s="316">
        <f t="shared" si="3"/>
        <v>-1.3588816111056799E-2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37997</v>
      </c>
      <c r="D91" s="322">
        <v>38236</v>
      </c>
      <c r="E91" s="296">
        <f t="shared" si="2"/>
        <v>239</v>
      </c>
      <c r="F91" s="316">
        <f t="shared" si="3"/>
        <v>6.2899702608100643E-3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175719</v>
      </c>
      <c r="D92" s="320">
        <f>SUM(D87:D91)</f>
        <v>185224</v>
      </c>
      <c r="E92" s="300">
        <f t="shared" si="2"/>
        <v>9505</v>
      </c>
      <c r="F92" s="309">
        <f t="shared" si="3"/>
        <v>5.4092044684979995E-2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1499</v>
      </c>
      <c r="D96" s="325">
        <v>1567.4</v>
      </c>
      <c r="E96" s="326">
        <f>+D96-C96</f>
        <v>68.400000000000091</v>
      </c>
      <c r="F96" s="316">
        <f>IF(C96=0,0,+E96/C96)</f>
        <v>4.5630420280186851E-2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210</v>
      </c>
      <c r="D97" s="325">
        <v>226.2</v>
      </c>
      <c r="E97" s="326">
        <f>+D97-C97</f>
        <v>16.199999999999989</v>
      </c>
      <c r="F97" s="316">
        <f>IF(C97=0,0,+E97/C97)</f>
        <v>7.7142857142857083E-2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3939</v>
      </c>
      <c r="D98" s="325">
        <v>4044.7</v>
      </c>
      <c r="E98" s="326">
        <f>+D98-C98</f>
        <v>105.69999999999982</v>
      </c>
      <c r="F98" s="316">
        <f>IF(C98=0,0,+E98/C98)</f>
        <v>2.6834221883726788E-2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5648</v>
      </c>
      <c r="D99" s="327">
        <f>SUM(D96:D98)</f>
        <v>5838.3</v>
      </c>
      <c r="E99" s="327">
        <f>+D99-C99</f>
        <v>190.30000000000018</v>
      </c>
      <c r="F99" s="309">
        <f>IF(C99=0,0,+E99/C99)</f>
        <v>3.3693342776203998E-2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FILING&amp;RHARTFORD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11380</v>
      </c>
      <c r="D12" s="296">
        <v>12103</v>
      </c>
      <c r="E12" s="296">
        <f>+D12-C12</f>
        <v>723</v>
      </c>
      <c r="F12" s="316">
        <f>IF(C12=0,0,+E12/C12)</f>
        <v>6.3532513181019337E-2</v>
      </c>
    </row>
    <row r="13" spans="1:16" ht="15.75" customHeight="1" x14ac:dyDescent="0.2">
      <c r="A13" s="294">
        <v>2</v>
      </c>
      <c r="B13" s="295" t="s">
        <v>589</v>
      </c>
      <c r="C13" s="296">
        <v>2523</v>
      </c>
      <c r="D13" s="296">
        <v>2311</v>
      </c>
      <c r="E13" s="296">
        <f>+D13-C13</f>
        <v>-212</v>
      </c>
      <c r="F13" s="316">
        <f>IF(C13=0,0,+E13/C13)</f>
        <v>-8.4026952041220765E-2</v>
      </c>
    </row>
    <row r="14" spans="1:16" ht="15.75" customHeight="1" x14ac:dyDescent="0.2">
      <c r="A14" s="294">
        <v>3</v>
      </c>
      <c r="B14" s="295" t="s">
        <v>590</v>
      </c>
      <c r="C14" s="296">
        <v>0</v>
      </c>
      <c r="D14" s="296">
        <v>6541</v>
      </c>
      <c r="E14" s="296">
        <f>+D14-C14</f>
        <v>6541</v>
      </c>
      <c r="F14" s="316">
        <f>IF(C14=0,0,+E14/C14)</f>
        <v>0</v>
      </c>
    </row>
    <row r="15" spans="1:16" ht="15.75" customHeight="1" x14ac:dyDescent="0.25">
      <c r="A15" s="294"/>
      <c r="B15" s="135" t="s">
        <v>591</v>
      </c>
      <c r="C15" s="300">
        <f>SUM(C11:C14)</f>
        <v>13903</v>
      </c>
      <c r="D15" s="300">
        <f>SUM(D11:D14)</f>
        <v>20955</v>
      </c>
      <c r="E15" s="300">
        <f>+D15-C15</f>
        <v>7052</v>
      </c>
      <c r="F15" s="309">
        <f>IF(C15=0,0,+E15/C15)</f>
        <v>0.5072286556858232</v>
      </c>
    </row>
    <row r="16" spans="1:16" ht="15.75" customHeight="1" x14ac:dyDescent="0.25">
      <c r="A16" s="293"/>
      <c r="B16" s="135"/>
      <c r="C16" s="300"/>
      <c r="D16" s="300"/>
      <c r="E16" s="300"/>
      <c r="F16" s="309"/>
    </row>
    <row r="17" spans="1:6" ht="15.75" customHeight="1" x14ac:dyDescent="0.25">
      <c r="A17" s="293" t="s">
        <v>124</v>
      </c>
      <c r="B17" s="291" t="s">
        <v>563</v>
      </c>
      <c r="C17" s="296"/>
      <c r="D17" s="296"/>
      <c r="E17" s="296"/>
      <c r="F17" s="316"/>
    </row>
    <row r="18" spans="1:6" ht="15.75" customHeight="1" x14ac:dyDescent="0.2">
      <c r="A18" s="294">
        <v>1</v>
      </c>
      <c r="B18" s="295" t="s">
        <v>588</v>
      </c>
      <c r="C18" s="296">
        <v>9958</v>
      </c>
      <c r="D18" s="296">
        <v>9883</v>
      </c>
      <c r="E18" s="296">
        <f>+D18-C18</f>
        <v>-75</v>
      </c>
      <c r="F18" s="316">
        <f>IF(C18=0,0,+E18/C18)</f>
        <v>-7.5316328580036151E-3</v>
      </c>
    </row>
    <row r="19" spans="1:6" ht="15.75" customHeight="1" x14ac:dyDescent="0.2">
      <c r="A19" s="294">
        <v>2</v>
      </c>
      <c r="B19" s="295" t="s">
        <v>589</v>
      </c>
      <c r="C19" s="296">
        <v>1294</v>
      </c>
      <c r="D19" s="296">
        <v>1216</v>
      </c>
      <c r="E19" s="296">
        <f>+D19-C19</f>
        <v>-78</v>
      </c>
      <c r="F19" s="316">
        <f>IF(C19=0,0,+E19/C19)</f>
        <v>-6.0278207109737247E-2</v>
      </c>
    </row>
    <row r="20" spans="1:6" ht="15.75" customHeight="1" x14ac:dyDescent="0.25">
      <c r="A20" s="294"/>
      <c r="B20" s="135" t="s">
        <v>592</v>
      </c>
      <c r="C20" s="300">
        <f>SUM(C17:C19)</f>
        <v>11252</v>
      </c>
      <c r="D20" s="300">
        <f>SUM(D17:D19)</f>
        <v>11099</v>
      </c>
      <c r="E20" s="300">
        <f>+D20-C20</f>
        <v>-153</v>
      </c>
      <c r="F20" s="309">
        <f>IF(C20=0,0,+E20/C20)</f>
        <v>-1.3597582651972983E-2</v>
      </c>
    </row>
    <row r="21" spans="1:6" ht="15.75" customHeight="1" x14ac:dyDescent="0.25">
      <c r="A21" s="293"/>
      <c r="B21" s="135"/>
      <c r="C21" s="300"/>
      <c r="D21" s="300"/>
      <c r="E21" s="300"/>
      <c r="F21" s="309"/>
    </row>
    <row r="22" spans="1:6" ht="15.75" customHeight="1" x14ac:dyDescent="0.25">
      <c r="A22" s="293" t="s">
        <v>141</v>
      </c>
      <c r="B22" s="291" t="s">
        <v>593</v>
      </c>
      <c r="C22" s="296"/>
      <c r="D22" s="296"/>
      <c r="E22" s="296"/>
      <c r="F22" s="316"/>
    </row>
    <row r="23" spans="1:6" ht="15.75" customHeight="1" x14ac:dyDescent="0.2">
      <c r="A23" s="294">
        <v>1</v>
      </c>
      <c r="B23" s="295" t="s">
        <v>588</v>
      </c>
      <c r="C23" s="296">
        <v>78670</v>
      </c>
      <c r="D23" s="296">
        <v>78553</v>
      </c>
      <c r="E23" s="296">
        <f>+D23-C23</f>
        <v>-117</v>
      </c>
      <c r="F23" s="316">
        <f>IF(C23=0,0,+E23/C23)</f>
        <v>-1.4872251175797636E-3</v>
      </c>
    </row>
    <row r="24" spans="1:6" ht="15.75" customHeight="1" x14ac:dyDescent="0.25">
      <c r="A24" s="294"/>
      <c r="B24" s="135" t="s">
        <v>594</v>
      </c>
      <c r="C24" s="300">
        <f>SUM(C22:C23)</f>
        <v>78670</v>
      </c>
      <c r="D24" s="300">
        <f>SUM(D22:D23)</f>
        <v>78553</v>
      </c>
      <c r="E24" s="300">
        <f>+D24-C24</f>
        <v>-117</v>
      </c>
      <c r="F24" s="309">
        <f>IF(C24=0,0,+E24/C24)</f>
        <v>-1.4872251175797636E-3</v>
      </c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595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596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  <row r="30" spans="1:6" ht="15.75" customHeight="1" x14ac:dyDescent="0.25">
      <c r="B30" s="699" t="s">
        <v>597</v>
      </c>
      <c r="C30" s="700"/>
      <c r="D30" s="700"/>
      <c r="E30" s="700"/>
      <c r="F30" s="701"/>
    </row>
    <row r="31" spans="1:6" ht="15.75" customHeight="1" x14ac:dyDescent="0.25">
      <c r="A31" s="293"/>
      <c r="B31" s="135"/>
      <c r="C31" s="300"/>
      <c r="D31" s="300"/>
      <c r="E31" s="300"/>
      <c r="F31" s="309"/>
    </row>
  </sheetData>
  <mergeCells count="7">
    <mergeCell ref="B30:F30"/>
    <mergeCell ref="A1:F1"/>
    <mergeCell ref="A2:F2"/>
    <mergeCell ref="A3:F3"/>
    <mergeCell ref="A4:F4"/>
    <mergeCell ref="B26:F26"/>
    <mergeCell ref="B28:F28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FILING&amp;RHARTFORD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598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599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600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601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602</v>
      </c>
      <c r="D7" s="341" t="s">
        <v>602</v>
      </c>
      <c r="E7" s="341" t="s">
        <v>603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604</v>
      </c>
      <c r="D8" s="344" t="s">
        <v>605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606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607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608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609</v>
      </c>
      <c r="C15" s="361">
        <v>655024798</v>
      </c>
      <c r="D15" s="361">
        <v>672572624</v>
      </c>
      <c r="E15" s="361">
        <f t="shared" ref="E15:E24" si="0">D15-C15</f>
        <v>17547826</v>
      </c>
      <c r="F15" s="362">
        <f t="shared" ref="F15:F24" si="1">IF(C15=0,0,E15/C15)</f>
        <v>2.6789559805337326E-2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610</v>
      </c>
      <c r="C16" s="361">
        <v>260942379</v>
      </c>
      <c r="D16" s="361">
        <v>268673534</v>
      </c>
      <c r="E16" s="361">
        <f t="shared" si="0"/>
        <v>7731155</v>
      </c>
      <c r="F16" s="362">
        <f t="shared" si="1"/>
        <v>2.9627824463116435E-2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611</v>
      </c>
      <c r="C17" s="366">
        <f>IF(C15=0,0,C16/C15)</f>
        <v>0.39837022933595867</v>
      </c>
      <c r="D17" s="366">
        <f>IF(LN_IA1=0,0,LN_IA2/LN_IA1)</f>
        <v>0.39947140935073205</v>
      </c>
      <c r="E17" s="367">
        <f t="shared" si="0"/>
        <v>1.1011800147733841E-3</v>
      </c>
      <c r="F17" s="362">
        <f t="shared" si="1"/>
        <v>2.7642126185205545E-3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15819</v>
      </c>
      <c r="D18" s="369">
        <v>15795</v>
      </c>
      <c r="E18" s="369">
        <f t="shared" si="0"/>
        <v>-24</v>
      </c>
      <c r="F18" s="362">
        <f t="shared" si="1"/>
        <v>-1.5171629053669638E-3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612</v>
      </c>
      <c r="C19" s="372">
        <v>1.8172999999999999</v>
      </c>
      <c r="D19" s="372">
        <v>1.8613</v>
      </c>
      <c r="E19" s="373">
        <f t="shared" si="0"/>
        <v>4.4000000000000039E-2</v>
      </c>
      <c r="F19" s="362">
        <f t="shared" si="1"/>
        <v>2.4211742695207199E-2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613</v>
      </c>
      <c r="C20" s="376">
        <f>C18*C19</f>
        <v>28747.868699999999</v>
      </c>
      <c r="D20" s="376">
        <f>LN_IA4*LN_IA5</f>
        <v>29399.233499999998</v>
      </c>
      <c r="E20" s="376">
        <f t="shared" si="0"/>
        <v>651.36479999999938</v>
      </c>
      <c r="F20" s="362">
        <f t="shared" si="1"/>
        <v>2.2657846631948732E-2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614</v>
      </c>
      <c r="C21" s="378">
        <f>IF(C20=0,0,C16/C20)</f>
        <v>9076.929553389813</v>
      </c>
      <c r="D21" s="378">
        <f>IF(LN_IA6=0,0,LN_IA2/LN_IA6)</f>
        <v>9138.7938396421123</v>
      </c>
      <c r="E21" s="378">
        <f t="shared" si="0"/>
        <v>61.86428625229928</v>
      </c>
      <c r="F21" s="362">
        <f t="shared" si="1"/>
        <v>6.8155520970409906E-3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101294</v>
      </c>
      <c r="D22" s="369">
        <v>103335</v>
      </c>
      <c r="E22" s="369">
        <f t="shared" si="0"/>
        <v>2041</v>
      </c>
      <c r="F22" s="362">
        <f t="shared" si="1"/>
        <v>2.0149268466049322E-2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615</v>
      </c>
      <c r="C23" s="378">
        <f>IF(C22=0,0,C16/C22)</f>
        <v>2576.0891958062671</v>
      </c>
      <c r="D23" s="378">
        <f>IF(LN_IA8=0,0,LN_IA2/LN_IA8)</f>
        <v>2600.024522185126</v>
      </c>
      <c r="E23" s="378">
        <f t="shared" si="0"/>
        <v>23.935326378858917</v>
      </c>
      <c r="F23" s="362">
        <f t="shared" si="1"/>
        <v>9.2913422477080079E-3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616</v>
      </c>
      <c r="C24" s="379">
        <f>IF(C18=0,0,C22/C18)</f>
        <v>6.4033124723433845</v>
      </c>
      <c r="D24" s="379">
        <f>IF(LN_IA4=0,0,LN_IA8/LN_IA4)</f>
        <v>6.5422602089268755</v>
      </c>
      <c r="E24" s="379">
        <f t="shared" si="0"/>
        <v>0.13894773658349102</v>
      </c>
      <c r="F24" s="362">
        <f t="shared" si="1"/>
        <v>2.1699352824592223E-2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617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618</v>
      </c>
      <c r="C27" s="361">
        <v>186830085</v>
      </c>
      <c r="D27" s="361">
        <v>226612897</v>
      </c>
      <c r="E27" s="361">
        <f t="shared" ref="E27:E32" si="2">D27-C27</f>
        <v>39782812</v>
      </c>
      <c r="F27" s="362">
        <f t="shared" ref="F27:F32" si="3">IF(C27=0,0,E27/C27)</f>
        <v>0.21293579136358043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619</v>
      </c>
      <c r="C28" s="361">
        <v>61060113</v>
      </c>
      <c r="D28" s="361">
        <v>70761851</v>
      </c>
      <c r="E28" s="361">
        <f t="shared" si="2"/>
        <v>9701738</v>
      </c>
      <c r="F28" s="362">
        <f t="shared" si="3"/>
        <v>0.15888830733084297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620</v>
      </c>
      <c r="C29" s="366">
        <f>IF(C27=0,0,C28/C27)</f>
        <v>0.32682163046706314</v>
      </c>
      <c r="D29" s="366">
        <f>IF(LN_IA11=0,0,LN_IA12/LN_IA11)</f>
        <v>0.31225871050048842</v>
      </c>
      <c r="E29" s="367">
        <f t="shared" si="2"/>
        <v>-1.4562919966574717E-2</v>
      </c>
      <c r="F29" s="362">
        <f t="shared" si="3"/>
        <v>-4.4559229282843803E-2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621</v>
      </c>
      <c r="C30" s="366">
        <f>IF(C15=0,0,C27/C15)</f>
        <v>0.28522597246768666</v>
      </c>
      <c r="D30" s="366">
        <f>IF(LN_IA1=0,0,LN_IA11/LN_IA1)</f>
        <v>0.33693446464154631</v>
      </c>
      <c r="E30" s="367">
        <f t="shared" si="2"/>
        <v>5.1708492173859644E-2</v>
      </c>
      <c r="F30" s="362">
        <f t="shared" si="3"/>
        <v>0.18128956394291096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622</v>
      </c>
      <c r="C31" s="376">
        <f>C30*C18</f>
        <v>4511.9896584663356</v>
      </c>
      <c r="D31" s="376">
        <f>LN_IA14*LN_IA4</f>
        <v>5321.8798690132235</v>
      </c>
      <c r="E31" s="376">
        <f t="shared" si="2"/>
        <v>809.89021054688783</v>
      </c>
      <c r="F31" s="362">
        <f t="shared" si="3"/>
        <v>0.1794973552359995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623</v>
      </c>
      <c r="C32" s="378">
        <f>IF(C31=0,0,C28/C31)</f>
        <v>13532.857480164274</v>
      </c>
      <c r="D32" s="378">
        <f>IF(LN_IA15=0,0,LN_IA12/LN_IA15)</f>
        <v>13296.401411090208</v>
      </c>
      <c r="E32" s="378">
        <f t="shared" si="2"/>
        <v>-236.45606907406545</v>
      </c>
      <c r="F32" s="362">
        <f t="shared" si="3"/>
        <v>-1.7472737699384618E-2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624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625</v>
      </c>
      <c r="C35" s="361">
        <f>C15+C27</f>
        <v>841854883</v>
      </c>
      <c r="D35" s="361">
        <f>LN_IA1+LN_IA11</f>
        <v>899185521</v>
      </c>
      <c r="E35" s="361">
        <f>D35-C35</f>
        <v>57330638</v>
      </c>
      <c r="F35" s="362">
        <f>IF(C35=0,0,E35/C35)</f>
        <v>6.8100380668576585E-2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626</v>
      </c>
      <c r="C36" s="361">
        <f>C16+C28</f>
        <v>322002492</v>
      </c>
      <c r="D36" s="361">
        <f>LN_IA2+LN_IA12</f>
        <v>339435385</v>
      </c>
      <c r="E36" s="361">
        <f>D36-C36</f>
        <v>17432893</v>
      </c>
      <c r="F36" s="362">
        <f>IF(C36=0,0,E36/C36)</f>
        <v>5.4139000265873718E-2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627</v>
      </c>
      <c r="C37" s="361">
        <f>C35-C36</f>
        <v>519852391</v>
      </c>
      <c r="D37" s="361">
        <f>LN_IA17-LN_IA18</f>
        <v>559750136</v>
      </c>
      <c r="E37" s="361">
        <f>D37-C37</f>
        <v>39897745</v>
      </c>
      <c r="F37" s="362">
        <f>IF(C37=0,0,E37/C37)</f>
        <v>7.6748218707336863E-2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628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629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609</v>
      </c>
      <c r="C42" s="361">
        <v>439060292</v>
      </c>
      <c r="D42" s="361">
        <v>448848221</v>
      </c>
      <c r="E42" s="361">
        <f t="shared" ref="E42:E53" si="4">D42-C42</f>
        <v>9787929</v>
      </c>
      <c r="F42" s="362">
        <f t="shared" ref="F42:F53" si="5">IF(C42=0,0,E42/C42)</f>
        <v>2.2292904137183964E-2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610</v>
      </c>
      <c r="C43" s="361">
        <v>218469522</v>
      </c>
      <c r="D43" s="361">
        <v>245692489</v>
      </c>
      <c r="E43" s="361">
        <f t="shared" si="4"/>
        <v>27222967</v>
      </c>
      <c r="F43" s="362">
        <f t="shared" si="5"/>
        <v>0.12460761918085764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611</v>
      </c>
      <c r="C44" s="366">
        <f>IF(C42=0,0,C43/C42)</f>
        <v>0.49758433176644451</v>
      </c>
      <c r="D44" s="366">
        <f>IF(LN_IB1=0,0,LN_IB2/LN_IB1)</f>
        <v>0.54738434398295188</v>
      </c>
      <c r="E44" s="367">
        <f t="shared" si="4"/>
        <v>4.9800012216507372E-2</v>
      </c>
      <c r="F44" s="362">
        <f t="shared" si="5"/>
        <v>0.10008356179487267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16050</v>
      </c>
      <c r="D45" s="369">
        <v>15149</v>
      </c>
      <c r="E45" s="369">
        <f t="shared" si="4"/>
        <v>-901</v>
      </c>
      <c r="F45" s="362">
        <f t="shared" si="5"/>
        <v>-5.6137071651090345E-2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612</v>
      </c>
      <c r="C46" s="372">
        <v>1.3722000000000001</v>
      </c>
      <c r="D46" s="372">
        <v>1.4201999999999999</v>
      </c>
      <c r="E46" s="373">
        <f t="shared" si="4"/>
        <v>4.7999999999999821E-2</v>
      </c>
      <c r="F46" s="362">
        <f t="shared" si="5"/>
        <v>3.4980323567992869E-2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613</v>
      </c>
      <c r="C47" s="376">
        <f>C45*C46</f>
        <v>22023.81</v>
      </c>
      <c r="D47" s="376">
        <f>LN_IB4*LN_IB5</f>
        <v>21514.609799999998</v>
      </c>
      <c r="E47" s="376">
        <f t="shared" si="4"/>
        <v>-509.20020000000295</v>
      </c>
      <c r="F47" s="362">
        <f t="shared" si="5"/>
        <v>-2.3120441013612218E-2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614</v>
      </c>
      <c r="C48" s="378">
        <f>IF(C47=0,0,C43/C47)</f>
        <v>9919.6970006552001</v>
      </c>
      <c r="D48" s="378">
        <f>IF(LN_IB6=0,0,LN_IB2/LN_IB6)</f>
        <v>11419.797583314759</v>
      </c>
      <c r="E48" s="378">
        <f t="shared" si="4"/>
        <v>1500.1005826595592</v>
      </c>
      <c r="F48" s="362">
        <f t="shared" si="5"/>
        <v>0.15122443584319933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630</v>
      </c>
      <c r="C49" s="378">
        <f>C21-C48</f>
        <v>-842.76744726538709</v>
      </c>
      <c r="D49" s="378">
        <f>LN_IA7-LN_IB7</f>
        <v>-2281.003743672647</v>
      </c>
      <c r="E49" s="378">
        <f t="shared" si="4"/>
        <v>-1438.2362964072599</v>
      </c>
      <c r="F49" s="362">
        <f t="shared" si="5"/>
        <v>1.7065636565271367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631</v>
      </c>
      <c r="C50" s="391">
        <f>C49*C47</f>
        <v>-18560950.132757906</v>
      </c>
      <c r="D50" s="391">
        <f>LN_IB8*LN_IB6</f>
        <v>-49074905.497456215</v>
      </c>
      <c r="E50" s="391">
        <f t="shared" si="4"/>
        <v>-30513955.364698309</v>
      </c>
      <c r="F50" s="362">
        <f t="shared" si="5"/>
        <v>1.6439867111568145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68370</v>
      </c>
      <c r="D51" s="369">
        <v>67703</v>
      </c>
      <c r="E51" s="369">
        <f t="shared" si="4"/>
        <v>-667</v>
      </c>
      <c r="F51" s="362">
        <f t="shared" si="5"/>
        <v>-9.7557408219979529E-3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615</v>
      </c>
      <c r="C52" s="378">
        <f>IF(C51=0,0,C43/C51)</f>
        <v>3195.4003510311541</v>
      </c>
      <c r="D52" s="378">
        <f>IF(LN_IB10=0,0,LN_IB2/LN_IB10)</f>
        <v>3628.9749198706113</v>
      </c>
      <c r="E52" s="378">
        <f t="shared" si="4"/>
        <v>433.57456883945724</v>
      </c>
      <c r="F52" s="362">
        <f t="shared" si="5"/>
        <v>0.13568708806692811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616</v>
      </c>
      <c r="C53" s="379">
        <f>IF(C45=0,0,C51/C45)</f>
        <v>4.2598130841121495</v>
      </c>
      <c r="D53" s="379">
        <f>IF(LN_IB4=0,0,LN_IB10/LN_IB4)</f>
        <v>4.469139877219618</v>
      </c>
      <c r="E53" s="379">
        <f t="shared" si="4"/>
        <v>0.20932679310746849</v>
      </c>
      <c r="F53" s="362">
        <f t="shared" si="5"/>
        <v>4.913990097081862E-2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632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618</v>
      </c>
      <c r="C56" s="361">
        <v>280639170</v>
      </c>
      <c r="D56" s="361">
        <v>310979549</v>
      </c>
      <c r="E56" s="361">
        <f t="shared" ref="E56:E63" si="6">D56-C56</f>
        <v>30340379</v>
      </c>
      <c r="F56" s="362">
        <f t="shared" ref="F56:F63" si="7">IF(C56=0,0,E56/C56)</f>
        <v>0.10811170443527181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619</v>
      </c>
      <c r="C57" s="361">
        <v>132592080</v>
      </c>
      <c r="D57" s="361">
        <v>160122680</v>
      </c>
      <c r="E57" s="361">
        <f t="shared" si="6"/>
        <v>27530600</v>
      </c>
      <c r="F57" s="362">
        <f t="shared" si="7"/>
        <v>0.20763381945588302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620</v>
      </c>
      <c r="C58" s="366">
        <f>IF(C56=0,0,C57/C56)</f>
        <v>0.47246462423616775</v>
      </c>
      <c r="D58" s="366">
        <f>IF(LN_IB13=0,0,LN_IB14/LN_IB13)</f>
        <v>0.51489778191169733</v>
      </c>
      <c r="E58" s="367">
        <f t="shared" si="6"/>
        <v>4.2433157675529576E-2</v>
      </c>
      <c r="F58" s="362">
        <f t="shared" si="7"/>
        <v>8.9812348901531294E-2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621</v>
      </c>
      <c r="C59" s="366">
        <f>IF(C42=0,0,C56/C42)</f>
        <v>0.63918139516018913</v>
      </c>
      <c r="D59" s="366">
        <f>IF(LN_IB1=0,0,LN_IB13/LN_IB1)</f>
        <v>0.69283899200304511</v>
      </c>
      <c r="E59" s="367">
        <f t="shared" si="6"/>
        <v>5.3657596842855981E-2</v>
      </c>
      <c r="F59" s="362">
        <f t="shared" si="7"/>
        <v>8.394736963426247E-2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622</v>
      </c>
      <c r="C60" s="376">
        <f>C59*C45</f>
        <v>10258.861392321036</v>
      </c>
      <c r="D60" s="376">
        <f>LN_IB16*LN_IB4</f>
        <v>10495.81788985413</v>
      </c>
      <c r="E60" s="376">
        <f t="shared" si="6"/>
        <v>236.95649753309408</v>
      </c>
      <c r="F60" s="362">
        <f t="shared" si="7"/>
        <v>2.3097738479092893E-2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623</v>
      </c>
      <c r="C61" s="378">
        <f>IF(C60=0,0,C57/C60)</f>
        <v>12924.63899543938</v>
      </c>
      <c r="D61" s="378">
        <f>IF(LN_IB17=0,0,LN_IB14/LN_IB17)</f>
        <v>15255.855396918036</v>
      </c>
      <c r="E61" s="378">
        <f t="shared" si="6"/>
        <v>2331.2164014786558</v>
      </c>
      <c r="F61" s="362">
        <f t="shared" si="7"/>
        <v>0.18036994319928429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633</v>
      </c>
      <c r="C62" s="378">
        <f>C32-C61</f>
        <v>608.21848472489364</v>
      </c>
      <c r="D62" s="378">
        <f>LN_IA16-LN_IB18</f>
        <v>-1959.4539858278276</v>
      </c>
      <c r="E62" s="378">
        <f t="shared" si="6"/>
        <v>-2567.6724705527213</v>
      </c>
      <c r="F62" s="362">
        <f t="shared" si="7"/>
        <v>-4.2216284691086265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634</v>
      </c>
      <c r="C63" s="361">
        <f>C62*C60</f>
        <v>6239629.1310402127</v>
      </c>
      <c r="D63" s="361">
        <f>LN_IB19*LN_IB17</f>
        <v>-20566072.198797695</v>
      </c>
      <c r="E63" s="361">
        <f t="shared" si="6"/>
        <v>-26805701.329837907</v>
      </c>
      <c r="F63" s="362">
        <f t="shared" si="7"/>
        <v>-4.2960408009648985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635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625</v>
      </c>
      <c r="C66" s="361">
        <f>C42+C56</f>
        <v>719699462</v>
      </c>
      <c r="D66" s="361">
        <f>LN_IB1+LN_IB13</f>
        <v>759827770</v>
      </c>
      <c r="E66" s="361">
        <f>D66-C66</f>
        <v>40128308</v>
      </c>
      <c r="F66" s="362">
        <f>IF(C66=0,0,E66/C66)</f>
        <v>5.5757034871869893E-2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626</v>
      </c>
      <c r="C67" s="361">
        <f>C43+C57</f>
        <v>351061602</v>
      </c>
      <c r="D67" s="361">
        <f>LN_IB2+LN_IB14</f>
        <v>405815169</v>
      </c>
      <c r="E67" s="361">
        <f>D67-C67</f>
        <v>54753567</v>
      </c>
      <c r="F67" s="362">
        <f>IF(C67=0,0,E67/C67)</f>
        <v>0.1559656957299477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627</v>
      </c>
      <c r="C68" s="361">
        <f>C66-C67</f>
        <v>368637860</v>
      </c>
      <c r="D68" s="361">
        <f>LN_IB21-LN_IB22</f>
        <v>354012601</v>
      </c>
      <c r="E68" s="361">
        <f>D68-C68</f>
        <v>-14625259</v>
      </c>
      <c r="F68" s="362">
        <f>IF(C68=0,0,E68/C68)</f>
        <v>-3.9673784456105511E-2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636</v>
      </c>
      <c r="C70" s="353">
        <f>C50+C63</f>
        <v>-12321321.001717694</v>
      </c>
      <c r="D70" s="353">
        <f>LN_IB9+LN_IB20</f>
        <v>-69640977.696253911</v>
      </c>
      <c r="E70" s="361">
        <f>D70-C70</f>
        <v>-57319656.694536217</v>
      </c>
      <c r="F70" s="362">
        <f>IF(C70=0,0,E70/C70)</f>
        <v>4.6520707224935851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637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638</v>
      </c>
      <c r="C73" s="400">
        <v>651518348</v>
      </c>
      <c r="D73" s="400">
        <v>702077657</v>
      </c>
      <c r="E73" s="400">
        <f>D73-C73</f>
        <v>50559309</v>
      </c>
      <c r="F73" s="401">
        <f>IF(C73=0,0,E73/C73)</f>
        <v>7.7602279590750681E-2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639</v>
      </c>
      <c r="C74" s="400">
        <v>348212407</v>
      </c>
      <c r="D74" s="400">
        <v>379231248</v>
      </c>
      <c r="E74" s="400">
        <f>D74-C74</f>
        <v>31018841</v>
      </c>
      <c r="F74" s="401">
        <f>IF(C74=0,0,E74/C74)</f>
        <v>8.908022912578184E-2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640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641</v>
      </c>
      <c r="C76" s="353">
        <f>C73-C74</f>
        <v>303305941</v>
      </c>
      <c r="D76" s="353">
        <f>LN_IB32-LN_IB33</f>
        <v>322846409</v>
      </c>
      <c r="E76" s="400">
        <f>D76-C76</f>
        <v>19540468</v>
      </c>
      <c r="F76" s="401">
        <f>IF(C76=0,0,E76/C76)</f>
        <v>6.4424943130276496E-2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642</v>
      </c>
      <c r="C77" s="366">
        <f>IF(C73=0,0,C76/C73)</f>
        <v>0.46553706726920913</v>
      </c>
      <c r="D77" s="366">
        <f>IF(LN_IB1=0,0,LN_IB34/LN_IB32)</f>
        <v>0.45984430038627477</v>
      </c>
      <c r="E77" s="405">
        <f>D77-C77</f>
        <v>-5.6927668829343525E-3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643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644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609</v>
      </c>
      <c r="C83" s="361">
        <v>19801383</v>
      </c>
      <c r="D83" s="361">
        <v>13165053</v>
      </c>
      <c r="E83" s="361">
        <f t="shared" ref="E83:E95" si="8">D83-C83</f>
        <v>-6636330</v>
      </c>
      <c r="F83" s="362">
        <f t="shared" ref="F83:F95" si="9">IF(C83=0,0,E83/C83)</f>
        <v>-0.33514477246362034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610</v>
      </c>
      <c r="C84" s="361">
        <v>1057043</v>
      </c>
      <c r="D84" s="361">
        <v>3336937</v>
      </c>
      <c r="E84" s="361">
        <f t="shared" si="8"/>
        <v>2279894</v>
      </c>
      <c r="F84" s="362">
        <f t="shared" si="9"/>
        <v>2.156860222337218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611</v>
      </c>
      <c r="C85" s="366">
        <f>IF(C83=0,0,C84/C83)</f>
        <v>5.3382281429534495E-2</v>
      </c>
      <c r="D85" s="366">
        <f>IF(LN_IC1=0,0,LN_IC2/LN_IC1)</f>
        <v>0.25346931759408792</v>
      </c>
      <c r="E85" s="367">
        <f t="shared" si="8"/>
        <v>0.20008703616455342</v>
      </c>
      <c r="F85" s="362">
        <f t="shared" si="9"/>
        <v>3.7481919244810031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690</v>
      </c>
      <c r="D86" s="369">
        <v>359</v>
      </c>
      <c r="E86" s="369">
        <f t="shared" si="8"/>
        <v>-331</v>
      </c>
      <c r="F86" s="362">
        <f t="shared" si="9"/>
        <v>-0.47971014492753622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612</v>
      </c>
      <c r="C87" s="372">
        <v>1.3522000000000001</v>
      </c>
      <c r="D87" s="372">
        <v>1.3913</v>
      </c>
      <c r="E87" s="373">
        <f t="shared" si="8"/>
        <v>3.9099999999999913E-2</v>
      </c>
      <c r="F87" s="362">
        <f t="shared" si="9"/>
        <v>2.8915840851944912E-2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613</v>
      </c>
      <c r="C88" s="376">
        <f>C86*C87</f>
        <v>933.01800000000003</v>
      </c>
      <c r="D88" s="376">
        <f>LN_IC4*LN_IC5</f>
        <v>499.47669999999999</v>
      </c>
      <c r="E88" s="376">
        <f t="shared" si="8"/>
        <v>-433.54130000000004</v>
      </c>
      <c r="F88" s="362">
        <f t="shared" si="9"/>
        <v>-0.46466552628137936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614</v>
      </c>
      <c r="C89" s="378">
        <f>IF(C88=0,0,C84/C88)</f>
        <v>1132.9288395293552</v>
      </c>
      <c r="D89" s="378">
        <f>IF(LN_IC6=0,0,LN_IC2/LN_IC6)</f>
        <v>6680.8661945592257</v>
      </c>
      <c r="E89" s="378">
        <f t="shared" si="8"/>
        <v>5547.9373550298706</v>
      </c>
      <c r="F89" s="362">
        <f t="shared" si="9"/>
        <v>4.8969866080332212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645</v>
      </c>
      <c r="C90" s="378">
        <f>C48-C89</f>
        <v>8786.7681611258449</v>
      </c>
      <c r="D90" s="378">
        <f>LN_IB7-LN_IC7</f>
        <v>4738.9313887555336</v>
      </c>
      <c r="E90" s="378">
        <f t="shared" si="8"/>
        <v>-4047.8367723703113</v>
      </c>
      <c r="F90" s="362">
        <f t="shared" si="9"/>
        <v>-0.46067412934355417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646</v>
      </c>
      <c r="C91" s="378">
        <f>C21-C89</f>
        <v>7944.0007138604578</v>
      </c>
      <c r="D91" s="378">
        <f>LN_IA7-LN_IC7</f>
        <v>2457.9276450828866</v>
      </c>
      <c r="E91" s="378">
        <f t="shared" si="8"/>
        <v>-5486.0730687775713</v>
      </c>
      <c r="F91" s="362">
        <f t="shared" si="9"/>
        <v>-0.69059322454561634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631</v>
      </c>
      <c r="C92" s="353">
        <f>C91*C88</f>
        <v>7411895.6580446567</v>
      </c>
      <c r="D92" s="353">
        <f>LN_IC9*LN_IC6</f>
        <v>1227677.5890047713</v>
      </c>
      <c r="E92" s="353">
        <f t="shared" si="8"/>
        <v>-6184218.069039885</v>
      </c>
      <c r="F92" s="362">
        <f t="shared" si="9"/>
        <v>-0.834363886697152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2939</v>
      </c>
      <c r="D93" s="369">
        <v>1992</v>
      </c>
      <c r="E93" s="369">
        <f t="shared" si="8"/>
        <v>-947</v>
      </c>
      <c r="F93" s="362">
        <f t="shared" si="9"/>
        <v>-0.32221844164681862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615</v>
      </c>
      <c r="C94" s="411">
        <f>IF(C93=0,0,C84/C93)</f>
        <v>359.66076896903706</v>
      </c>
      <c r="D94" s="411">
        <f>IF(LN_IC11=0,0,LN_IC2/LN_IC11)</f>
        <v>1675.1691767068273</v>
      </c>
      <c r="E94" s="411">
        <f t="shared" si="8"/>
        <v>1315.5084077377903</v>
      </c>
      <c r="F94" s="362">
        <f t="shared" si="9"/>
        <v>3.6576366432977334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616</v>
      </c>
      <c r="C95" s="379">
        <f>IF(C86=0,0,C93/C86)</f>
        <v>4.2594202898550728</v>
      </c>
      <c r="D95" s="379">
        <f>IF(LN_IC4=0,0,LN_IC11/LN_IC4)</f>
        <v>5.5487465181058493</v>
      </c>
      <c r="E95" s="379">
        <f t="shared" si="8"/>
        <v>1.2893262282507765</v>
      </c>
      <c r="F95" s="362">
        <f t="shared" si="9"/>
        <v>0.30269993109664367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647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618</v>
      </c>
      <c r="C98" s="361">
        <v>27329396</v>
      </c>
      <c r="D98" s="361">
        <v>25660622</v>
      </c>
      <c r="E98" s="361">
        <f t="shared" ref="E98:E106" si="10">D98-C98</f>
        <v>-1668774</v>
      </c>
      <c r="F98" s="362">
        <f t="shared" ref="F98:F106" si="11">IF(C98=0,0,E98/C98)</f>
        <v>-6.1061503152136987E-2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619</v>
      </c>
      <c r="C99" s="361">
        <v>1458906</v>
      </c>
      <c r="D99" s="361">
        <v>6504178</v>
      </c>
      <c r="E99" s="361">
        <f t="shared" si="10"/>
        <v>5045272</v>
      </c>
      <c r="F99" s="362">
        <f t="shared" si="11"/>
        <v>3.4582570775635992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620</v>
      </c>
      <c r="C100" s="366">
        <f>IF(C98=0,0,C99/C98)</f>
        <v>5.3382299411227387E-2</v>
      </c>
      <c r="D100" s="366">
        <f>IF(LN_IC14=0,0,LN_IC15/LN_IC14)</f>
        <v>0.25346922611618689</v>
      </c>
      <c r="E100" s="367">
        <f t="shared" si="10"/>
        <v>0.20008692670495951</v>
      </c>
      <c r="F100" s="362">
        <f t="shared" si="11"/>
        <v>3.7481886114272016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621</v>
      </c>
      <c r="C101" s="366">
        <f>IF(C83=0,0,C98/C83)</f>
        <v>1.3801761220415767</v>
      </c>
      <c r="D101" s="366">
        <f>IF(LN_IC1=0,0,LN_IC14/LN_IC1)</f>
        <v>1.9491468815203403</v>
      </c>
      <c r="E101" s="367">
        <f t="shared" si="10"/>
        <v>0.56897075947876363</v>
      </c>
      <c r="F101" s="362">
        <f t="shared" si="11"/>
        <v>0.41224503916002675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622</v>
      </c>
      <c r="C102" s="376">
        <f>C101*C86</f>
        <v>952.32152420868795</v>
      </c>
      <c r="D102" s="376">
        <f>LN_IC17*LN_IC4</f>
        <v>699.74373046580217</v>
      </c>
      <c r="E102" s="376">
        <f t="shared" si="10"/>
        <v>-252.57779374288577</v>
      </c>
      <c r="F102" s="362">
        <f t="shared" si="11"/>
        <v>-0.26522323324862379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623</v>
      </c>
      <c r="C103" s="378">
        <f>IF(C102=0,0,C99/C102)</f>
        <v>1531.9468928440403</v>
      </c>
      <c r="D103" s="378">
        <f>IF(LN_IC18=0,0,LN_IC15/LN_IC18)</f>
        <v>9295.0857818623517</v>
      </c>
      <c r="E103" s="378">
        <f t="shared" si="10"/>
        <v>7763.1388890183116</v>
      </c>
      <c r="F103" s="362">
        <f t="shared" si="11"/>
        <v>5.0674987006932994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648</v>
      </c>
      <c r="C104" s="378">
        <f>C61-C103</f>
        <v>11392.69210259534</v>
      </c>
      <c r="D104" s="378">
        <f>LN_IB18-LN_IC19</f>
        <v>5960.769615055684</v>
      </c>
      <c r="E104" s="378">
        <f t="shared" si="10"/>
        <v>-5431.9224875396558</v>
      </c>
      <c r="F104" s="362">
        <f t="shared" si="11"/>
        <v>-0.47679007197098072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649</v>
      </c>
      <c r="C105" s="378">
        <f>C32-C103</f>
        <v>12000.910587320233</v>
      </c>
      <c r="D105" s="378">
        <f>LN_IA16-LN_IC19</f>
        <v>4001.3156292278563</v>
      </c>
      <c r="E105" s="378">
        <f t="shared" si="10"/>
        <v>-7999.5949580923771</v>
      </c>
      <c r="F105" s="362">
        <f t="shared" si="11"/>
        <v>-0.66658233138946021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634</v>
      </c>
      <c r="C106" s="361">
        <f>C105*C102</f>
        <v>11428725.462408986</v>
      </c>
      <c r="D106" s="361">
        <f>LN_IC21*LN_IC18</f>
        <v>2799895.5251670186</v>
      </c>
      <c r="E106" s="361">
        <f t="shared" si="10"/>
        <v>-8628829.9372419678</v>
      </c>
      <c r="F106" s="362">
        <f t="shared" si="11"/>
        <v>-0.75501244348056584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650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625</v>
      </c>
      <c r="C109" s="361">
        <f>C83+C98</f>
        <v>47130779</v>
      </c>
      <c r="D109" s="361">
        <f>LN_IC1+LN_IC14</f>
        <v>38825675</v>
      </c>
      <c r="E109" s="361">
        <f>D109-C109</f>
        <v>-8305104</v>
      </c>
      <c r="F109" s="362">
        <f>IF(C109=0,0,E109/C109)</f>
        <v>-0.17621401929299746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626</v>
      </c>
      <c r="C110" s="361">
        <f>C84+C99</f>
        <v>2515949</v>
      </c>
      <c r="D110" s="361">
        <f>LN_IC2+LN_IC15</f>
        <v>9841115</v>
      </c>
      <c r="E110" s="361">
        <f>D110-C110</f>
        <v>7325166</v>
      </c>
      <c r="F110" s="362">
        <f>IF(C110=0,0,E110/C110)</f>
        <v>2.9114922440796693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627</v>
      </c>
      <c r="C111" s="361">
        <f>C109-C110</f>
        <v>44614830</v>
      </c>
      <c r="D111" s="361">
        <f>LN_IC23-LN_IC24</f>
        <v>28984560</v>
      </c>
      <c r="E111" s="361">
        <f>D111-C111</f>
        <v>-15630270</v>
      </c>
      <c r="F111" s="362">
        <f>IF(C111=0,0,E111/C111)</f>
        <v>-0.35033799299470603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636</v>
      </c>
      <c r="C113" s="361">
        <f>C92+C106</f>
        <v>18840621.120453641</v>
      </c>
      <c r="D113" s="361">
        <f>LN_IC10+LN_IC22</f>
        <v>4027573.11417179</v>
      </c>
      <c r="E113" s="361">
        <f>D113-C113</f>
        <v>-14813048.006281851</v>
      </c>
      <c r="F113" s="362">
        <f>IF(C113=0,0,E113/C113)</f>
        <v>-0.78622928148587412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651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652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609</v>
      </c>
      <c r="C118" s="361">
        <v>197558048</v>
      </c>
      <c r="D118" s="361">
        <v>247961574</v>
      </c>
      <c r="E118" s="361">
        <f t="shared" ref="E118:E130" si="12">D118-C118</f>
        <v>50403526</v>
      </c>
      <c r="F118" s="362">
        <f t="shared" ref="F118:F130" si="13">IF(C118=0,0,E118/C118)</f>
        <v>0.25513273951765308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610</v>
      </c>
      <c r="C119" s="361">
        <v>66489002</v>
      </c>
      <c r="D119" s="361">
        <v>75495802</v>
      </c>
      <c r="E119" s="361">
        <f t="shared" si="12"/>
        <v>9006800</v>
      </c>
      <c r="F119" s="362">
        <f t="shared" si="13"/>
        <v>0.13546300484401916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611</v>
      </c>
      <c r="C120" s="366">
        <f>IF(C118=0,0,C119/C118)</f>
        <v>0.33655425670130129</v>
      </c>
      <c r="D120" s="366">
        <f>IF(LN_ID1=0,0,LN_1D2/LN_ID1)</f>
        <v>0.30446573145240641</v>
      </c>
      <c r="E120" s="367">
        <f t="shared" si="12"/>
        <v>-3.2088525248894884E-2</v>
      </c>
      <c r="F120" s="362">
        <f t="shared" si="13"/>
        <v>-9.5344285831969425E-2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7923</v>
      </c>
      <c r="D121" s="369">
        <v>9492</v>
      </c>
      <c r="E121" s="369">
        <f t="shared" si="12"/>
        <v>1569</v>
      </c>
      <c r="F121" s="362">
        <f t="shared" si="13"/>
        <v>0.19803104884513442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612</v>
      </c>
      <c r="C122" s="372">
        <v>1.1066</v>
      </c>
      <c r="D122" s="372">
        <v>1.206</v>
      </c>
      <c r="E122" s="373">
        <f t="shared" si="12"/>
        <v>9.9399999999999933E-2</v>
      </c>
      <c r="F122" s="362">
        <f t="shared" si="13"/>
        <v>8.9824688234230912E-2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613</v>
      </c>
      <c r="C123" s="376">
        <f>C121*C122</f>
        <v>8767.5918000000001</v>
      </c>
      <c r="D123" s="376">
        <f>LN_ID4*LN_ID5</f>
        <v>11447.351999999999</v>
      </c>
      <c r="E123" s="376">
        <f t="shared" si="12"/>
        <v>2679.7601999999988</v>
      </c>
      <c r="F123" s="362">
        <f t="shared" si="13"/>
        <v>0.3056438143025772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614</v>
      </c>
      <c r="C124" s="378">
        <f>IF(C123=0,0,C119/C123)</f>
        <v>7583.4965309402287</v>
      </c>
      <c r="D124" s="378">
        <f>IF(LN_ID6=0,0,LN_1D2/LN_ID6)</f>
        <v>6595.0450374898937</v>
      </c>
      <c r="E124" s="378">
        <f t="shared" si="12"/>
        <v>-988.45149345033497</v>
      </c>
      <c r="F124" s="362">
        <f t="shared" si="13"/>
        <v>-0.13034244684065061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653</v>
      </c>
      <c r="C125" s="378">
        <f>C48-C124</f>
        <v>2336.2004697149714</v>
      </c>
      <c r="D125" s="378">
        <f>LN_IB7-LN_ID7</f>
        <v>4824.7525458248656</v>
      </c>
      <c r="E125" s="378">
        <f t="shared" si="12"/>
        <v>2488.5520761098942</v>
      </c>
      <c r="F125" s="362">
        <f t="shared" si="13"/>
        <v>1.0652134131338098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654</v>
      </c>
      <c r="C126" s="378">
        <f>C21-C124</f>
        <v>1493.4330224495843</v>
      </c>
      <c r="D126" s="378">
        <f>LN_IA7-LN_ID7</f>
        <v>2543.7488021522186</v>
      </c>
      <c r="E126" s="378">
        <f t="shared" si="12"/>
        <v>1050.3157797026342</v>
      </c>
      <c r="F126" s="362">
        <f t="shared" si="13"/>
        <v>0.70328951075413293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631</v>
      </c>
      <c r="C127" s="391">
        <f>C126*C123</f>
        <v>13093811.121478191</v>
      </c>
      <c r="D127" s="391">
        <f>LN_ID9*LN_ID6</f>
        <v>29119187.937814802</v>
      </c>
      <c r="E127" s="391">
        <f t="shared" si="12"/>
        <v>16025376.816336611</v>
      </c>
      <c r="F127" s="362">
        <f t="shared" si="13"/>
        <v>1.2238894136825971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42046</v>
      </c>
      <c r="D128" s="369">
        <v>50852</v>
      </c>
      <c r="E128" s="369">
        <f t="shared" si="12"/>
        <v>8806</v>
      </c>
      <c r="F128" s="362">
        <f t="shared" si="13"/>
        <v>0.20943728297578842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615</v>
      </c>
      <c r="C129" s="378">
        <f>IF(C128=0,0,C119/C128)</f>
        <v>1581.3395328925462</v>
      </c>
      <c r="D129" s="378">
        <f>IF(LN_ID11=0,0,LN_1D2/LN_ID11)</f>
        <v>1484.6181467788876</v>
      </c>
      <c r="E129" s="378">
        <f t="shared" si="12"/>
        <v>-96.721386113658582</v>
      </c>
      <c r="F129" s="362">
        <f t="shared" si="13"/>
        <v>-6.1164211797537414E-2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616</v>
      </c>
      <c r="C130" s="379">
        <f>IF(C121=0,0,C128/C121)</f>
        <v>5.3068282216332197</v>
      </c>
      <c r="D130" s="379">
        <f>IF(LN_ID4=0,0,LN_ID11/LN_ID4)</f>
        <v>5.357353560893384</v>
      </c>
      <c r="E130" s="379">
        <f t="shared" si="12"/>
        <v>5.0525339260164337E-2</v>
      </c>
      <c r="F130" s="362">
        <f t="shared" si="13"/>
        <v>9.5208167948980169E-3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655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618</v>
      </c>
      <c r="C133" s="361">
        <v>96206878</v>
      </c>
      <c r="D133" s="361">
        <v>131648815</v>
      </c>
      <c r="E133" s="361">
        <f t="shared" ref="E133:E141" si="14">D133-C133</f>
        <v>35441937</v>
      </c>
      <c r="F133" s="362">
        <f t="shared" ref="F133:F141" si="15">IF(C133=0,0,E133/C133)</f>
        <v>0.36839296458617021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619</v>
      </c>
      <c r="C134" s="361">
        <v>23438520</v>
      </c>
      <c r="D134" s="361">
        <v>38661995</v>
      </c>
      <c r="E134" s="361">
        <f t="shared" si="14"/>
        <v>15223475</v>
      </c>
      <c r="F134" s="362">
        <f t="shared" si="15"/>
        <v>0.64950666680319402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620</v>
      </c>
      <c r="C135" s="366">
        <f>IF(C133=0,0,C134/C133)</f>
        <v>0.24362624052721055</v>
      </c>
      <c r="D135" s="366">
        <f>IF(LN_ID14=0,0,LN_ID15/LN_ID14)</f>
        <v>0.29367522221905301</v>
      </c>
      <c r="E135" s="367">
        <f t="shared" si="14"/>
        <v>5.0048981691842465E-2</v>
      </c>
      <c r="F135" s="362">
        <f t="shared" si="15"/>
        <v>0.20543346063024975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621</v>
      </c>
      <c r="C136" s="366">
        <f>IF(C118=0,0,C133/C118)</f>
        <v>0.48698030261971409</v>
      </c>
      <c r="D136" s="366">
        <f>IF(LN_ID1=0,0,LN_ID14/LN_ID1)</f>
        <v>0.53092425925639586</v>
      </c>
      <c r="E136" s="367">
        <f t="shared" si="14"/>
        <v>4.3943956636681769E-2</v>
      </c>
      <c r="F136" s="362">
        <f t="shared" si="15"/>
        <v>9.0237646985483672E-2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622</v>
      </c>
      <c r="C137" s="376">
        <f>C136*C121</f>
        <v>3858.3449376559947</v>
      </c>
      <c r="D137" s="376">
        <f>LN_ID17*LN_ID4</f>
        <v>5039.5330688617096</v>
      </c>
      <c r="E137" s="376">
        <f t="shared" si="14"/>
        <v>1181.1881312057149</v>
      </c>
      <c r="F137" s="362">
        <f t="shared" si="15"/>
        <v>0.30613855170847043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623</v>
      </c>
      <c r="C138" s="378">
        <f>IF(C137=0,0,C134/C137)</f>
        <v>6074.760131280349</v>
      </c>
      <c r="D138" s="378">
        <f>IF(LN_ID18=0,0,LN_ID15/LN_ID18)</f>
        <v>7671.7415029747326</v>
      </c>
      <c r="E138" s="378">
        <f t="shared" si="14"/>
        <v>1596.9813716943836</v>
      </c>
      <c r="F138" s="362">
        <f t="shared" si="15"/>
        <v>0.26288797206512832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656</v>
      </c>
      <c r="C139" s="378">
        <f>C61-C138</f>
        <v>6849.8788641590309</v>
      </c>
      <c r="D139" s="378">
        <f>LN_IB18-LN_ID19</f>
        <v>7584.1138939433031</v>
      </c>
      <c r="E139" s="378">
        <f t="shared" si="14"/>
        <v>734.23502978427223</v>
      </c>
      <c r="F139" s="362">
        <f t="shared" si="15"/>
        <v>0.10718949113480641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657</v>
      </c>
      <c r="C140" s="378">
        <f>C32-C138</f>
        <v>7458.0973488839245</v>
      </c>
      <c r="D140" s="378">
        <f>LN_IA16-LN_ID19</f>
        <v>5624.6599081154754</v>
      </c>
      <c r="E140" s="378">
        <f t="shared" si="14"/>
        <v>-1833.4374407684491</v>
      </c>
      <c r="F140" s="362">
        <f t="shared" si="15"/>
        <v>-0.24583179261434768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634</v>
      </c>
      <c r="C141" s="353">
        <f>C140*C137</f>
        <v>28775912.150611885</v>
      </c>
      <c r="D141" s="353">
        <f>LN_ID21*LN_ID18</f>
        <v>28345659.608048603</v>
      </c>
      <c r="E141" s="353">
        <f t="shared" si="14"/>
        <v>-430252.54256328195</v>
      </c>
      <c r="F141" s="362">
        <f t="shared" si="15"/>
        <v>-1.4951829860730693E-2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658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625</v>
      </c>
      <c r="C144" s="361">
        <f>C118+C133</f>
        <v>293764926</v>
      </c>
      <c r="D144" s="361">
        <f>LN_ID1+LN_ID14</f>
        <v>379610389</v>
      </c>
      <c r="E144" s="361">
        <f>D144-C144</f>
        <v>85845463</v>
      </c>
      <c r="F144" s="362">
        <f>IF(C144=0,0,E144/C144)</f>
        <v>0.2922250255294262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626</v>
      </c>
      <c r="C145" s="361">
        <f>C119+C134</f>
        <v>89927522</v>
      </c>
      <c r="D145" s="361">
        <f>LN_1D2+LN_ID15</f>
        <v>114157797</v>
      </c>
      <c r="E145" s="361">
        <f>D145-C145</f>
        <v>24230275</v>
      </c>
      <c r="F145" s="362">
        <f>IF(C145=0,0,E145/C145)</f>
        <v>0.26944226262567317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627</v>
      </c>
      <c r="C146" s="361">
        <f>C144-C145</f>
        <v>203837404</v>
      </c>
      <c r="D146" s="361">
        <f>LN_ID23-LN_ID24</f>
        <v>265452592</v>
      </c>
      <c r="E146" s="361">
        <f>D146-C146</f>
        <v>61615188</v>
      </c>
      <c r="F146" s="362">
        <f>IF(C146=0,0,E146/C146)</f>
        <v>0.30227616124859991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636</v>
      </c>
      <c r="C148" s="361">
        <f>C127+C141</f>
        <v>41869723.272090077</v>
      </c>
      <c r="D148" s="361">
        <f>LN_ID10+LN_ID22</f>
        <v>57464847.545863405</v>
      </c>
      <c r="E148" s="361">
        <f>D148-C148</f>
        <v>15595124.273773327</v>
      </c>
      <c r="F148" s="415">
        <f>IF(C148=0,0,E148/C148)</f>
        <v>0.37246781337503787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659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660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609</v>
      </c>
      <c r="C153" s="361">
        <v>27257124</v>
      </c>
      <c r="D153" s="361">
        <v>0</v>
      </c>
      <c r="E153" s="361">
        <f t="shared" ref="E153:E165" si="16">D153-C153</f>
        <v>-27257124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610</v>
      </c>
      <c r="C154" s="361">
        <v>7279004</v>
      </c>
      <c r="D154" s="361">
        <v>0</v>
      </c>
      <c r="E154" s="361">
        <f t="shared" si="16"/>
        <v>-7279004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611</v>
      </c>
      <c r="C155" s="366">
        <f>IF(C153=0,0,C154/C153)</f>
        <v>0.26704959774919762</v>
      </c>
      <c r="D155" s="366">
        <f>IF(LN_IE1=0,0,LN_IE2/LN_IE1)</f>
        <v>0</v>
      </c>
      <c r="E155" s="367">
        <f t="shared" si="16"/>
        <v>-0.26704959774919762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1307</v>
      </c>
      <c r="D156" s="419">
        <v>0</v>
      </c>
      <c r="E156" s="419">
        <f t="shared" si="16"/>
        <v>-1307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612</v>
      </c>
      <c r="C157" s="372">
        <v>1.2428999999999999</v>
      </c>
      <c r="D157" s="372">
        <v>0</v>
      </c>
      <c r="E157" s="373">
        <f t="shared" si="16"/>
        <v>-1.2428999999999999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613</v>
      </c>
      <c r="C158" s="376">
        <f>C156*C157</f>
        <v>1624.4703</v>
      </c>
      <c r="D158" s="376">
        <f>LN_IE4*LN_IE5</f>
        <v>0</v>
      </c>
      <c r="E158" s="376">
        <f t="shared" si="16"/>
        <v>-1624.4703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614</v>
      </c>
      <c r="C159" s="378">
        <f>IF(C158=0,0,C154/C158)</f>
        <v>4480.8476953995405</v>
      </c>
      <c r="D159" s="378">
        <f>IF(LN_IE6=0,0,LN_IE2/LN_IE6)</f>
        <v>0</v>
      </c>
      <c r="E159" s="378">
        <f t="shared" si="16"/>
        <v>-4480.8476953995405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661</v>
      </c>
      <c r="C160" s="378">
        <f>C48-C159</f>
        <v>5438.8493052556596</v>
      </c>
      <c r="D160" s="378">
        <f>LN_IB7-LN_IE7</f>
        <v>11419.797583314759</v>
      </c>
      <c r="E160" s="378">
        <f t="shared" si="16"/>
        <v>5980.9482780590997</v>
      </c>
      <c r="F160" s="362">
        <f t="shared" si="17"/>
        <v>1.0996716294896423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662</v>
      </c>
      <c r="C161" s="378">
        <f>C21-C159</f>
        <v>4596.0818579902725</v>
      </c>
      <c r="D161" s="378">
        <f>LN_IA7-LN_IE7</f>
        <v>9138.7938396421123</v>
      </c>
      <c r="E161" s="378">
        <f t="shared" si="16"/>
        <v>4542.7119816518398</v>
      </c>
      <c r="F161" s="362">
        <f t="shared" si="17"/>
        <v>0.98838796218443126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631</v>
      </c>
      <c r="C162" s="391">
        <f>C161*C158</f>
        <v>7466198.4746740153</v>
      </c>
      <c r="D162" s="391">
        <f>LN_IE9*LN_IE6</f>
        <v>0</v>
      </c>
      <c r="E162" s="391">
        <f t="shared" si="16"/>
        <v>-7466198.4746740153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7453</v>
      </c>
      <c r="D163" s="369">
        <v>0</v>
      </c>
      <c r="E163" s="419">
        <f t="shared" si="16"/>
        <v>-7453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615</v>
      </c>
      <c r="C164" s="378">
        <f>IF(C163=0,0,C154/C163)</f>
        <v>976.65423319468675</v>
      </c>
      <c r="D164" s="378">
        <f>IF(LN_IE11=0,0,LN_IE2/LN_IE11)</f>
        <v>0</v>
      </c>
      <c r="E164" s="378">
        <f t="shared" si="16"/>
        <v>-976.65423319468675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616</v>
      </c>
      <c r="C165" s="379">
        <f>IF(C156=0,0,C163/C156)</f>
        <v>5.7023718439173683</v>
      </c>
      <c r="D165" s="379">
        <f>IF(LN_IE4=0,0,LN_IE11/LN_IE4)</f>
        <v>0</v>
      </c>
      <c r="E165" s="379">
        <f t="shared" si="16"/>
        <v>-5.7023718439173683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663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618</v>
      </c>
      <c r="C168" s="424">
        <v>12034218</v>
      </c>
      <c r="D168" s="424">
        <v>0</v>
      </c>
      <c r="E168" s="424">
        <f t="shared" ref="E168:E176" si="18">D168-C168</f>
        <v>-12034218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619</v>
      </c>
      <c r="C169" s="424">
        <v>2632027</v>
      </c>
      <c r="D169" s="424">
        <v>0</v>
      </c>
      <c r="E169" s="424">
        <f t="shared" si="18"/>
        <v>-2632027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620</v>
      </c>
      <c r="C170" s="366">
        <f>IF(C168=0,0,C169/C168)</f>
        <v>0.21871192627555858</v>
      </c>
      <c r="D170" s="366">
        <f>IF(LN_IE14=0,0,LN_IE15/LN_IE14)</f>
        <v>0</v>
      </c>
      <c r="E170" s="367">
        <f t="shared" si="18"/>
        <v>-0.21871192627555858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621</v>
      </c>
      <c r="C171" s="366">
        <f>IF(C153=0,0,C168/C153)</f>
        <v>0.44150725513080541</v>
      </c>
      <c r="D171" s="366">
        <f>IF(LN_IE1=0,0,LN_IE14/LN_IE1)</f>
        <v>0</v>
      </c>
      <c r="E171" s="367">
        <f t="shared" si="18"/>
        <v>-0.44150725513080541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622</v>
      </c>
      <c r="C172" s="376">
        <f>C171*C156</f>
        <v>577.04998245596266</v>
      </c>
      <c r="D172" s="376">
        <f>LN_IE17*LN_IE4</f>
        <v>0</v>
      </c>
      <c r="E172" s="376">
        <f t="shared" si="18"/>
        <v>-577.04998245596266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623</v>
      </c>
      <c r="C173" s="378">
        <f>IF(C172=0,0,C169/C172)</f>
        <v>4561.1768131383005</v>
      </c>
      <c r="D173" s="378">
        <f>IF(LN_IE18=0,0,LN_IE15/LN_IE18)</f>
        <v>0</v>
      </c>
      <c r="E173" s="378">
        <f t="shared" si="18"/>
        <v>-4561.1768131383005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664</v>
      </c>
      <c r="C174" s="378">
        <f>C61-C173</f>
        <v>8363.4621823010784</v>
      </c>
      <c r="D174" s="378">
        <f>LN_IB18-LN_IE19</f>
        <v>15255.855396918036</v>
      </c>
      <c r="E174" s="378">
        <f t="shared" si="18"/>
        <v>6892.3932146169573</v>
      </c>
      <c r="F174" s="362">
        <f t="shared" si="19"/>
        <v>0.82410765594214963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665</v>
      </c>
      <c r="C175" s="378">
        <f>C32-C173</f>
        <v>8971.6806670259721</v>
      </c>
      <c r="D175" s="378">
        <f>LN_IA16-LN_IE19</f>
        <v>13296.401411090208</v>
      </c>
      <c r="E175" s="378">
        <f t="shared" si="18"/>
        <v>4324.720744064236</v>
      </c>
      <c r="F175" s="362">
        <f t="shared" si="19"/>
        <v>0.48204131472925466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634</v>
      </c>
      <c r="C176" s="353">
        <f>C175*C172</f>
        <v>5177108.1715078363</v>
      </c>
      <c r="D176" s="353">
        <f>LN_IE21*LN_IE18</f>
        <v>0</v>
      </c>
      <c r="E176" s="353">
        <f t="shared" si="18"/>
        <v>-5177108.1715078363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666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625</v>
      </c>
      <c r="C179" s="361">
        <f>C153+C168</f>
        <v>39291342</v>
      </c>
      <c r="D179" s="361">
        <f>LN_IE1+LN_IE14</f>
        <v>0</v>
      </c>
      <c r="E179" s="361">
        <f>D179-C179</f>
        <v>-39291342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626</v>
      </c>
      <c r="C180" s="361">
        <f>C154+C169</f>
        <v>9911031</v>
      </c>
      <c r="D180" s="361">
        <f>LN_IE15+LN_IE2</f>
        <v>0</v>
      </c>
      <c r="E180" s="361">
        <f>D180-C180</f>
        <v>-9911031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627</v>
      </c>
      <c r="C181" s="361">
        <f>C179-C180</f>
        <v>29380311</v>
      </c>
      <c r="D181" s="361">
        <f>LN_IE23-LN_IE24</f>
        <v>0</v>
      </c>
      <c r="E181" s="361">
        <f>D181-C181</f>
        <v>-29380311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667</v>
      </c>
      <c r="C183" s="361">
        <f>C162+C176</f>
        <v>12643306.646181852</v>
      </c>
      <c r="D183" s="361">
        <f>LN_IE10+LN_IE22</f>
        <v>0</v>
      </c>
      <c r="E183" s="353">
        <f>D183-C183</f>
        <v>-12643306.646181852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668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669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609</v>
      </c>
      <c r="C188" s="361">
        <f>C118+C153</f>
        <v>224815172</v>
      </c>
      <c r="D188" s="361">
        <f>LN_ID1+LN_IE1</f>
        <v>247961574</v>
      </c>
      <c r="E188" s="361">
        <f t="shared" ref="E188:E200" si="20">D188-C188</f>
        <v>23146402</v>
      </c>
      <c r="F188" s="362">
        <f t="shared" ref="F188:F200" si="21">IF(C188=0,0,E188/C188)</f>
        <v>0.10295747299474967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610</v>
      </c>
      <c r="C189" s="361">
        <f>C119+C154</f>
        <v>73768006</v>
      </c>
      <c r="D189" s="361">
        <f>LN_1D2+LN_IE2</f>
        <v>75495802</v>
      </c>
      <c r="E189" s="361">
        <f t="shared" si="20"/>
        <v>1727796</v>
      </c>
      <c r="F189" s="362">
        <f t="shared" si="21"/>
        <v>2.3422023905593978E-2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611</v>
      </c>
      <c r="C190" s="366">
        <f>IF(C188=0,0,C189/C188)</f>
        <v>0.3281273472059083</v>
      </c>
      <c r="D190" s="366">
        <f>IF(LN_IF1=0,0,LN_IF2/LN_IF1)</f>
        <v>0.30446573145240641</v>
      </c>
      <c r="E190" s="367">
        <f t="shared" si="20"/>
        <v>-2.3661615753501897E-2</v>
      </c>
      <c r="F190" s="362">
        <f t="shared" si="21"/>
        <v>-7.2111075029213059E-2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9230</v>
      </c>
      <c r="D191" s="369">
        <f>LN_ID4+LN_IE4</f>
        <v>9492</v>
      </c>
      <c r="E191" s="369">
        <f t="shared" si="20"/>
        <v>262</v>
      </c>
      <c r="F191" s="362">
        <f t="shared" si="21"/>
        <v>2.8385698808234019E-2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612</v>
      </c>
      <c r="C192" s="372">
        <f>IF((C121+C156)=0,0,(C123+C158)/(C121+C156))</f>
        <v>1.1259005525460455</v>
      </c>
      <c r="D192" s="372">
        <f>IF((LN_ID4+LN_IE4)=0,0,(LN_ID6+LN_IE6)/(LN_ID4+LN_IE4))</f>
        <v>1.206</v>
      </c>
      <c r="E192" s="373">
        <f t="shared" si="20"/>
        <v>8.0099447453954475E-2</v>
      </c>
      <c r="F192" s="362">
        <f t="shared" si="21"/>
        <v>7.1142559858259485E-2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613</v>
      </c>
      <c r="C193" s="376">
        <f>C123+C158</f>
        <v>10392.062099999999</v>
      </c>
      <c r="D193" s="376">
        <f>LN_IF4*LN_IF5</f>
        <v>11447.351999999999</v>
      </c>
      <c r="E193" s="376">
        <f t="shared" si="20"/>
        <v>1055.2898999999998</v>
      </c>
      <c r="F193" s="362">
        <f t="shared" si="21"/>
        <v>0.10154768994307682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614</v>
      </c>
      <c r="C194" s="378">
        <f>IF(C193=0,0,C189/C193)</f>
        <v>7098.4954949412786</v>
      </c>
      <c r="D194" s="378">
        <f>IF(LN_IF6=0,0,LN_IF2/LN_IF6)</f>
        <v>6595.0450374898937</v>
      </c>
      <c r="E194" s="378">
        <f t="shared" si="20"/>
        <v>-503.45045745138486</v>
      </c>
      <c r="F194" s="362">
        <f t="shared" si="21"/>
        <v>-7.0923543983392998E-2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670</v>
      </c>
      <c r="C195" s="378">
        <f>C48-C194</f>
        <v>2821.2015057139215</v>
      </c>
      <c r="D195" s="378">
        <f>LN_IB7-LN_IF7</f>
        <v>4824.7525458248656</v>
      </c>
      <c r="E195" s="378">
        <f t="shared" si="20"/>
        <v>2003.5510401109441</v>
      </c>
      <c r="F195" s="362">
        <f t="shared" si="21"/>
        <v>0.7101765102751616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671</v>
      </c>
      <c r="C196" s="378">
        <f>C21-C194</f>
        <v>1978.4340584485344</v>
      </c>
      <c r="D196" s="378">
        <f>LN_IA7-LN_IF7</f>
        <v>2543.7488021522186</v>
      </c>
      <c r="E196" s="378">
        <f t="shared" si="20"/>
        <v>565.31474370368414</v>
      </c>
      <c r="F196" s="362">
        <f t="shared" si="21"/>
        <v>0.28573848154787507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631</v>
      </c>
      <c r="C197" s="391">
        <f>C127+C162</f>
        <v>20560009.596152205</v>
      </c>
      <c r="D197" s="391">
        <f>LN_IF9*LN_IF6</f>
        <v>29119187.937814802</v>
      </c>
      <c r="E197" s="391">
        <f t="shared" si="20"/>
        <v>8559178.3416625969</v>
      </c>
      <c r="F197" s="362">
        <f t="shared" si="21"/>
        <v>0.41630225421998063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49499</v>
      </c>
      <c r="D198" s="369">
        <f>LN_ID11+LN_IE11</f>
        <v>50852</v>
      </c>
      <c r="E198" s="369">
        <f t="shared" si="20"/>
        <v>1353</v>
      </c>
      <c r="F198" s="362">
        <f t="shared" si="21"/>
        <v>2.7333885533041072E-2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615</v>
      </c>
      <c r="C199" s="432">
        <f>IF(C198=0,0,C189/C198)</f>
        <v>1490.292854401099</v>
      </c>
      <c r="D199" s="432">
        <f>IF(LN_IF11=0,0,LN_IF2/LN_IF11)</f>
        <v>1484.6181467788876</v>
      </c>
      <c r="E199" s="432">
        <f t="shared" si="20"/>
        <v>-5.6747076222113719</v>
      </c>
      <c r="F199" s="362">
        <f t="shared" si="21"/>
        <v>-3.8077801993433398E-3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616</v>
      </c>
      <c r="C200" s="379">
        <f>IF(C191=0,0,C198/C191)</f>
        <v>5.3628385698808234</v>
      </c>
      <c r="D200" s="379">
        <f>IF(LN_IF4=0,0,LN_IF11/LN_IF4)</f>
        <v>5.357353560893384</v>
      </c>
      <c r="E200" s="379">
        <f t="shared" si="20"/>
        <v>-5.4850089874394214E-3</v>
      </c>
      <c r="F200" s="362">
        <f t="shared" si="21"/>
        <v>-1.0227809239391878E-3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672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618</v>
      </c>
      <c r="C203" s="361">
        <f>C133+C168</f>
        <v>108241096</v>
      </c>
      <c r="D203" s="361">
        <f>LN_ID14+LN_IE14</f>
        <v>131648815</v>
      </c>
      <c r="E203" s="361">
        <f t="shared" ref="E203:E211" si="22">D203-C203</f>
        <v>23407719</v>
      </c>
      <c r="F203" s="362">
        <f t="shared" ref="F203:F211" si="23">IF(C203=0,0,E203/C203)</f>
        <v>0.21625537679330223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619</v>
      </c>
      <c r="C204" s="361">
        <f>C134+C169</f>
        <v>26070547</v>
      </c>
      <c r="D204" s="361">
        <f>LN_ID15+LN_IE15</f>
        <v>38661995</v>
      </c>
      <c r="E204" s="361">
        <f t="shared" si="22"/>
        <v>12591448</v>
      </c>
      <c r="F204" s="362">
        <f t="shared" si="23"/>
        <v>0.48297598051931939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620</v>
      </c>
      <c r="C205" s="366">
        <f>IF(C203=0,0,C204/C203)</f>
        <v>0.2408562732956806</v>
      </c>
      <c r="D205" s="366">
        <f>IF(LN_IF14=0,0,LN_IF15/LN_IF14)</f>
        <v>0.29367522221905301</v>
      </c>
      <c r="E205" s="367">
        <f t="shared" si="22"/>
        <v>5.2818948923372411E-2</v>
      </c>
      <c r="F205" s="362">
        <f t="shared" si="23"/>
        <v>0.21929654644506882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621</v>
      </c>
      <c r="C206" s="366">
        <f>IF(C188=0,0,C203/C188)</f>
        <v>0.48146704262468548</v>
      </c>
      <c r="D206" s="366">
        <f>IF(LN_IF1=0,0,LN_IF14/LN_IF1)</f>
        <v>0.53092425925639586</v>
      </c>
      <c r="E206" s="367">
        <f t="shared" si="22"/>
        <v>4.9457216631710377E-2</v>
      </c>
      <c r="F206" s="362">
        <f t="shared" si="23"/>
        <v>0.10272191500813359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622</v>
      </c>
      <c r="C207" s="376">
        <f>C137+C172</f>
        <v>4435.3949201119576</v>
      </c>
      <c r="D207" s="376">
        <f>LN_ID18+LN_IE18</f>
        <v>5039.5330688617096</v>
      </c>
      <c r="E207" s="376">
        <f t="shared" si="22"/>
        <v>604.13814874975196</v>
      </c>
      <c r="F207" s="362">
        <f t="shared" si="23"/>
        <v>0.1362084232928919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623</v>
      </c>
      <c r="C208" s="378">
        <f>IF(C207=0,0,C204/C207)</f>
        <v>5877.8412000665612</v>
      </c>
      <c r="D208" s="378">
        <f>IF(LN_IF18=0,0,LN_IF15/LN_IF18)</f>
        <v>7671.7415029747326</v>
      </c>
      <c r="E208" s="378">
        <f t="shared" si="22"/>
        <v>1793.9003029081714</v>
      </c>
      <c r="F208" s="362">
        <f t="shared" si="23"/>
        <v>0.30519713647382257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673</v>
      </c>
      <c r="C209" s="378">
        <f>C61-C208</f>
        <v>7046.7977953728187</v>
      </c>
      <c r="D209" s="378">
        <f>LN_IB18-LN_IF19</f>
        <v>7584.1138939433031</v>
      </c>
      <c r="E209" s="378">
        <f t="shared" si="22"/>
        <v>537.31609857048443</v>
      </c>
      <c r="F209" s="362">
        <f t="shared" si="23"/>
        <v>7.6249683072119018E-2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674</v>
      </c>
      <c r="C210" s="378">
        <f>C32-C208</f>
        <v>7655.0162800977123</v>
      </c>
      <c r="D210" s="378">
        <f>LN_IA16-LN_IF19</f>
        <v>5624.6599081154754</v>
      </c>
      <c r="E210" s="378">
        <f t="shared" si="22"/>
        <v>-2030.3563719822369</v>
      </c>
      <c r="F210" s="362">
        <f t="shared" si="23"/>
        <v>-0.26523214291012853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634</v>
      </c>
      <c r="C211" s="391">
        <f>C141+C176</f>
        <v>33953020.32211972</v>
      </c>
      <c r="D211" s="353">
        <f>LN_IF21*LN_IF18</f>
        <v>28345659.608048603</v>
      </c>
      <c r="E211" s="353">
        <f t="shared" si="22"/>
        <v>-5607360.7140711173</v>
      </c>
      <c r="F211" s="362">
        <f t="shared" si="23"/>
        <v>-0.16515057160962004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675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625</v>
      </c>
      <c r="C214" s="361">
        <f>C188+C203</f>
        <v>333056268</v>
      </c>
      <c r="D214" s="361">
        <f>LN_IF1+LN_IF14</f>
        <v>379610389</v>
      </c>
      <c r="E214" s="361">
        <f>D214-C214</f>
        <v>46554121</v>
      </c>
      <c r="F214" s="362">
        <f>IF(C214=0,0,E214/C214)</f>
        <v>0.13977854636862741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626</v>
      </c>
      <c r="C215" s="361">
        <f>C189+C204</f>
        <v>99838553</v>
      </c>
      <c r="D215" s="361">
        <f>LN_IF2+LN_IF15</f>
        <v>114157797</v>
      </c>
      <c r="E215" s="361">
        <f>D215-C215</f>
        <v>14319244</v>
      </c>
      <c r="F215" s="362">
        <f>IF(C215=0,0,E215/C215)</f>
        <v>0.14342399373516562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627</v>
      </c>
      <c r="C216" s="361">
        <f>C214-C215</f>
        <v>233217715</v>
      </c>
      <c r="D216" s="361">
        <f>LN_IF23-LN_IF24</f>
        <v>265452592</v>
      </c>
      <c r="E216" s="361">
        <f>D216-C216</f>
        <v>32234877</v>
      </c>
      <c r="F216" s="362">
        <f>IF(C216=0,0,E216/C216)</f>
        <v>0.13821796084401222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676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677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609</v>
      </c>
      <c r="C221" s="361">
        <v>4791123</v>
      </c>
      <c r="D221" s="361">
        <v>8638310</v>
      </c>
      <c r="E221" s="361">
        <f t="shared" ref="E221:E230" si="24">D221-C221</f>
        <v>3847187</v>
      </c>
      <c r="F221" s="362">
        <f t="shared" ref="F221:F230" si="25">IF(C221=0,0,E221/C221)</f>
        <v>0.80298230707080576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610</v>
      </c>
      <c r="C222" s="361">
        <v>897963</v>
      </c>
      <c r="D222" s="361">
        <v>3030139</v>
      </c>
      <c r="E222" s="361">
        <f t="shared" si="24"/>
        <v>2132176</v>
      </c>
      <c r="F222" s="362">
        <f t="shared" si="25"/>
        <v>2.3744586358235251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611</v>
      </c>
      <c r="C223" s="366">
        <f>IF(C221=0,0,C222/C221)</f>
        <v>0.18742223900325664</v>
      </c>
      <c r="D223" s="366">
        <f>IF(LN_IG1=0,0,LN_IG2/LN_IG1)</f>
        <v>0.35077914545784999</v>
      </c>
      <c r="E223" s="367">
        <f t="shared" si="24"/>
        <v>0.16335690645459336</v>
      </c>
      <c r="F223" s="362">
        <f t="shared" si="25"/>
        <v>0.87159830830830531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166</v>
      </c>
      <c r="D224" s="369">
        <v>238</v>
      </c>
      <c r="E224" s="369">
        <f t="shared" si="24"/>
        <v>72</v>
      </c>
      <c r="F224" s="362">
        <f t="shared" si="25"/>
        <v>0.43373493975903615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612</v>
      </c>
      <c r="C225" s="372">
        <v>1.0678000000000001</v>
      </c>
      <c r="D225" s="372">
        <v>1.179</v>
      </c>
      <c r="E225" s="373">
        <f t="shared" si="24"/>
        <v>0.11119999999999997</v>
      </c>
      <c r="F225" s="362">
        <f t="shared" si="25"/>
        <v>0.10413935193856523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613</v>
      </c>
      <c r="C226" s="376">
        <f>C224*C225</f>
        <v>177.25480000000002</v>
      </c>
      <c r="D226" s="376">
        <f>LN_IG3*LN_IG4</f>
        <v>280.60200000000003</v>
      </c>
      <c r="E226" s="376">
        <f t="shared" si="24"/>
        <v>103.34720000000002</v>
      </c>
      <c r="F226" s="362">
        <f t="shared" si="25"/>
        <v>0.58304316723722016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614</v>
      </c>
      <c r="C227" s="378">
        <f>IF(C226=0,0,C222/C226)</f>
        <v>5065.9446175787616</v>
      </c>
      <c r="D227" s="378">
        <f>IF(LN_IG5=0,0,LN_IG2/LN_IG5)</f>
        <v>10798.707778276705</v>
      </c>
      <c r="E227" s="378">
        <f t="shared" si="24"/>
        <v>5732.763160697943</v>
      </c>
      <c r="F227" s="362">
        <f t="shared" si="25"/>
        <v>1.1316276812038824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951</v>
      </c>
      <c r="D228" s="369">
        <v>1665</v>
      </c>
      <c r="E228" s="369">
        <f t="shared" si="24"/>
        <v>714</v>
      </c>
      <c r="F228" s="362">
        <f t="shared" si="25"/>
        <v>0.75078864353312302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615</v>
      </c>
      <c r="C229" s="378">
        <f>IF(C228=0,0,C222/C228)</f>
        <v>944.2302839116719</v>
      </c>
      <c r="D229" s="378">
        <f>IF(LN_IG6=0,0,LN_IG2/LN_IG6)</f>
        <v>1819.9033033033033</v>
      </c>
      <c r="E229" s="378">
        <f t="shared" si="24"/>
        <v>875.67301939163144</v>
      </c>
      <c r="F229" s="362">
        <f t="shared" si="25"/>
        <v>0.92739349109199543</v>
      </c>
      <c r="Q229" s="330"/>
      <c r="U229" s="375"/>
    </row>
    <row r="230" spans="1:21" ht="11.25" customHeight="1" x14ac:dyDescent="0.2">
      <c r="A230" s="364">
        <v>10</v>
      </c>
      <c r="B230" s="360" t="s">
        <v>616</v>
      </c>
      <c r="C230" s="379">
        <f>IF(C224=0,0,C228/C224)</f>
        <v>5.7289156626506026</v>
      </c>
      <c r="D230" s="379">
        <f>IF(LN_IG3=0,0,LN_IG6/LN_IG3)</f>
        <v>6.9957983193277311</v>
      </c>
      <c r="E230" s="379">
        <f t="shared" si="24"/>
        <v>1.2668826566771285</v>
      </c>
      <c r="F230" s="362">
        <f t="shared" si="25"/>
        <v>0.22113829759032946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678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618</v>
      </c>
      <c r="C233" s="361">
        <v>2317387</v>
      </c>
      <c r="D233" s="361">
        <v>2057294</v>
      </c>
      <c r="E233" s="361">
        <f>D233-C233</f>
        <v>-260093</v>
      </c>
      <c r="F233" s="362">
        <f>IF(C233=0,0,E233/C233)</f>
        <v>-0.11223546175067005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619</v>
      </c>
      <c r="C234" s="361">
        <v>1091920</v>
      </c>
      <c r="D234" s="361">
        <v>861357</v>
      </c>
      <c r="E234" s="361">
        <f>D234-C234</f>
        <v>-230563</v>
      </c>
      <c r="F234" s="362">
        <f>IF(C234=0,0,E234/C234)</f>
        <v>-0.21115374752729138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679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625</v>
      </c>
      <c r="C237" s="361">
        <f>C221+C233</f>
        <v>7108510</v>
      </c>
      <c r="D237" s="361">
        <f>LN_IG1+LN_IG9</f>
        <v>10695604</v>
      </c>
      <c r="E237" s="361">
        <f>D237-C237</f>
        <v>3587094</v>
      </c>
      <c r="F237" s="362">
        <f>IF(C237=0,0,E237/C237)</f>
        <v>0.50461967416519071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626</v>
      </c>
      <c r="C238" s="361">
        <f>C222+C234</f>
        <v>1989883</v>
      </c>
      <c r="D238" s="361">
        <f>LN_IG2+LN_IG10</f>
        <v>3891496</v>
      </c>
      <c r="E238" s="361">
        <f>D238-C238</f>
        <v>1901613</v>
      </c>
      <c r="F238" s="362">
        <f>IF(C238=0,0,E238/C238)</f>
        <v>0.9556406080156471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627</v>
      </c>
      <c r="C239" s="361">
        <f>C237-C238</f>
        <v>5118627</v>
      </c>
      <c r="D239" s="361">
        <f>LN_IG13-LN_IG14</f>
        <v>6804108</v>
      </c>
      <c r="E239" s="361">
        <f>D239-C239</f>
        <v>1685481</v>
      </c>
      <c r="F239" s="362">
        <f>IF(C239=0,0,E239/C239)</f>
        <v>0.32928380989667738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680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681</v>
      </c>
      <c r="C243" s="361">
        <v>129170425</v>
      </c>
      <c r="D243" s="361">
        <v>121645764</v>
      </c>
      <c r="E243" s="353">
        <f>D243-C243</f>
        <v>-7524661</v>
      </c>
      <c r="F243" s="415">
        <f>IF(C243=0,0,E243/C243)</f>
        <v>-5.8253745003935695E-2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682</v>
      </c>
      <c r="C244" s="361">
        <v>920001155</v>
      </c>
      <c r="D244" s="361">
        <v>963927041</v>
      </c>
      <c r="E244" s="353">
        <f>D244-C244</f>
        <v>43925886</v>
      </c>
      <c r="F244" s="415">
        <f>IF(C244=0,0,E244/C244)</f>
        <v>4.7745468319547922E-2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683</v>
      </c>
      <c r="C245" s="400">
        <v>3946217</v>
      </c>
      <c r="D245" s="400">
        <v>0</v>
      </c>
      <c r="E245" s="400">
        <f>D245-C245</f>
        <v>-3946217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684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685</v>
      </c>
      <c r="C248" s="353">
        <v>27507152</v>
      </c>
      <c r="D248" s="353">
        <v>18246408</v>
      </c>
      <c r="E248" s="353">
        <f>D248-C248</f>
        <v>-9260744</v>
      </c>
      <c r="F248" s="362">
        <f>IF(C248=0,0,E248/C248)</f>
        <v>-0.33666676942782009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686</v>
      </c>
      <c r="C249" s="353">
        <v>37824767</v>
      </c>
      <c r="D249" s="353">
        <v>12919784</v>
      </c>
      <c r="E249" s="353">
        <f>D249-C249</f>
        <v>-24904983</v>
      </c>
      <c r="F249" s="362">
        <f>IF(C249=0,0,E249/C249)</f>
        <v>-0.65843057275144612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687</v>
      </c>
      <c r="C250" s="353">
        <f>C248+C249</f>
        <v>65331919</v>
      </c>
      <c r="D250" s="353">
        <f>LN_IH4+LN_IH5</f>
        <v>31166192</v>
      </c>
      <c r="E250" s="353">
        <f>D250-C250</f>
        <v>-34165727</v>
      </c>
      <c r="F250" s="362">
        <f>IF(C250=0,0,E250/C250)</f>
        <v>-0.52295612195319108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688</v>
      </c>
      <c r="C251" s="353">
        <f>C250*C313</f>
        <v>26329428.021292251</v>
      </c>
      <c r="D251" s="353">
        <f>LN_IH6*LN_III10</f>
        <v>12918783.785068072</v>
      </c>
      <c r="E251" s="353">
        <f>D251-C251</f>
        <v>-13410644.236224178</v>
      </c>
      <c r="F251" s="362">
        <f>IF(C251=0,0,E251/C251)</f>
        <v>-0.50934050771551787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689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625</v>
      </c>
      <c r="C254" s="353">
        <f>C188+C203</f>
        <v>333056268</v>
      </c>
      <c r="D254" s="353">
        <f>LN_IF23</f>
        <v>379610389</v>
      </c>
      <c r="E254" s="353">
        <f>D254-C254</f>
        <v>46554121</v>
      </c>
      <c r="F254" s="362">
        <f>IF(C254=0,0,E254/C254)</f>
        <v>0.13977854636862741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626</v>
      </c>
      <c r="C255" s="353">
        <f>C189+C204</f>
        <v>99838553</v>
      </c>
      <c r="D255" s="353">
        <f>LN_IF24</f>
        <v>114157797</v>
      </c>
      <c r="E255" s="353">
        <f>D255-C255</f>
        <v>14319244</v>
      </c>
      <c r="F255" s="362">
        <f>IF(C255=0,0,E255/C255)</f>
        <v>0.14342399373516562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690</v>
      </c>
      <c r="C256" s="353">
        <f>C254*C313</f>
        <v>134225064.40299454</v>
      </c>
      <c r="D256" s="353">
        <f>LN_IH8*LN_III10</f>
        <v>157353344.228149</v>
      </c>
      <c r="E256" s="353">
        <f>D256-C256</f>
        <v>23128279.825154454</v>
      </c>
      <c r="F256" s="362">
        <f>IF(C256=0,0,E256/C256)</f>
        <v>0.17230969437805288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691</v>
      </c>
      <c r="C257" s="353">
        <f>C256-C255</f>
        <v>34386511.402994543</v>
      </c>
      <c r="D257" s="353">
        <f>LN_IH10-LN_IH9</f>
        <v>43195547.228148997</v>
      </c>
      <c r="E257" s="353">
        <f>D257-C257</f>
        <v>8809035.8251544535</v>
      </c>
      <c r="F257" s="362">
        <f>IF(C257=0,0,E257/C257)</f>
        <v>0.25617707251301219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692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693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694</v>
      </c>
      <c r="C261" s="361">
        <f>C15+C42+C188+C221</f>
        <v>1323691385</v>
      </c>
      <c r="D261" s="361">
        <f>LN_IA1+LN_IB1+LN_IF1+LN_IG1</f>
        <v>1378020729</v>
      </c>
      <c r="E261" s="361">
        <f t="shared" ref="E261:E274" si="26">D261-C261</f>
        <v>54329344</v>
      </c>
      <c r="F261" s="415">
        <f t="shared" ref="F261:F274" si="27">IF(C261=0,0,E261/C261)</f>
        <v>4.1043814755959904E-2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695</v>
      </c>
      <c r="C262" s="361">
        <f>C16+C43+C189+C222</f>
        <v>554077870</v>
      </c>
      <c r="D262" s="361">
        <f>+LN_IA2+LN_IB2+LN_IF2+LN_IG2</f>
        <v>592891964</v>
      </c>
      <c r="E262" s="361">
        <f t="shared" si="26"/>
        <v>38814094</v>
      </c>
      <c r="F262" s="415">
        <f t="shared" si="27"/>
        <v>7.0051695080332307E-2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696</v>
      </c>
      <c r="C263" s="366">
        <f>IF(C261=0,0,C262/C261)</f>
        <v>0.4185853865023077</v>
      </c>
      <c r="D263" s="366">
        <f>IF(LN_IIA1=0,0,LN_IIA2/LN_IIA1)</f>
        <v>0.43024894439015365</v>
      </c>
      <c r="E263" s="367">
        <f t="shared" si="26"/>
        <v>1.1663557887845954E-2</v>
      </c>
      <c r="F263" s="371">
        <f t="shared" si="27"/>
        <v>2.7864226186457307E-2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697</v>
      </c>
      <c r="C264" s="369">
        <f>C18+C45+C191+C224</f>
        <v>41265</v>
      </c>
      <c r="D264" s="369">
        <f>LN_IA4+LN_IB4+LN_IF4+LN_IG3</f>
        <v>40674</v>
      </c>
      <c r="E264" s="369">
        <f t="shared" si="26"/>
        <v>-591</v>
      </c>
      <c r="F264" s="415">
        <f t="shared" si="27"/>
        <v>-1.4322064703744093E-2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698</v>
      </c>
      <c r="C265" s="439">
        <f>IF(C264=0,0,C266/C264)</f>
        <v>1.4865138882830486</v>
      </c>
      <c r="D265" s="439">
        <f>IF(LN_IIA4=0,0,LN_IIA6/LN_IIA4)</f>
        <v>1.5400943428234251</v>
      </c>
      <c r="E265" s="439">
        <f t="shared" si="26"/>
        <v>5.358045454037641E-2</v>
      </c>
      <c r="F265" s="415">
        <f t="shared" si="27"/>
        <v>3.6044368614855549E-2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699</v>
      </c>
      <c r="C266" s="376">
        <f>C20+C47+C193+C226</f>
        <v>61340.995600000002</v>
      </c>
      <c r="D266" s="376">
        <f>LN_IA6+LN_IB6+LN_IF6+LN_IG5</f>
        <v>62641.797299999991</v>
      </c>
      <c r="E266" s="376">
        <f t="shared" si="26"/>
        <v>1300.8016999999891</v>
      </c>
      <c r="F266" s="415">
        <f t="shared" si="27"/>
        <v>2.1206074131603907E-2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700</v>
      </c>
      <c r="C267" s="361">
        <f>C27+C56+C203+C233</f>
        <v>578027738</v>
      </c>
      <c r="D267" s="361">
        <f>LN_IA11+LN_IB13+LN_IF14+LN_IG9</f>
        <v>671298555</v>
      </c>
      <c r="E267" s="361">
        <f t="shared" si="26"/>
        <v>93270817</v>
      </c>
      <c r="F267" s="415">
        <f t="shared" si="27"/>
        <v>0.16136045187506209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621</v>
      </c>
      <c r="C268" s="366">
        <f>IF(C261=0,0,C267/C261)</f>
        <v>0.43667862807764668</v>
      </c>
      <c r="D268" s="366">
        <f>IF(LN_IIA1=0,0,LN_IIA7/LN_IIA1)</f>
        <v>0.48714692085012895</v>
      </c>
      <c r="E268" s="367">
        <f t="shared" si="26"/>
        <v>5.0468292772482271E-2</v>
      </c>
      <c r="F268" s="371">
        <f t="shared" si="27"/>
        <v>0.1155730771497899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701</v>
      </c>
      <c r="C269" s="361">
        <f>C28+C57+C204+C234</f>
        <v>220814660</v>
      </c>
      <c r="D269" s="361">
        <f>LN_IA12+LN_IB14+LN_IF15+LN_IG10</f>
        <v>270407883</v>
      </c>
      <c r="E269" s="361">
        <f t="shared" si="26"/>
        <v>49593223</v>
      </c>
      <c r="F269" s="415">
        <f t="shared" si="27"/>
        <v>0.22459207644999657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620</v>
      </c>
      <c r="C270" s="366">
        <f>IF(C267=0,0,C269/C267)</f>
        <v>0.38201395103291741</v>
      </c>
      <c r="D270" s="366">
        <f>IF(LN_IIA7=0,0,LN_IIA9/LN_IIA7)</f>
        <v>0.40281314623118769</v>
      </c>
      <c r="E270" s="367">
        <f t="shared" si="26"/>
        <v>2.0799195198270282E-2</v>
      </c>
      <c r="F270" s="371">
        <f t="shared" si="27"/>
        <v>5.44461665392897E-2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702</v>
      </c>
      <c r="C271" s="353">
        <f>C261+C267</f>
        <v>1901719123</v>
      </c>
      <c r="D271" s="353">
        <f>LN_IIA1+LN_IIA7</f>
        <v>2049319284</v>
      </c>
      <c r="E271" s="353">
        <f t="shared" si="26"/>
        <v>147600161</v>
      </c>
      <c r="F271" s="415">
        <f t="shared" si="27"/>
        <v>7.7614069930136573E-2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703</v>
      </c>
      <c r="C272" s="353">
        <f>C262+C269</f>
        <v>774892530</v>
      </c>
      <c r="D272" s="353">
        <f>LN_IIA2+LN_IIA9</f>
        <v>863299847</v>
      </c>
      <c r="E272" s="353">
        <f t="shared" si="26"/>
        <v>88407317</v>
      </c>
      <c r="F272" s="415">
        <f t="shared" si="27"/>
        <v>0.11408977835932939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704</v>
      </c>
      <c r="C273" s="366">
        <f>IF(C271=0,0,C272/C271)</f>
        <v>0.40746949464208548</v>
      </c>
      <c r="D273" s="366">
        <f>IF(LN_IIA11=0,0,LN_IIA12/LN_IIA11)</f>
        <v>0.42126175932671311</v>
      </c>
      <c r="E273" s="367">
        <f t="shared" si="26"/>
        <v>1.3792264684627631E-2</v>
      </c>
      <c r="F273" s="371">
        <f t="shared" si="27"/>
        <v>3.3848582203049406E-2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220114</v>
      </c>
      <c r="D274" s="421">
        <f>LN_IA8+LN_IB10+LN_IF11+LN_IG6</f>
        <v>223555</v>
      </c>
      <c r="E274" s="442">
        <f t="shared" si="26"/>
        <v>3441</v>
      </c>
      <c r="F274" s="371">
        <f t="shared" si="27"/>
        <v>1.5632808453801213E-2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705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706</v>
      </c>
      <c r="C277" s="361">
        <f>C15+C188+C221</f>
        <v>884631093</v>
      </c>
      <c r="D277" s="361">
        <f>LN_IA1+LN_IF1+LN_IG1</f>
        <v>929172508</v>
      </c>
      <c r="E277" s="361">
        <f t="shared" ref="E277:E291" si="28">D277-C277</f>
        <v>44541415</v>
      </c>
      <c r="F277" s="415">
        <f t="shared" ref="F277:F291" si="29">IF(C277=0,0,E277/C277)</f>
        <v>5.0350270697527927E-2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707</v>
      </c>
      <c r="C278" s="361">
        <f>C16+C189+C222</f>
        <v>335608348</v>
      </c>
      <c r="D278" s="361">
        <f>LN_IA2+LN_IF2+LN_IG2</f>
        <v>347199475</v>
      </c>
      <c r="E278" s="361">
        <f t="shared" si="28"/>
        <v>11591127</v>
      </c>
      <c r="F278" s="415">
        <f t="shared" si="29"/>
        <v>3.4537659951176185E-2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708</v>
      </c>
      <c r="C279" s="366">
        <f>IF(C277=0,0,C278/C277)</f>
        <v>0.37937661320706029</v>
      </c>
      <c r="D279" s="366">
        <f>IF(D277=0,0,LN_IIB2/D277)</f>
        <v>0.37366524731487211</v>
      </c>
      <c r="E279" s="367">
        <f t="shared" si="28"/>
        <v>-5.7113658921881805E-3</v>
      </c>
      <c r="F279" s="371">
        <f t="shared" si="29"/>
        <v>-1.5054607198654518E-2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709</v>
      </c>
      <c r="C280" s="369">
        <f>C18+C191+C224</f>
        <v>25215</v>
      </c>
      <c r="D280" s="369">
        <f>LN_IA4+LN_IF4+LN_IG3</f>
        <v>25525</v>
      </c>
      <c r="E280" s="369">
        <f t="shared" si="28"/>
        <v>310</v>
      </c>
      <c r="F280" s="415">
        <f t="shared" si="29"/>
        <v>1.2294269284156256E-2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710</v>
      </c>
      <c r="C281" s="439">
        <f>IF(C280=0,0,C282/C280)</f>
        <v>1.5592776363275829</v>
      </c>
      <c r="D281" s="439">
        <f>IF(LN_IIB4=0,0,LN_IIB6/LN_IIB4)</f>
        <v>1.6112512242899117</v>
      </c>
      <c r="E281" s="439">
        <f t="shared" si="28"/>
        <v>5.1973587962328871E-2</v>
      </c>
      <c r="F281" s="415">
        <f t="shared" si="29"/>
        <v>3.3331836968262613E-2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711</v>
      </c>
      <c r="C282" s="376">
        <f>C20+C193+C226</f>
        <v>39317.185600000004</v>
      </c>
      <c r="D282" s="376">
        <f>LN_IA6+LN_IF6+LN_IG5</f>
        <v>41127.1875</v>
      </c>
      <c r="E282" s="376">
        <f t="shared" si="28"/>
        <v>1810.0018999999957</v>
      </c>
      <c r="F282" s="415">
        <f t="shared" si="29"/>
        <v>4.6035896831842296E-2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712</v>
      </c>
      <c r="C283" s="361">
        <f>C27+C203+C233</f>
        <v>297388568</v>
      </c>
      <c r="D283" s="361">
        <f>LN_IA11+LN_IF14+LN_IG9</f>
        <v>360319006</v>
      </c>
      <c r="E283" s="361">
        <f t="shared" si="28"/>
        <v>62930438</v>
      </c>
      <c r="F283" s="415">
        <f t="shared" si="29"/>
        <v>0.21161014501404776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713</v>
      </c>
      <c r="C284" s="366">
        <f>IF(C277=0,0,C283/C277)</f>
        <v>0.33617241170156337</v>
      </c>
      <c r="D284" s="366">
        <f>IF(D277=0,0,LN_IIB7/D277)</f>
        <v>0.38778483316899859</v>
      </c>
      <c r="E284" s="367">
        <f t="shared" si="28"/>
        <v>5.1612421467435221E-2</v>
      </c>
      <c r="F284" s="371">
        <f t="shared" si="29"/>
        <v>0.15352961656250985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714</v>
      </c>
      <c r="C285" s="361">
        <f>C28+C204+C234</f>
        <v>88222580</v>
      </c>
      <c r="D285" s="361">
        <f>LN_IA12+LN_IF15+LN_IG10</f>
        <v>110285203</v>
      </c>
      <c r="E285" s="361">
        <f t="shared" si="28"/>
        <v>22062623</v>
      </c>
      <c r="F285" s="415">
        <f t="shared" si="29"/>
        <v>0.25007909539711942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715</v>
      </c>
      <c r="C286" s="366">
        <f>IF(C283=0,0,C285/C283)</f>
        <v>0.29665760386592938</v>
      </c>
      <c r="D286" s="366">
        <f>IF(LN_IIB7=0,0,LN_IIB9/LN_IIB7)</f>
        <v>0.30607656316636267</v>
      </c>
      <c r="E286" s="367">
        <f t="shared" si="28"/>
        <v>9.4189593004332939E-3</v>
      </c>
      <c r="F286" s="371">
        <f t="shared" si="29"/>
        <v>3.1750270944310842E-2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716</v>
      </c>
      <c r="C287" s="353">
        <f>C277+C283</f>
        <v>1182019661</v>
      </c>
      <c r="D287" s="353">
        <f>D277+LN_IIB7</f>
        <v>1289491514</v>
      </c>
      <c r="E287" s="353">
        <f t="shared" si="28"/>
        <v>107471853</v>
      </c>
      <c r="F287" s="415">
        <f t="shared" si="29"/>
        <v>9.092222113215763E-2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717</v>
      </c>
      <c r="C288" s="353">
        <f>C278+C285</f>
        <v>423830928</v>
      </c>
      <c r="D288" s="353">
        <f>LN_IIB2+LN_IIB9</f>
        <v>457484678</v>
      </c>
      <c r="E288" s="353">
        <f t="shared" si="28"/>
        <v>33653750</v>
      </c>
      <c r="F288" s="415">
        <f t="shared" si="29"/>
        <v>7.9403714492492158E-2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718</v>
      </c>
      <c r="C289" s="366">
        <f>IF(C287=0,0,C288/C287)</f>
        <v>0.35856504082295465</v>
      </c>
      <c r="D289" s="366">
        <f>IF(LN_IIB11=0,0,LN_IIB12/LN_IIB11)</f>
        <v>0.35477913040380038</v>
      </c>
      <c r="E289" s="367">
        <f t="shared" si="28"/>
        <v>-3.7859104191542703E-3</v>
      </c>
      <c r="F289" s="371">
        <f t="shared" si="29"/>
        <v>-1.0558504003806674E-2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151744</v>
      </c>
      <c r="D290" s="421">
        <f>LN_IA8+LN_IF11+LN_IG6</f>
        <v>155852</v>
      </c>
      <c r="E290" s="442">
        <f t="shared" si="28"/>
        <v>4108</v>
      </c>
      <c r="F290" s="371">
        <f t="shared" si="29"/>
        <v>2.7071910586250528E-2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719</v>
      </c>
      <c r="C291" s="361">
        <f>C287-C288</f>
        <v>758188733</v>
      </c>
      <c r="D291" s="429">
        <f>LN_IIB11-LN_IIB12</f>
        <v>832006836</v>
      </c>
      <c r="E291" s="353">
        <f t="shared" si="28"/>
        <v>73818103</v>
      </c>
      <c r="F291" s="415">
        <f t="shared" si="29"/>
        <v>9.7361118395833501E-2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616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607</v>
      </c>
      <c r="C294" s="379">
        <f>IF(C18=0,0,C22/C18)</f>
        <v>6.4033124723433845</v>
      </c>
      <c r="D294" s="379">
        <f>IF(LN_IA4=0,0,LN_IA8/LN_IA4)</f>
        <v>6.5422602089268755</v>
      </c>
      <c r="E294" s="379">
        <f t="shared" ref="E294:E300" si="30">D294-C294</f>
        <v>0.13894773658349102</v>
      </c>
      <c r="F294" s="415">
        <f t="shared" ref="F294:F300" si="31">IF(C294=0,0,E294/C294)</f>
        <v>2.1699352824592223E-2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628</v>
      </c>
      <c r="C295" s="379">
        <f>IF(C45=0,0,C51/C45)</f>
        <v>4.2598130841121495</v>
      </c>
      <c r="D295" s="379">
        <f>IF(LN_IB4=0,0,(LN_IB10)/(LN_IB4))</f>
        <v>4.469139877219618</v>
      </c>
      <c r="E295" s="379">
        <f t="shared" si="30"/>
        <v>0.20932679310746849</v>
      </c>
      <c r="F295" s="415">
        <f t="shared" si="31"/>
        <v>4.913990097081862E-2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643</v>
      </c>
      <c r="C296" s="379">
        <f>IF(C86=0,0,C93/C86)</f>
        <v>4.2594202898550728</v>
      </c>
      <c r="D296" s="379">
        <f>IF(LN_IC4=0,0,LN_IC11/LN_IC4)</f>
        <v>5.5487465181058493</v>
      </c>
      <c r="E296" s="379">
        <f t="shared" si="30"/>
        <v>1.2893262282507765</v>
      </c>
      <c r="F296" s="415">
        <f t="shared" si="31"/>
        <v>0.30269993109664367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5.3068282216332197</v>
      </c>
      <c r="D297" s="379">
        <f>IF(LN_ID4=0,0,LN_ID11/LN_ID4)</f>
        <v>5.357353560893384</v>
      </c>
      <c r="E297" s="379">
        <f t="shared" si="30"/>
        <v>5.0525339260164337E-2</v>
      </c>
      <c r="F297" s="415">
        <f t="shared" si="31"/>
        <v>9.5208167948980169E-3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720</v>
      </c>
      <c r="C298" s="379">
        <f>IF(C156=0,0,C163/C156)</f>
        <v>5.7023718439173683</v>
      </c>
      <c r="D298" s="379">
        <f>IF(LN_IE4=0,0,LN_IE11/LN_IE4)</f>
        <v>0</v>
      </c>
      <c r="E298" s="379">
        <f t="shared" si="30"/>
        <v>-5.7023718439173683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5.7289156626506026</v>
      </c>
      <c r="D299" s="379">
        <f>IF(LN_IG3=0,0,LN_IG6/LN_IG3)</f>
        <v>6.9957983193277311</v>
      </c>
      <c r="E299" s="379">
        <f t="shared" si="30"/>
        <v>1.2668826566771285</v>
      </c>
      <c r="F299" s="415">
        <f t="shared" si="31"/>
        <v>0.22113829759032946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721</v>
      </c>
      <c r="C300" s="379">
        <f>IF(C264=0,0,C274/C264)</f>
        <v>5.3341572761420091</v>
      </c>
      <c r="D300" s="379">
        <f>IF(LN_IIA4=0,0,LN_IIA14/LN_IIA4)</f>
        <v>5.4962629689728084</v>
      </c>
      <c r="E300" s="379">
        <f t="shared" si="30"/>
        <v>0.16210569283079934</v>
      </c>
      <c r="F300" s="415">
        <f t="shared" si="31"/>
        <v>3.0390122457739782E-2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722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716</v>
      </c>
      <c r="C304" s="353">
        <f>C35+C66+C214+C221+C233</f>
        <v>1901719123</v>
      </c>
      <c r="D304" s="353">
        <f>LN_IIA11</f>
        <v>2049319284</v>
      </c>
      <c r="E304" s="353">
        <f t="shared" ref="E304:E316" si="32">D304-C304</f>
        <v>147600161</v>
      </c>
      <c r="F304" s="362">
        <f>IF(C304=0,0,E304/C304)</f>
        <v>7.7614069930136573E-2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719</v>
      </c>
      <c r="C305" s="353">
        <f>C291</f>
        <v>758188733</v>
      </c>
      <c r="D305" s="353">
        <f>LN_IIB14</f>
        <v>832006836</v>
      </c>
      <c r="E305" s="353">
        <f t="shared" si="32"/>
        <v>73818103</v>
      </c>
      <c r="F305" s="362">
        <f>IF(C305=0,0,E305/C305)</f>
        <v>9.7361118395833501E-2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723</v>
      </c>
      <c r="C306" s="353">
        <f>C250</f>
        <v>65331919</v>
      </c>
      <c r="D306" s="353">
        <f>LN_IH6</f>
        <v>31166192</v>
      </c>
      <c r="E306" s="353">
        <f t="shared" si="32"/>
        <v>-34165727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724</v>
      </c>
      <c r="C307" s="353">
        <f>C73-C74</f>
        <v>303305941</v>
      </c>
      <c r="D307" s="353">
        <f>LN_IB32-LN_IB33</f>
        <v>322846409</v>
      </c>
      <c r="E307" s="353">
        <f t="shared" si="32"/>
        <v>19540468</v>
      </c>
      <c r="F307" s="362">
        <f t="shared" ref="F307:F316" si="33">IF(C307=0,0,E307/C307)</f>
        <v>6.4424943130276496E-2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725</v>
      </c>
      <c r="C308" s="353">
        <v>12426593</v>
      </c>
      <c r="D308" s="353">
        <v>13830886</v>
      </c>
      <c r="E308" s="353">
        <f t="shared" si="32"/>
        <v>1404293</v>
      </c>
      <c r="F308" s="362">
        <f t="shared" si="33"/>
        <v>0.1130070808627916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726</v>
      </c>
      <c r="C309" s="353">
        <f>C305+C307+C308+C306</f>
        <v>1139253186</v>
      </c>
      <c r="D309" s="353">
        <f>LN_III2+LN_III3+LN_III4+LN_III5</f>
        <v>1199850323</v>
      </c>
      <c r="E309" s="353">
        <f t="shared" si="32"/>
        <v>60597137</v>
      </c>
      <c r="F309" s="362">
        <f t="shared" si="33"/>
        <v>5.3190228251861128E-2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727</v>
      </c>
      <c r="C310" s="353">
        <f>C304-C309</f>
        <v>762465937</v>
      </c>
      <c r="D310" s="353">
        <f>LN_III1-LN_III6</f>
        <v>849468961</v>
      </c>
      <c r="E310" s="353">
        <f t="shared" si="32"/>
        <v>87003024</v>
      </c>
      <c r="F310" s="362">
        <f t="shared" si="33"/>
        <v>0.11410742405401383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728</v>
      </c>
      <c r="C311" s="353">
        <f>C245</f>
        <v>3946217</v>
      </c>
      <c r="D311" s="353">
        <f>LN_IH3</f>
        <v>0</v>
      </c>
      <c r="E311" s="353">
        <f t="shared" si="32"/>
        <v>-3946217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729</v>
      </c>
      <c r="C312" s="353">
        <f>C310+C311</f>
        <v>766412154</v>
      </c>
      <c r="D312" s="353">
        <f>LN_III7+LN_III8</f>
        <v>849468961</v>
      </c>
      <c r="E312" s="353">
        <f t="shared" si="32"/>
        <v>83056807</v>
      </c>
      <c r="F312" s="362">
        <f t="shared" si="33"/>
        <v>0.10837094188357561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730</v>
      </c>
      <c r="C313" s="448">
        <f>IF(C304=0,0,C312/C304)</f>
        <v>0.40301017365328351</v>
      </c>
      <c r="D313" s="448">
        <f>IF(LN_III1=0,0,LN_III9/LN_III1)</f>
        <v>0.41451274461339621</v>
      </c>
      <c r="E313" s="448">
        <f t="shared" si="32"/>
        <v>1.1502570960112701E-2</v>
      </c>
      <c r="F313" s="362">
        <f t="shared" si="33"/>
        <v>2.8541639174619344E-2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688</v>
      </c>
      <c r="C314" s="353">
        <f>C306*C313</f>
        <v>26329428.021292251</v>
      </c>
      <c r="D314" s="353">
        <f>D313*LN_III5</f>
        <v>12918783.785068072</v>
      </c>
      <c r="E314" s="353">
        <f t="shared" si="32"/>
        <v>-13410644.236224178</v>
      </c>
      <c r="F314" s="362">
        <f t="shared" si="33"/>
        <v>-0.50934050771551787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691</v>
      </c>
      <c r="C315" s="353">
        <f>(C214*C313)-C215</f>
        <v>34386511.402994543</v>
      </c>
      <c r="D315" s="353">
        <f>D313*LN_IH8-LN_IH9</f>
        <v>43195547.228148997</v>
      </c>
      <c r="E315" s="353">
        <f t="shared" si="32"/>
        <v>8809035.8251544535</v>
      </c>
      <c r="F315" s="362">
        <f t="shared" si="33"/>
        <v>0.25617707251301219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731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732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733</v>
      </c>
      <c r="C318" s="353">
        <f>C314+C315+C316</f>
        <v>60715939.424286798</v>
      </c>
      <c r="D318" s="353">
        <f>D314+D315+D316</f>
        <v>56114331.013217069</v>
      </c>
      <c r="E318" s="353">
        <f>D318-C318</f>
        <v>-4601608.4110697284</v>
      </c>
      <c r="F318" s="362">
        <f>IF(C318=0,0,E318/C318)</f>
        <v>-7.5789133046487184E-2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734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28775912.150611885</v>
      </c>
      <c r="D322" s="353">
        <f>LN_ID22</f>
        <v>28345659.608048603</v>
      </c>
      <c r="E322" s="353">
        <f>LN_IV2-C322</f>
        <v>-430252.54256328195</v>
      </c>
      <c r="F322" s="362">
        <f>IF(C322=0,0,E322/C322)</f>
        <v>-1.4951829860730693E-2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720</v>
      </c>
      <c r="C323" s="353">
        <f>C162+C176</f>
        <v>12643306.646181852</v>
      </c>
      <c r="D323" s="353">
        <f>LN_IE10+LN_IE22</f>
        <v>0</v>
      </c>
      <c r="E323" s="353">
        <f>LN_IV3-C323</f>
        <v>-12643306.646181852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735</v>
      </c>
      <c r="C324" s="353">
        <f>C92+C106</f>
        <v>18840621.120453641</v>
      </c>
      <c r="D324" s="353">
        <f>LN_IC10+LN_IC22</f>
        <v>4027573.11417179</v>
      </c>
      <c r="E324" s="353">
        <f>LN_IV1-C324</f>
        <v>-14813048.006281851</v>
      </c>
      <c r="F324" s="362">
        <f>IF(C324=0,0,E324/C324)</f>
        <v>-0.78622928148587412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736</v>
      </c>
      <c r="C325" s="429">
        <f>C324+C322+C323</f>
        <v>60259839.917247377</v>
      </c>
      <c r="D325" s="429">
        <f>LN_IV1+LN_IV2+LN_IV3</f>
        <v>32373232.722220391</v>
      </c>
      <c r="E325" s="353">
        <f>LN_IV4-C325</f>
        <v>-27886607.195026986</v>
      </c>
      <c r="F325" s="362">
        <f>IF(C325=0,0,E325/C325)</f>
        <v>-0.46277267303269704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737</v>
      </c>
      <c r="B327" s="446" t="s">
        <v>738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739</v>
      </c>
      <c r="C329" s="431">
        <v>22538851</v>
      </c>
      <c r="D329" s="431">
        <v>24733408</v>
      </c>
      <c r="E329" s="431">
        <f t="shared" ref="E329:E335" si="34">D329-C329</f>
        <v>2194557</v>
      </c>
      <c r="F329" s="462">
        <f t="shared" ref="F329:F335" si="35">IF(C329=0,0,E329/C329)</f>
        <v>9.7367740706924236E-2</v>
      </c>
    </row>
    <row r="330" spans="1:22" s="333" customFormat="1" ht="11.25" customHeight="1" x14ac:dyDescent="0.2">
      <c r="A330" s="364">
        <v>2</v>
      </c>
      <c r="B330" s="360" t="s">
        <v>740</v>
      </c>
      <c r="C330" s="429">
        <v>22154628</v>
      </c>
      <c r="D330" s="429">
        <v>-9340569</v>
      </c>
      <c r="E330" s="431">
        <f t="shared" si="34"/>
        <v>-31495197</v>
      </c>
      <c r="F330" s="463">
        <f t="shared" si="35"/>
        <v>-1.4216080270000471</v>
      </c>
    </row>
    <row r="331" spans="1:22" s="333" customFormat="1" ht="11.25" customHeight="1" x14ac:dyDescent="0.2">
      <c r="A331" s="339">
        <v>3</v>
      </c>
      <c r="B331" s="360" t="s">
        <v>741</v>
      </c>
      <c r="C331" s="429">
        <v>800993375</v>
      </c>
      <c r="D331" s="429">
        <v>853959278</v>
      </c>
      <c r="E331" s="431">
        <f t="shared" si="34"/>
        <v>52965903</v>
      </c>
      <c r="F331" s="462">
        <f t="shared" si="35"/>
        <v>6.6125269762686859E-2</v>
      </c>
    </row>
    <row r="332" spans="1:22" s="333" customFormat="1" ht="11.25" customHeight="1" x14ac:dyDescent="0.2">
      <c r="A332" s="364">
        <v>4</v>
      </c>
      <c r="B332" s="360" t="s">
        <v>742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743</v>
      </c>
      <c r="C333" s="429">
        <v>1901719123</v>
      </c>
      <c r="D333" s="429">
        <v>2049319284</v>
      </c>
      <c r="E333" s="431">
        <f t="shared" si="34"/>
        <v>147600161</v>
      </c>
      <c r="F333" s="462">
        <f t="shared" si="35"/>
        <v>7.7614069930136573E-2</v>
      </c>
    </row>
    <row r="334" spans="1:22" s="333" customFormat="1" ht="11.25" customHeight="1" x14ac:dyDescent="0.2">
      <c r="A334" s="339">
        <v>6</v>
      </c>
      <c r="B334" s="360" t="s">
        <v>744</v>
      </c>
      <c r="C334" s="429">
        <v>2296537</v>
      </c>
      <c r="D334" s="429">
        <v>2112198</v>
      </c>
      <c r="E334" s="429">
        <f t="shared" si="34"/>
        <v>-184339</v>
      </c>
      <c r="F334" s="463">
        <f t="shared" si="35"/>
        <v>-8.0268247365489862E-2</v>
      </c>
    </row>
    <row r="335" spans="1:22" s="333" customFormat="1" ht="11.25" customHeight="1" x14ac:dyDescent="0.2">
      <c r="A335" s="364">
        <v>7</v>
      </c>
      <c r="B335" s="360" t="s">
        <v>745</v>
      </c>
      <c r="C335" s="429">
        <v>67628456</v>
      </c>
      <c r="D335" s="429">
        <v>33278390</v>
      </c>
      <c r="E335" s="429">
        <f t="shared" si="34"/>
        <v>-34350066</v>
      </c>
      <c r="F335" s="462">
        <f t="shared" si="35"/>
        <v>-0.50792326236163077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FILING&amp;RHARTFORD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598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746</v>
      </c>
      <c r="B5" s="710"/>
      <c r="C5" s="710"/>
      <c r="D5" s="710"/>
      <c r="E5" s="710"/>
    </row>
    <row r="6" spans="1:5" s="338" customFormat="1" ht="15.75" customHeight="1" x14ac:dyDescent="0.25">
      <c r="A6" s="710" t="s">
        <v>747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748</v>
      </c>
      <c r="D9" s="494" t="s">
        <v>749</v>
      </c>
      <c r="E9" s="495" t="s">
        <v>750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751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752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628</v>
      </c>
      <c r="C14" s="513">
        <v>439060292</v>
      </c>
      <c r="D14" s="513">
        <v>448848221</v>
      </c>
      <c r="E14" s="514">
        <f t="shared" ref="E14:E22" si="0">D14-C14</f>
        <v>9787929</v>
      </c>
    </row>
    <row r="15" spans="1:5" s="506" customFormat="1" x14ac:dyDescent="0.2">
      <c r="A15" s="512">
        <v>2</v>
      </c>
      <c r="B15" s="511" t="s">
        <v>607</v>
      </c>
      <c r="C15" s="513">
        <v>655024798</v>
      </c>
      <c r="D15" s="515">
        <v>672572624</v>
      </c>
      <c r="E15" s="514">
        <f t="shared" si="0"/>
        <v>17547826</v>
      </c>
    </row>
    <row r="16" spans="1:5" s="506" customFormat="1" x14ac:dyDescent="0.2">
      <c r="A16" s="512">
        <v>3</v>
      </c>
      <c r="B16" s="511" t="s">
        <v>753</v>
      </c>
      <c r="C16" s="513">
        <v>224815172</v>
      </c>
      <c r="D16" s="515">
        <v>247961574</v>
      </c>
      <c r="E16" s="514">
        <f t="shared" si="0"/>
        <v>23146402</v>
      </c>
    </row>
    <row r="17" spans="1:5" s="506" customFormat="1" x14ac:dyDescent="0.2">
      <c r="A17" s="512">
        <v>4</v>
      </c>
      <c r="B17" s="511" t="s">
        <v>114</v>
      </c>
      <c r="C17" s="513">
        <v>197558048</v>
      </c>
      <c r="D17" s="515">
        <v>247961574</v>
      </c>
      <c r="E17" s="514">
        <f t="shared" si="0"/>
        <v>50403526</v>
      </c>
    </row>
    <row r="18" spans="1:5" s="506" customFormat="1" x14ac:dyDescent="0.2">
      <c r="A18" s="512">
        <v>5</v>
      </c>
      <c r="B18" s="511" t="s">
        <v>720</v>
      </c>
      <c r="C18" s="513">
        <v>27257124</v>
      </c>
      <c r="D18" s="515">
        <v>0</v>
      </c>
      <c r="E18" s="514">
        <f t="shared" si="0"/>
        <v>-27257124</v>
      </c>
    </row>
    <row r="19" spans="1:5" s="506" customFormat="1" x14ac:dyDescent="0.2">
      <c r="A19" s="512">
        <v>6</v>
      </c>
      <c r="B19" s="511" t="s">
        <v>418</v>
      </c>
      <c r="C19" s="513">
        <v>4791123</v>
      </c>
      <c r="D19" s="515">
        <v>8638310</v>
      </c>
      <c r="E19" s="514">
        <f t="shared" si="0"/>
        <v>3847187</v>
      </c>
    </row>
    <row r="20" spans="1:5" s="506" customFormat="1" x14ac:dyDescent="0.2">
      <c r="A20" s="512">
        <v>7</v>
      </c>
      <c r="B20" s="511" t="s">
        <v>735</v>
      </c>
      <c r="C20" s="513">
        <v>19801383</v>
      </c>
      <c r="D20" s="515">
        <v>13165053</v>
      </c>
      <c r="E20" s="514">
        <f t="shared" si="0"/>
        <v>-6636330</v>
      </c>
    </row>
    <row r="21" spans="1:5" s="506" customFormat="1" x14ac:dyDescent="0.2">
      <c r="A21" s="512"/>
      <c r="B21" s="516" t="s">
        <v>754</v>
      </c>
      <c r="C21" s="517">
        <f>SUM(C15+C16+C19)</f>
        <v>884631093</v>
      </c>
      <c r="D21" s="517">
        <f>SUM(D15+D16+D19)</f>
        <v>929172508</v>
      </c>
      <c r="E21" s="517">
        <f t="shared" si="0"/>
        <v>44541415</v>
      </c>
    </row>
    <row r="22" spans="1:5" s="506" customFormat="1" x14ac:dyDescent="0.2">
      <c r="A22" s="512"/>
      <c r="B22" s="516" t="s">
        <v>694</v>
      </c>
      <c r="C22" s="517">
        <f>SUM(C14+C21)</f>
        <v>1323691385</v>
      </c>
      <c r="D22" s="517">
        <f>SUM(D14+D21)</f>
        <v>1378020729</v>
      </c>
      <c r="E22" s="517">
        <f t="shared" si="0"/>
        <v>54329344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755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628</v>
      </c>
      <c r="C25" s="513">
        <v>280639170</v>
      </c>
      <c r="D25" s="513">
        <v>310979549</v>
      </c>
      <c r="E25" s="514">
        <f t="shared" ref="E25:E33" si="1">D25-C25</f>
        <v>30340379</v>
      </c>
    </row>
    <row r="26" spans="1:5" s="506" customFormat="1" x14ac:dyDescent="0.2">
      <c r="A26" s="512">
        <v>2</v>
      </c>
      <c r="B26" s="511" t="s">
        <v>607</v>
      </c>
      <c r="C26" s="513">
        <v>186830085</v>
      </c>
      <c r="D26" s="515">
        <v>226612897</v>
      </c>
      <c r="E26" s="514">
        <f t="shared" si="1"/>
        <v>39782812</v>
      </c>
    </row>
    <row r="27" spans="1:5" s="506" customFormat="1" x14ac:dyDescent="0.2">
      <c r="A27" s="512">
        <v>3</v>
      </c>
      <c r="B27" s="511" t="s">
        <v>753</v>
      </c>
      <c r="C27" s="513">
        <v>108241096</v>
      </c>
      <c r="D27" s="515">
        <v>131648815</v>
      </c>
      <c r="E27" s="514">
        <f t="shared" si="1"/>
        <v>23407719</v>
      </c>
    </row>
    <row r="28" spans="1:5" s="506" customFormat="1" x14ac:dyDescent="0.2">
      <c r="A28" s="512">
        <v>4</v>
      </c>
      <c r="B28" s="511" t="s">
        <v>114</v>
      </c>
      <c r="C28" s="513">
        <v>96206878</v>
      </c>
      <c r="D28" s="515">
        <v>131648815</v>
      </c>
      <c r="E28" s="514">
        <f t="shared" si="1"/>
        <v>35441937</v>
      </c>
    </row>
    <row r="29" spans="1:5" s="506" customFormat="1" x14ac:dyDescent="0.2">
      <c r="A29" s="512">
        <v>5</v>
      </c>
      <c r="B29" s="511" t="s">
        <v>720</v>
      </c>
      <c r="C29" s="513">
        <v>12034218</v>
      </c>
      <c r="D29" s="515">
        <v>0</v>
      </c>
      <c r="E29" s="514">
        <f t="shared" si="1"/>
        <v>-12034218</v>
      </c>
    </row>
    <row r="30" spans="1:5" s="506" customFormat="1" x14ac:dyDescent="0.2">
      <c r="A30" s="512">
        <v>6</v>
      </c>
      <c r="B30" s="511" t="s">
        <v>418</v>
      </c>
      <c r="C30" s="513">
        <v>2317387</v>
      </c>
      <c r="D30" s="515">
        <v>2057294</v>
      </c>
      <c r="E30" s="514">
        <f t="shared" si="1"/>
        <v>-260093</v>
      </c>
    </row>
    <row r="31" spans="1:5" s="506" customFormat="1" x14ac:dyDescent="0.2">
      <c r="A31" s="512">
        <v>7</v>
      </c>
      <c r="B31" s="511" t="s">
        <v>735</v>
      </c>
      <c r="C31" s="514">
        <v>27329396</v>
      </c>
      <c r="D31" s="518">
        <v>25660622</v>
      </c>
      <c r="E31" s="514">
        <f t="shared" si="1"/>
        <v>-1668774</v>
      </c>
    </row>
    <row r="32" spans="1:5" s="506" customFormat="1" x14ac:dyDescent="0.2">
      <c r="A32" s="512"/>
      <c r="B32" s="516" t="s">
        <v>756</v>
      </c>
      <c r="C32" s="517">
        <f>SUM(C26+C27+C30)</f>
        <v>297388568</v>
      </c>
      <c r="D32" s="517">
        <f>SUM(D26+D27+D30)</f>
        <v>360319006</v>
      </c>
      <c r="E32" s="517">
        <f t="shared" si="1"/>
        <v>62930438</v>
      </c>
    </row>
    <row r="33" spans="1:5" s="506" customFormat="1" x14ac:dyDescent="0.2">
      <c r="A33" s="512"/>
      <c r="B33" s="516" t="s">
        <v>700</v>
      </c>
      <c r="C33" s="517">
        <f>SUM(C25+C32)</f>
        <v>578027738</v>
      </c>
      <c r="D33" s="517">
        <f>SUM(D25+D32)</f>
        <v>671298555</v>
      </c>
      <c r="E33" s="517">
        <f t="shared" si="1"/>
        <v>93270817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625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757</v>
      </c>
      <c r="C36" s="514">
        <f t="shared" ref="C36:D42" si="2">C14+C25</f>
        <v>719699462</v>
      </c>
      <c r="D36" s="514">
        <f t="shared" si="2"/>
        <v>759827770</v>
      </c>
      <c r="E36" s="514">
        <f t="shared" ref="E36:E44" si="3">D36-C36</f>
        <v>40128308</v>
      </c>
    </row>
    <row r="37" spans="1:5" s="506" customFormat="1" x14ac:dyDescent="0.2">
      <c r="A37" s="512">
        <v>2</v>
      </c>
      <c r="B37" s="511" t="s">
        <v>758</v>
      </c>
      <c r="C37" s="514">
        <f t="shared" si="2"/>
        <v>841854883</v>
      </c>
      <c r="D37" s="514">
        <f t="shared" si="2"/>
        <v>899185521</v>
      </c>
      <c r="E37" s="514">
        <f t="shared" si="3"/>
        <v>57330638</v>
      </c>
    </row>
    <row r="38" spans="1:5" s="506" customFormat="1" x14ac:dyDescent="0.2">
      <c r="A38" s="512">
        <v>3</v>
      </c>
      <c r="B38" s="511" t="s">
        <v>759</v>
      </c>
      <c r="C38" s="514">
        <f t="shared" si="2"/>
        <v>333056268</v>
      </c>
      <c r="D38" s="514">
        <f t="shared" si="2"/>
        <v>379610389</v>
      </c>
      <c r="E38" s="514">
        <f t="shared" si="3"/>
        <v>46554121</v>
      </c>
    </row>
    <row r="39" spans="1:5" s="506" customFormat="1" x14ac:dyDescent="0.2">
      <c r="A39" s="512">
        <v>4</v>
      </c>
      <c r="B39" s="511" t="s">
        <v>760</v>
      </c>
      <c r="C39" s="514">
        <f t="shared" si="2"/>
        <v>293764926</v>
      </c>
      <c r="D39" s="514">
        <f t="shared" si="2"/>
        <v>379610389</v>
      </c>
      <c r="E39" s="514">
        <f t="shared" si="3"/>
        <v>85845463</v>
      </c>
    </row>
    <row r="40" spans="1:5" s="506" customFormat="1" x14ac:dyDescent="0.2">
      <c r="A40" s="512">
        <v>5</v>
      </c>
      <c r="B40" s="511" t="s">
        <v>761</v>
      </c>
      <c r="C40" s="514">
        <f t="shared" si="2"/>
        <v>39291342</v>
      </c>
      <c r="D40" s="514">
        <f t="shared" si="2"/>
        <v>0</v>
      </c>
      <c r="E40" s="514">
        <f t="shared" si="3"/>
        <v>-39291342</v>
      </c>
    </row>
    <row r="41" spans="1:5" s="506" customFormat="1" x14ac:dyDescent="0.2">
      <c r="A41" s="512">
        <v>6</v>
      </c>
      <c r="B41" s="511" t="s">
        <v>762</v>
      </c>
      <c r="C41" s="514">
        <f t="shared" si="2"/>
        <v>7108510</v>
      </c>
      <c r="D41" s="514">
        <f t="shared" si="2"/>
        <v>10695604</v>
      </c>
      <c r="E41" s="514">
        <f t="shared" si="3"/>
        <v>3587094</v>
      </c>
    </row>
    <row r="42" spans="1:5" s="506" customFormat="1" x14ac:dyDescent="0.2">
      <c r="A42" s="512">
        <v>7</v>
      </c>
      <c r="B42" s="511" t="s">
        <v>763</v>
      </c>
      <c r="C42" s="514">
        <f t="shared" si="2"/>
        <v>47130779</v>
      </c>
      <c r="D42" s="514">
        <f t="shared" si="2"/>
        <v>38825675</v>
      </c>
      <c r="E42" s="514">
        <f t="shared" si="3"/>
        <v>-8305104</v>
      </c>
    </row>
    <row r="43" spans="1:5" s="506" customFormat="1" x14ac:dyDescent="0.2">
      <c r="A43" s="512"/>
      <c r="B43" s="516" t="s">
        <v>764</v>
      </c>
      <c r="C43" s="517">
        <f>SUM(C37+C38+C41)</f>
        <v>1182019661</v>
      </c>
      <c r="D43" s="517">
        <f>SUM(D37+D38+D41)</f>
        <v>1289491514</v>
      </c>
      <c r="E43" s="517">
        <f t="shared" si="3"/>
        <v>107471853</v>
      </c>
    </row>
    <row r="44" spans="1:5" s="506" customFormat="1" x14ac:dyDescent="0.2">
      <c r="A44" s="512"/>
      <c r="B44" s="516" t="s">
        <v>702</v>
      </c>
      <c r="C44" s="517">
        <f>SUM(C36+C43)</f>
        <v>1901719123</v>
      </c>
      <c r="D44" s="517">
        <f>SUM(D36+D43)</f>
        <v>2049319284</v>
      </c>
      <c r="E44" s="517">
        <f t="shared" si="3"/>
        <v>147600161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765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628</v>
      </c>
      <c r="C47" s="513">
        <v>218469522</v>
      </c>
      <c r="D47" s="513">
        <v>245692489</v>
      </c>
      <c r="E47" s="514">
        <f t="shared" ref="E47:E55" si="4">D47-C47</f>
        <v>27222967</v>
      </c>
    </row>
    <row r="48" spans="1:5" s="506" customFormat="1" x14ac:dyDescent="0.2">
      <c r="A48" s="512">
        <v>2</v>
      </c>
      <c r="B48" s="511" t="s">
        <v>607</v>
      </c>
      <c r="C48" s="513">
        <v>260942379</v>
      </c>
      <c r="D48" s="515">
        <v>268673534</v>
      </c>
      <c r="E48" s="514">
        <f t="shared" si="4"/>
        <v>7731155</v>
      </c>
    </row>
    <row r="49" spans="1:5" s="506" customFormat="1" x14ac:dyDescent="0.2">
      <c r="A49" s="512">
        <v>3</v>
      </c>
      <c r="B49" s="511" t="s">
        <v>753</v>
      </c>
      <c r="C49" s="513">
        <v>73768006</v>
      </c>
      <c r="D49" s="515">
        <v>75495802</v>
      </c>
      <c r="E49" s="514">
        <f t="shared" si="4"/>
        <v>1727796</v>
      </c>
    </row>
    <row r="50" spans="1:5" s="506" customFormat="1" x14ac:dyDescent="0.2">
      <c r="A50" s="512">
        <v>4</v>
      </c>
      <c r="B50" s="511" t="s">
        <v>114</v>
      </c>
      <c r="C50" s="513">
        <v>66489002</v>
      </c>
      <c r="D50" s="515">
        <v>75495802</v>
      </c>
      <c r="E50" s="514">
        <f t="shared" si="4"/>
        <v>9006800</v>
      </c>
    </row>
    <row r="51" spans="1:5" s="506" customFormat="1" x14ac:dyDescent="0.2">
      <c r="A51" s="512">
        <v>5</v>
      </c>
      <c r="B51" s="511" t="s">
        <v>720</v>
      </c>
      <c r="C51" s="513">
        <v>7279004</v>
      </c>
      <c r="D51" s="515">
        <v>0</v>
      </c>
      <c r="E51" s="514">
        <f t="shared" si="4"/>
        <v>-7279004</v>
      </c>
    </row>
    <row r="52" spans="1:5" s="506" customFormat="1" x14ac:dyDescent="0.2">
      <c r="A52" s="512">
        <v>6</v>
      </c>
      <c r="B52" s="511" t="s">
        <v>418</v>
      </c>
      <c r="C52" s="513">
        <v>897963</v>
      </c>
      <c r="D52" s="515">
        <v>3030139</v>
      </c>
      <c r="E52" s="514">
        <f t="shared" si="4"/>
        <v>2132176</v>
      </c>
    </row>
    <row r="53" spans="1:5" s="506" customFormat="1" x14ac:dyDescent="0.2">
      <c r="A53" s="512">
        <v>7</v>
      </c>
      <c r="B53" s="511" t="s">
        <v>735</v>
      </c>
      <c r="C53" s="513">
        <v>1057043</v>
      </c>
      <c r="D53" s="515">
        <v>3336937</v>
      </c>
      <c r="E53" s="514">
        <f t="shared" si="4"/>
        <v>2279894</v>
      </c>
    </row>
    <row r="54" spans="1:5" s="506" customFormat="1" x14ac:dyDescent="0.2">
      <c r="A54" s="512"/>
      <c r="B54" s="516" t="s">
        <v>766</v>
      </c>
      <c r="C54" s="517">
        <f>SUM(C48+C49+C52)</f>
        <v>335608348</v>
      </c>
      <c r="D54" s="517">
        <f>SUM(D48+D49+D52)</f>
        <v>347199475</v>
      </c>
      <c r="E54" s="517">
        <f t="shared" si="4"/>
        <v>11591127</v>
      </c>
    </row>
    <row r="55" spans="1:5" s="506" customFormat="1" x14ac:dyDescent="0.2">
      <c r="A55" s="512"/>
      <c r="B55" s="516" t="s">
        <v>695</v>
      </c>
      <c r="C55" s="517">
        <f>SUM(C47+C54)</f>
        <v>554077870</v>
      </c>
      <c r="D55" s="517">
        <f>SUM(D47+D54)</f>
        <v>592891964</v>
      </c>
      <c r="E55" s="517">
        <f t="shared" si="4"/>
        <v>38814094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767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628</v>
      </c>
      <c r="C58" s="513">
        <v>132592080</v>
      </c>
      <c r="D58" s="513">
        <v>160122680</v>
      </c>
      <c r="E58" s="514">
        <f t="shared" ref="E58:E66" si="5">D58-C58</f>
        <v>27530600</v>
      </c>
    </row>
    <row r="59" spans="1:5" s="506" customFormat="1" x14ac:dyDescent="0.2">
      <c r="A59" s="512">
        <v>2</v>
      </c>
      <c r="B59" s="511" t="s">
        <v>607</v>
      </c>
      <c r="C59" s="513">
        <v>61060113</v>
      </c>
      <c r="D59" s="515">
        <v>70761851</v>
      </c>
      <c r="E59" s="514">
        <f t="shared" si="5"/>
        <v>9701738</v>
      </c>
    </row>
    <row r="60" spans="1:5" s="506" customFormat="1" x14ac:dyDescent="0.2">
      <c r="A60" s="512">
        <v>3</v>
      </c>
      <c r="B60" s="511" t="s">
        <v>753</v>
      </c>
      <c r="C60" s="513">
        <f>C61+C62</f>
        <v>26070547</v>
      </c>
      <c r="D60" s="515">
        <f>D61+D62</f>
        <v>38661995</v>
      </c>
      <c r="E60" s="514">
        <f t="shared" si="5"/>
        <v>12591448</v>
      </c>
    </row>
    <row r="61" spans="1:5" s="506" customFormat="1" x14ac:dyDescent="0.2">
      <c r="A61" s="512">
        <v>4</v>
      </c>
      <c r="B61" s="511" t="s">
        <v>114</v>
      </c>
      <c r="C61" s="513">
        <v>23438520</v>
      </c>
      <c r="D61" s="515">
        <v>38661995</v>
      </c>
      <c r="E61" s="514">
        <f t="shared" si="5"/>
        <v>15223475</v>
      </c>
    </row>
    <row r="62" spans="1:5" s="506" customFormat="1" x14ac:dyDescent="0.2">
      <c r="A62" s="512">
        <v>5</v>
      </c>
      <c r="B62" s="511" t="s">
        <v>720</v>
      </c>
      <c r="C62" s="513">
        <v>2632027</v>
      </c>
      <c r="D62" s="515">
        <v>0</v>
      </c>
      <c r="E62" s="514">
        <f t="shared" si="5"/>
        <v>-2632027</v>
      </c>
    </row>
    <row r="63" spans="1:5" s="506" customFormat="1" x14ac:dyDescent="0.2">
      <c r="A63" s="512">
        <v>6</v>
      </c>
      <c r="B63" s="511" t="s">
        <v>418</v>
      </c>
      <c r="C63" s="513">
        <v>1091920</v>
      </c>
      <c r="D63" s="515">
        <v>861357</v>
      </c>
      <c r="E63" s="514">
        <f t="shared" si="5"/>
        <v>-230563</v>
      </c>
    </row>
    <row r="64" spans="1:5" s="506" customFormat="1" x14ac:dyDescent="0.2">
      <c r="A64" s="512">
        <v>7</v>
      </c>
      <c r="B64" s="511" t="s">
        <v>735</v>
      </c>
      <c r="C64" s="513">
        <v>1458906</v>
      </c>
      <c r="D64" s="515">
        <v>6504178</v>
      </c>
      <c r="E64" s="514">
        <f t="shared" si="5"/>
        <v>5045272</v>
      </c>
    </row>
    <row r="65" spans="1:5" s="506" customFormat="1" x14ac:dyDescent="0.2">
      <c r="A65" s="512"/>
      <c r="B65" s="516" t="s">
        <v>768</v>
      </c>
      <c r="C65" s="517">
        <f>SUM(C59+C60+C63)</f>
        <v>88222580</v>
      </c>
      <c r="D65" s="517">
        <f>SUM(D59+D60+D63)</f>
        <v>110285203</v>
      </c>
      <c r="E65" s="517">
        <f t="shared" si="5"/>
        <v>22062623</v>
      </c>
    </row>
    <row r="66" spans="1:5" s="506" customFormat="1" x14ac:dyDescent="0.2">
      <c r="A66" s="512"/>
      <c r="B66" s="516" t="s">
        <v>701</v>
      </c>
      <c r="C66" s="517">
        <f>SUM(C58+C65)</f>
        <v>220814660</v>
      </c>
      <c r="D66" s="517">
        <f>SUM(D58+D65)</f>
        <v>270407883</v>
      </c>
      <c r="E66" s="517">
        <f t="shared" si="5"/>
        <v>49593223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626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757</v>
      </c>
      <c r="C69" s="514">
        <f t="shared" ref="C69:D75" si="6">C47+C58</f>
        <v>351061602</v>
      </c>
      <c r="D69" s="514">
        <f t="shared" si="6"/>
        <v>405815169</v>
      </c>
      <c r="E69" s="514">
        <f t="shared" ref="E69:E77" si="7">D69-C69</f>
        <v>54753567</v>
      </c>
    </row>
    <row r="70" spans="1:5" s="506" customFormat="1" x14ac:dyDescent="0.2">
      <c r="A70" s="512">
        <v>2</v>
      </c>
      <c r="B70" s="511" t="s">
        <v>758</v>
      </c>
      <c r="C70" s="514">
        <f t="shared" si="6"/>
        <v>322002492</v>
      </c>
      <c r="D70" s="514">
        <f t="shared" si="6"/>
        <v>339435385</v>
      </c>
      <c r="E70" s="514">
        <f t="shared" si="7"/>
        <v>17432893</v>
      </c>
    </row>
    <row r="71" spans="1:5" s="506" customFormat="1" x14ac:dyDescent="0.2">
      <c r="A71" s="512">
        <v>3</v>
      </c>
      <c r="B71" s="511" t="s">
        <v>759</v>
      </c>
      <c r="C71" s="514">
        <f t="shared" si="6"/>
        <v>99838553</v>
      </c>
      <c r="D71" s="514">
        <f t="shared" si="6"/>
        <v>114157797</v>
      </c>
      <c r="E71" s="514">
        <f t="shared" si="7"/>
        <v>14319244</v>
      </c>
    </row>
    <row r="72" spans="1:5" s="506" customFormat="1" x14ac:dyDescent="0.2">
      <c r="A72" s="512">
        <v>4</v>
      </c>
      <c r="B72" s="511" t="s">
        <v>760</v>
      </c>
      <c r="C72" s="514">
        <f t="shared" si="6"/>
        <v>89927522</v>
      </c>
      <c r="D72" s="514">
        <f t="shared" si="6"/>
        <v>114157797</v>
      </c>
      <c r="E72" s="514">
        <f t="shared" si="7"/>
        <v>24230275</v>
      </c>
    </row>
    <row r="73" spans="1:5" s="506" customFormat="1" x14ac:dyDescent="0.2">
      <c r="A73" s="512">
        <v>5</v>
      </c>
      <c r="B73" s="511" t="s">
        <v>761</v>
      </c>
      <c r="C73" s="514">
        <f t="shared" si="6"/>
        <v>9911031</v>
      </c>
      <c r="D73" s="514">
        <f t="shared" si="6"/>
        <v>0</v>
      </c>
      <c r="E73" s="514">
        <f t="shared" si="7"/>
        <v>-9911031</v>
      </c>
    </row>
    <row r="74" spans="1:5" s="506" customFormat="1" x14ac:dyDescent="0.2">
      <c r="A74" s="512">
        <v>6</v>
      </c>
      <c r="B74" s="511" t="s">
        <v>762</v>
      </c>
      <c r="C74" s="514">
        <f t="shared" si="6"/>
        <v>1989883</v>
      </c>
      <c r="D74" s="514">
        <f t="shared" si="6"/>
        <v>3891496</v>
      </c>
      <c r="E74" s="514">
        <f t="shared" si="7"/>
        <v>1901613</v>
      </c>
    </row>
    <row r="75" spans="1:5" s="506" customFormat="1" x14ac:dyDescent="0.2">
      <c r="A75" s="512">
        <v>7</v>
      </c>
      <c r="B75" s="511" t="s">
        <v>763</v>
      </c>
      <c r="C75" s="514">
        <f t="shared" si="6"/>
        <v>2515949</v>
      </c>
      <c r="D75" s="514">
        <f t="shared" si="6"/>
        <v>9841115</v>
      </c>
      <c r="E75" s="514">
        <f t="shared" si="7"/>
        <v>7325166</v>
      </c>
    </row>
    <row r="76" spans="1:5" s="506" customFormat="1" x14ac:dyDescent="0.2">
      <c r="A76" s="512"/>
      <c r="B76" s="516" t="s">
        <v>769</v>
      </c>
      <c r="C76" s="517">
        <f>SUM(C70+C71+C74)</f>
        <v>423830928</v>
      </c>
      <c r="D76" s="517">
        <f>SUM(D70+D71+D74)</f>
        <v>457484678</v>
      </c>
      <c r="E76" s="517">
        <f t="shared" si="7"/>
        <v>33653750</v>
      </c>
    </row>
    <row r="77" spans="1:5" s="506" customFormat="1" x14ac:dyDescent="0.2">
      <c r="A77" s="512"/>
      <c r="B77" s="516" t="s">
        <v>703</v>
      </c>
      <c r="C77" s="517">
        <f>SUM(C69+C76)</f>
        <v>774892530</v>
      </c>
      <c r="D77" s="517">
        <f>SUM(D69+D76)</f>
        <v>863299847</v>
      </c>
      <c r="E77" s="517">
        <f t="shared" si="7"/>
        <v>88407317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770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771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628</v>
      </c>
      <c r="C83" s="523">
        <f t="shared" ref="C83:D89" si="8">IF(C$44=0,0,C14/C$44)</f>
        <v>0.23087546772279052</v>
      </c>
      <c r="D83" s="523">
        <f t="shared" si="8"/>
        <v>0.2190230797632996</v>
      </c>
      <c r="E83" s="523">
        <f t="shared" ref="E83:E91" si="9">D83-C83</f>
        <v>-1.1852387959490923E-2</v>
      </c>
    </row>
    <row r="84" spans="1:5" s="506" customFormat="1" x14ac:dyDescent="0.2">
      <c r="A84" s="512">
        <v>2</v>
      </c>
      <c r="B84" s="511" t="s">
        <v>607</v>
      </c>
      <c r="C84" s="523">
        <f t="shared" si="8"/>
        <v>0.34443824541590834</v>
      </c>
      <c r="D84" s="523">
        <f t="shared" si="8"/>
        <v>0.3281931855377983</v>
      </c>
      <c r="E84" s="523">
        <f t="shared" si="9"/>
        <v>-1.6245059878110035E-2</v>
      </c>
    </row>
    <row r="85" spans="1:5" s="506" customFormat="1" x14ac:dyDescent="0.2">
      <c r="A85" s="512">
        <v>3</v>
      </c>
      <c r="B85" s="511" t="s">
        <v>753</v>
      </c>
      <c r="C85" s="523">
        <f t="shared" si="8"/>
        <v>0.11821681197870565</v>
      </c>
      <c r="D85" s="523">
        <f t="shared" si="8"/>
        <v>0.12099704323086827</v>
      </c>
      <c r="E85" s="523">
        <f t="shared" si="9"/>
        <v>2.7802312521626182E-3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0.10388392566003554</v>
      </c>
      <c r="D86" s="523">
        <f t="shared" si="8"/>
        <v>0.12099704323086827</v>
      </c>
      <c r="E86" s="523">
        <f t="shared" si="9"/>
        <v>1.7113117570832725E-2</v>
      </c>
    </row>
    <row r="87" spans="1:5" s="506" customFormat="1" x14ac:dyDescent="0.2">
      <c r="A87" s="512">
        <v>5</v>
      </c>
      <c r="B87" s="511" t="s">
        <v>720</v>
      </c>
      <c r="C87" s="523">
        <f t="shared" si="8"/>
        <v>1.43328863186701E-2</v>
      </c>
      <c r="D87" s="523">
        <f t="shared" si="8"/>
        <v>0</v>
      </c>
      <c r="E87" s="523">
        <f t="shared" si="9"/>
        <v>-1.43328863186701E-2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2.5193641595410302E-3</v>
      </c>
      <c r="D88" s="523">
        <f t="shared" si="8"/>
        <v>4.2152094441521883E-3</v>
      </c>
      <c r="E88" s="523">
        <f t="shared" si="9"/>
        <v>1.6958452846111581E-3</v>
      </c>
    </row>
    <row r="89" spans="1:5" s="506" customFormat="1" x14ac:dyDescent="0.2">
      <c r="A89" s="512">
        <v>7</v>
      </c>
      <c r="B89" s="511" t="s">
        <v>735</v>
      </c>
      <c r="C89" s="523">
        <f t="shared" si="8"/>
        <v>1.0412359407083693E-2</v>
      </c>
      <c r="D89" s="523">
        <f t="shared" si="8"/>
        <v>6.4241102412814655E-3</v>
      </c>
      <c r="E89" s="523">
        <f t="shared" si="9"/>
        <v>-3.9882491658022271E-3</v>
      </c>
    </row>
    <row r="90" spans="1:5" s="506" customFormat="1" x14ac:dyDescent="0.2">
      <c r="A90" s="512"/>
      <c r="B90" s="516" t="s">
        <v>772</v>
      </c>
      <c r="C90" s="524">
        <f>SUM(C84+C85+C88)</f>
        <v>0.465174421554155</v>
      </c>
      <c r="D90" s="524">
        <f>SUM(D84+D85+D88)</f>
        <v>0.45340543821281876</v>
      </c>
      <c r="E90" s="525">
        <f t="shared" si="9"/>
        <v>-1.1768983341336248E-2</v>
      </c>
    </row>
    <row r="91" spans="1:5" s="506" customFormat="1" x14ac:dyDescent="0.2">
      <c r="A91" s="512"/>
      <c r="B91" s="516" t="s">
        <v>773</v>
      </c>
      <c r="C91" s="524">
        <f>SUM(C83+C90)</f>
        <v>0.69604988927694555</v>
      </c>
      <c r="D91" s="524">
        <f>SUM(D83+D90)</f>
        <v>0.67242851797611836</v>
      </c>
      <c r="E91" s="525">
        <f t="shared" si="9"/>
        <v>-2.3621371300827199E-2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774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628</v>
      </c>
      <c r="C95" s="523">
        <f t="shared" ref="C95:D101" si="10">IF(C$44=0,0,C25/C$44)</f>
        <v>0.14757130356731443</v>
      </c>
      <c r="D95" s="523">
        <f t="shared" si="10"/>
        <v>0.15174772980860701</v>
      </c>
      <c r="E95" s="523">
        <f t="shared" ref="E95:E103" si="11">D95-C95</f>
        <v>4.1764262412925801E-3</v>
      </c>
    </row>
    <row r="96" spans="1:5" s="506" customFormat="1" x14ac:dyDescent="0.2">
      <c r="A96" s="512">
        <v>2</v>
      </c>
      <c r="B96" s="511" t="s">
        <v>607</v>
      </c>
      <c r="C96" s="523">
        <f t="shared" si="10"/>
        <v>9.8242733503816168E-2</v>
      </c>
      <c r="D96" s="523">
        <f t="shared" si="10"/>
        <v>0.11057959526818174</v>
      </c>
      <c r="E96" s="523">
        <f t="shared" si="11"/>
        <v>1.2336861764365575E-2</v>
      </c>
    </row>
    <row r="97" spans="1:5" s="506" customFormat="1" x14ac:dyDescent="0.2">
      <c r="A97" s="512">
        <v>3</v>
      </c>
      <c r="B97" s="511" t="s">
        <v>753</v>
      </c>
      <c r="C97" s="523">
        <f t="shared" si="10"/>
        <v>5.6917498851905904E-2</v>
      </c>
      <c r="D97" s="523">
        <f t="shared" si="10"/>
        <v>6.4240265549562844E-2</v>
      </c>
      <c r="E97" s="523">
        <f t="shared" si="11"/>
        <v>7.3227666976569405E-3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5.0589425555247994E-2</v>
      </c>
      <c r="D98" s="523">
        <f t="shared" si="10"/>
        <v>6.4240265549562844E-2</v>
      </c>
      <c r="E98" s="523">
        <f t="shared" si="11"/>
        <v>1.3650839994314851E-2</v>
      </c>
    </row>
    <row r="99" spans="1:5" s="506" customFormat="1" x14ac:dyDescent="0.2">
      <c r="A99" s="512">
        <v>5</v>
      </c>
      <c r="B99" s="511" t="s">
        <v>720</v>
      </c>
      <c r="C99" s="523">
        <f t="shared" si="10"/>
        <v>6.3280732966579101E-3</v>
      </c>
      <c r="D99" s="523">
        <f t="shared" si="10"/>
        <v>0</v>
      </c>
      <c r="E99" s="523">
        <f t="shared" si="11"/>
        <v>-6.3280732966579101E-3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1.2185748000179309E-3</v>
      </c>
      <c r="D100" s="523">
        <f t="shared" si="10"/>
        <v>1.0038913975300298E-3</v>
      </c>
      <c r="E100" s="523">
        <f t="shared" si="11"/>
        <v>-2.146834024879011E-4</v>
      </c>
    </row>
    <row r="101" spans="1:5" s="506" customFormat="1" x14ac:dyDescent="0.2">
      <c r="A101" s="512">
        <v>7</v>
      </c>
      <c r="B101" s="511" t="s">
        <v>735</v>
      </c>
      <c r="C101" s="523">
        <f t="shared" si="10"/>
        <v>1.4370889827771901E-2</v>
      </c>
      <c r="D101" s="523">
        <f t="shared" si="10"/>
        <v>1.2521534443336649E-2</v>
      </c>
      <c r="E101" s="523">
        <f t="shared" si="11"/>
        <v>-1.8493553844352514E-3</v>
      </c>
    </row>
    <row r="102" spans="1:5" s="506" customFormat="1" x14ac:dyDescent="0.2">
      <c r="A102" s="512"/>
      <c r="B102" s="516" t="s">
        <v>775</v>
      </c>
      <c r="C102" s="524">
        <f>SUM(C96+C97+C100)</f>
        <v>0.15637880715574001</v>
      </c>
      <c r="D102" s="524">
        <f>SUM(D96+D97+D100)</f>
        <v>0.17582375221527463</v>
      </c>
      <c r="E102" s="525">
        <f t="shared" si="11"/>
        <v>1.9444945059534618E-2</v>
      </c>
    </row>
    <row r="103" spans="1:5" s="506" customFormat="1" x14ac:dyDescent="0.2">
      <c r="A103" s="512"/>
      <c r="B103" s="516" t="s">
        <v>776</v>
      </c>
      <c r="C103" s="524">
        <f>SUM(C95+C102)</f>
        <v>0.30395011072305445</v>
      </c>
      <c r="D103" s="524">
        <f>SUM(D95+D102)</f>
        <v>0.32757148202388164</v>
      </c>
      <c r="E103" s="525">
        <f t="shared" si="11"/>
        <v>2.3621371300827199E-2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777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778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628</v>
      </c>
      <c r="C109" s="523">
        <f t="shared" ref="C109:D115" si="12">IF(C$77=0,0,C47/C$77)</f>
        <v>0.28193525365381961</v>
      </c>
      <c r="D109" s="523">
        <f t="shared" si="12"/>
        <v>0.28459693332946923</v>
      </c>
      <c r="E109" s="523">
        <f t="shared" ref="E109:E117" si="13">D109-C109</f>
        <v>2.6616796756496197E-3</v>
      </c>
    </row>
    <row r="110" spans="1:5" s="506" customFormat="1" x14ac:dyDescent="0.2">
      <c r="A110" s="512">
        <v>2</v>
      </c>
      <c r="B110" s="511" t="s">
        <v>607</v>
      </c>
      <c r="C110" s="523">
        <f t="shared" si="12"/>
        <v>0.33674654083966971</v>
      </c>
      <c r="D110" s="523">
        <f t="shared" si="12"/>
        <v>0.31121693688890462</v>
      </c>
      <c r="E110" s="523">
        <f t="shared" si="13"/>
        <v>-2.552960395076509E-2</v>
      </c>
    </row>
    <row r="111" spans="1:5" s="506" customFormat="1" x14ac:dyDescent="0.2">
      <c r="A111" s="512">
        <v>3</v>
      </c>
      <c r="B111" s="511" t="s">
        <v>753</v>
      </c>
      <c r="C111" s="523">
        <f t="shared" si="12"/>
        <v>9.5197725031624714E-2</v>
      </c>
      <c r="D111" s="523">
        <f t="shared" si="12"/>
        <v>8.745026685959785E-2</v>
      </c>
      <c r="E111" s="523">
        <f t="shared" si="13"/>
        <v>-7.7474581720268637E-3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8.5804159190952578E-2</v>
      </c>
      <c r="D112" s="523">
        <f t="shared" si="12"/>
        <v>8.745026685959785E-2</v>
      </c>
      <c r="E112" s="523">
        <f t="shared" si="13"/>
        <v>1.6461076686452719E-3</v>
      </c>
    </row>
    <row r="113" spans="1:5" s="506" customFormat="1" x14ac:dyDescent="0.2">
      <c r="A113" s="512">
        <v>5</v>
      </c>
      <c r="B113" s="511" t="s">
        <v>720</v>
      </c>
      <c r="C113" s="523">
        <f t="shared" si="12"/>
        <v>9.3935658406721252E-3</v>
      </c>
      <c r="D113" s="523">
        <f t="shared" si="12"/>
        <v>0</v>
      </c>
      <c r="E113" s="523">
        <f t="shared" si="13"/>
        <v>-9.3935658406721252E-3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1.1588226305394892E-3</v>
      </c>
      <c r="D114" s="523">
        <f t="shared" si="12"/>
        <v>3.5099496548387549E-3</v>
      </c>
      <c r="E114" s="523">
        <f t="shared" si="13"/>
        <v>2.3511270242992655E-3</v>
      </c>
    </row>
    <row r="115" spans="1:5" s="506" customFormat="1" x14ac:dyDescent="0.2">
      <c r="A115" s="512">
        <v>7</v>
      </c>
      <c r="B115" s="511" t="s">
        <v>735</v>
      </c>
      <c r="C115" s="523">
        <f t="shared" si="12"/>
        <v>1.3641156148453256E-3</v>
      </c>
      <c r="D115" s="523">
        <f t="shared" si="12"/>
        <v>3.8653279177518493E-3</v>
      </c>
      <c r="E115" s="523">
        <f t="shared" si="13"/>
        <v>2.5012123029065237E-3</v>
      </c>
    </row>
    <row r="116" spans="1:5" s="506" customFormat="1" x14ac:dyDescent="0.2">
      <c r="A116" s="512"/>
      <c r="B116" s="516" t="s">
        <v>772</v>
      </c>
      <c r="C116" s="524">
        <f>SUM(C110+C111+C114)</f>
        <v>0.43310308850183393</v>
      </c>
      <c r="D116" s="524">
        <f>SUM(D110+D111+D114)</f>
        <v>0.4021771534033412</v>
      </c>
      <c r="E116" s="525">
        <f t="shared" si="13"/>
        <v>-3.0925935098492729E-2</v>
      </c>
    </row>
    <row r="117" spans="1:5" s="506" customFormat="1" x14ac:dyDescent="0.2">
      <c r="A117" s="512"/>
      <c r="B117" s="516" t="s">
        <v>773</v>
      </c>
      <c r="C117" s="524">
        <f>SUM(C109+C116)</f>
        <v>0.71503834215565354</v>
      </c>
      <c r="D117" s="524">
        <f>SUM(D109+D116)</f>
        <v>0.68677408673281048</v>
      </c>
      <c r="E117" s="525">
        <f t="shared" si="13"/>
        <v>-2.8264255422843054E-2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779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628</v>
      </c>
      <c r="C121" s="523">
        <f t="shared" ref="C121:D127" si="14">IF(C$77=0,0,C58/C$77)</f>
        <v>0.17111028286722546</v>
      </c>
      <c r="D121" s="523">
        <f t="shared" si="14"/>
        <v>0.18547747987727836</v>
      </c>
      <c r="E121" s="523">
        <f t="shared" ref="E121:E129" si="15">D121-C121</f>
        <v>1.4367197010052901E-2</v>
      </c>
    </row>
    <row r="122" spans="1:5" s="506" customFormat="1" x14ac:dyDescent="0.2">
      <c r="A122" s="512">
        <v>2</v>
      </c>
      <c r="B122" s="511" t="s">
        <v>607</v>
      </c>
      <c r="C122" s="523">
        <f t="shared" si="14"/>
        <v>7.8798169599079759E-2</v>
      </c>
      <c r="D122" s="523">
        <f t="shared" si="14"/>
        <v>8.1966713240944192E-2</v>
      </c>
      <c r="E122" s="523">
        <f t="shared" si="15"/>
        <v>3.1685436418644325E-3</v>
      </c>
    </row>
    <row r="123" spans="1:5" s="506" customFormat="1" x14ac:dyDescent="0.2">
      <c r="A123" s="512">
        <v>3</v>
      </c>
      <c r="B123" s="511" t="s">
        <v>753</v>
      </c>
      <c r="C123" s="523">
        <f t="shared" si="14"/>
        <v>3.3644080941133865E-2</v>
      </c>
      <c r="D123" s="523">
        <f t="shared" si="14"/>
        <v>4.478397063818778E-2</v>
      </c>
      <c r="E123" s="523">
        <f t="shared" si="15"/>
        <v>1.1139889697053915E-2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3.0247446055519468E-2</v>
      </c>
      <c r="D124" s="523">
        <f t="shared" si="14"/>
        <v>4.478397063818778E-2</v>
      </c>
      <c r="E124" s="523">
        <f t="shared" si="15"/>
        <v>1.4536524582668311E-2</v>
      </c>
    </row>
    <row r="125" spans="1:5" s="506" customFormat="1" x14ac:dyDescent="0.2">
      <c r="A125" s="512">
        <v>5</v>
      </c>
      <c r="B125" s="511" t="s">
        <v>720</v>
      </c>
      <c r="C125" s="523">
        <f t="shared" si="14"/>
        <v>3.396634885614396E-3</v>
      </c>
      <c r="D125" s="523">
        <f t="shared" si="14"/>
        <v>0</v>
      </c>
      <c r="E125" s="523">
        <f t="shared" si="15"/>
        <v>-3.396634885614396E-3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1.4091244369073992E-3</v>
      </c>
      <c r="D126" s="523">
        <f t="shared" si="14"/>
        <v>9.9774951077919046E-4</v>
      </c>
      <c r="E126" s="523">
        <f t="shared" si="15"/>
        <v>-4.1137492612820879E-4</v>
      </c>
    </row>
    <row r="127" spans="1:5" s="506" customFormat="1" x14ac:dyDescent="0.2">
      <c r="A127" s="512">
        <v>7</v>
      </c>
      <c r="B127" s="511" t="s">
        <v>735</v>
      </c>
      <c r="C127" s="523">
        <f t="shared" si="14"/>
        <v>1.882720433503211E-3</v>
      </c>
      <c r="D127" s="523">
        <f t="shared" si="14"/>
        <v>7.5340891378612744E-3</v>
      </c>
      <c r="E127" s="523">
        <f t="shared" si="15"/>
        <v>5.6513687043580636E-3</v>
      </c>
    </row>
    <row r="128" spans="1:5" s="506" customFormat="1" x14ac:dyDescent="0.2">
      <c r="A128" s="512"/>
      <c r="B128" s="516" t="s">
        <v>775</v>
      </c>
      <c r="C128" s="524">
        <f>SUM(C122+C123+C126)</f>
        <v>0.11385137497712101</v>
      </c>
      <c r="D128" s="524">
        <f>SUM(D122+D123+D126)</f>
        <v>0.12774843338991115</v>
      </c>
      <c r="E128" s="525">
        <f t="shared" si="15"/>
        <v>1.3897058412790139E-2</v>
      </c>
    </row>
    <row r="129" spans="1:5" s="506" customFormat="1" x14ac:dyDescent="0.2">
      <c r="A129" s="512"/>
      <c r="B129" s="516" t="s">
        <v>776</v>
      </c>
      <c r="C129" s="524">
        <f>SUM(C121+C128)</f>
        <v>0.28496165784434646</v>
      </c>
      <c r="D129" s="524">
        <f>SUM(D121+D128)</f>
        <v>0.31322591326718952</v>
      </c>
      <c r="E129" s="525">
        <f t="shared" si="15"/>
        <v>2.8264255422843054E-2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780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781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782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628</v>
      </c>
      <c r="C137" s="530">
        <v>16050</v>
      </c>
      <c r="D137" s="530">
        <v>15149</v>
      </c>
      <c r="E137" s="531">
        <f t="shared" ref="E137:E145" si="16">D137-C137</f>
        <v>-901</v>
      </c>
    </row>
    <row r="138" spans="1:5" s="506" customFormat="1" x14ac:dyDescent="0.2">
      <c r="A138" s="512">
        <v>2</v>
      </c>
      <c r="B138" s="511" t="s">
        <v>607</v>
      </c>
      <c r="C138" s="530">
        <v>15819</v>
      </c>
      <c r="D138" s="530">
        <v>15795</v>
      </c>
      <c r="E138" s="531">
        <f t="shared" si="16"/>
        <v>-24</v>
      </c>
    </row>
    <row r="139" spans="1:5" s="506" customFormat="1" x14ac:dyDescent="0.2">
      <c r="A139" s="512">
        <v>3</v>
      </c>
      <c r="B139" s="511" t="s">
        <v>753</v>
      </c>
      <c r="C139" s="530">
        <f>C140+C141</f>
        <v>9230</v>
      </c>
      <c r="D139" s="530">
        <f>D140+D141</f>
        <v>9492</v>
      </c>
      <c r="E139" s="531">
        <f t="shared" si="16"/>
        <v>262</v>
      </c>
    </row>
    <row r="140" spans="1:5" s="506" customFormat="1" x14ac:dyDescent="0.2">
      <c r="A140" s="512">
        <v>4</v>
      </c>
      <c r="B140" s="511" t="s">
        <v>114</v>
      </c>
      <c r="C140" s="530">
        <v>7923</v>
      </c>
      <c r="D140" s="530">
        <v>9492</v>
      </c>
      <c r="E140" s="531">
        <f t="shared" si="16"/>
        <v>1569</v>
      </c>
    </row>
    <row r="141" spans="1:5" s="506" customFormat="1" x14ac:dyDescent="0.2">
      <c r="A141" s="512">
        <v>5</v>
      </c>
      <c r="B141" s="511" t="s">
        <v>720</v>
      </c>
      <c r="C141" s="530">
        <v>1307</v>
      </c>
      <c r="D141" s="530">
        <v>0</v>
      </c>
      <c r="E141" s="531">
        <f t="shared" si="16"/>
        <v>-1307</v>
      </c>
    </row>
    <row r="142" spans="1:5" s="506" customFormat="1" x14ac:dyDescent="0.2">
      <c r="A142" s="512">
        <v>6</v>
      </c>
      <c r="B142" s="511" t="s">
        <v>418</v>
      </c>
      <c r="C142" s="530">
        <v>166</v>
      </c>
      <c r="D142" s="530">
        <v>238</v>
      </c>
      <c r="E142" s="531">
        <f t="shared" si="16"/>
        <v>72</v>
      </c>
    </row>
    <row r="143" spans="1:5" s="506" customFormat="1" x14ac:dyDescent="0.2">
      <c r="A143" s="512">
        <v>7</v>
      </c>
      <c r="B143" s="511" t="s">
        <v>735</v>
      </c>
      <c r="C143" s="530">
        <v>690</v>
      </c>
      <c r="D143" s="530">
        <v>359</v>
      </c>
      <c r="E143" s="531">
        <f t="shared" si="16"/>
        <v>-331</v>
      </c>
    </row>
    <row r="144" spans="1:5" s="506" customFormat="1" x14ac:dyDescent="0.2">
      <c r="A144" s="512"/>
      <c r="B144" s="516" t="s">
        <v>783</v>
      </c>
      <c r="C144" s="532">
        <f>SUM(C138+C139+C142)</f>
        <v>25215</v>
      </c>
      <c r="D144" s="532">
        <f>SUM(D138+D139+D142)</f>
        <v>25525</v>
      </c>
      <c r="E144" s="533">
        <f t="shared" si="16"/>
        <v>310</v>
      </c>
    </row>
    <row r="145" spans="1:5" s="506" customFormat="1" x14ac:dyDescent="0.2">
      <c r="A145" s="512"/>
      <c r="B145" s="516" t="s">
        <v>697</v>
      </c>
      <c r="C145" s="532">
        <f>SUM(C137+C144)</f>
        <v>41265</v>
      </c>
      <c r="D145" s="532">
        <f>SUM(D137+D144)</f>
        <v>40674</v>
      </c>
      <c r="E145" s="533">
        <f t="shared" si="16"/>
        <v>-591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628</v>
      </c>
      <c r="C149" s="534">
        <v>68370</v>
      </c>
      <c r="D149" s="534">
        <v>67703</v>
      </c>
      <c r="E149" s="531">
        <f t="shared" ref="E149:E157" si="17">D149-C149</f>
        <v>-667</v>
      </c>
    </row>
    <row r="150" spans="1:5" s="506" customFormat="1" x14ac:dyDescent="0.2">
      <c r="A150" s="512">
        <v>2</v>
      </c>
      <c r="B150" s="511" t="s">
        <v>607</v>
      </c>
      <c r="C150" s="534">
        <v>101294</v>
      </c>
      <c r="D150" s="534">
        <v>103335</v>
      </c>
      <c r="E150" s="531">
        <f t="shared" si="17"/>
        <v>2041</v>
      </c>
    </row>
    <row r="151" spans="1:5" s="506" customFormat="1" x14ac:dyDescent="0.2">
      <c r="A151" s="512">
        <v>3</v>
      </c>
      <c r="B151" s="511" t="s">
        <v>753</v>
      </c>
      <c r="C151" s="534">
        <f>C152+C153</f>
        <v>49499</v>
      </c>
      <c r="D151" s="534">
        <f>D152+D153</f>
        <v>50852</v>
      </c>
      <c r="E151" s="531">
        <f t="shared" si="17"/>
        <v>1353</v>
      </c>
    </row>
    <row r="152" spans="1:5" s="506" customFormat="1" x14ac:dyDescent="0.2">
      <c r="A152" s="512">
        <v>4</v>
      </c>
      <c r="B152" s="511" t="s">
        <v>114</v>
      </c>
      <c r="C152" s="534">
        <v>42046</v>
      </c>
      <c r="D152" s="534">
        <v>50852</v>
      </c>
      <c r="E152" s="531">
        <f t="shared" si="17"/>
        <v>8806</v>
      </c>
    </row>
    <row r="153" spans="1:5" s="506" customFormat="1" x14ac:dyDescent="0.2">
      <c r="A153" s="512">
        <v>5</v>
      </c>
      <c r="B153" s="511" t="s">
        <v>720</v>
      </c>
      <c r="C153" s="535">
        <v>7453</v>
      </c>
      <c r="D153" s="534">
        <v>0</v>
      </c>
      <c r="E153" s="531">
        <f t="shared" si="17"/>
        <v>-7453</v>
      </c>
    </row>
    <row r="154" spans="1:5" s="506" customFormat="1" x14ac:dyDescent="0.2">
      <c r="A154" s="512">
        <v>6</v>
      </c>
      <c r="B154" s="511" t="s">
        <v>418</v>
      </c>
      <c r="C154" s="534">
        <v>951</v>
      </c>
      <c r="D154" s="534">
        <v>1665</v>
      </c>
      <c r="E154" s="531">
        <f t="shared" si="17"/>
        <v>714</v>
      </c>
    </row>
    <row r="155" spans="1:5" s="506" customFormat="1" x14ac:dyDescent="0.2">
      <c r="A155" s="512">
        <v>7</v>
      </c>
      <c r="B155" s="511" t="s">
        <v>735</v>
      </c>
      <c r="C155" s="534">
        <v>2939</v>
      </c>
      <c r="D155" s="534">
        <v>1992</v>
      </c>
      <c r="E155" s="531">
        <f t="shared" si="17"/>
        <v>-947</v>
      </c>
    </row>
    <row r="156" spans="1:5" s="506" customFormat="1" x14ac:dyDescent="0.2">
      <c r="A156" s="512"/>
      <c r="B156" s="516" t="s">
        <v>784</v>
      </c>
      <c r="C156" s="532">
        <f>SUM(C150+C151+C154)</f>
        <v>151744</v>
      </c>
      <c r="D156" s="532">
        <f>SUM(D150+D151+D154)</f>
        <v>155852</v>
      </c>
      <c r="E156" s="533">
        <f t="shared" si="17"/>
        <v>4108</v>
      </c>
    </row>
    <row r="157" spans="1:5" s="506" customFormat="1" x14ac:dyDescent="0.2">
      <c r="A157" s="512"/>
      <c r="B157" s="516" t="s">
        <v>785</v>
      </c>
      <c r="C157" s="532">
        <f>SUM(C149+C156)</f>
        <v>220114</v>
      </c>
      <c r="D157" s="532">
        <f>SUM(D149+D156)</f>
        <v>223555</v>
      </c>
      <c r="E157" s="533">
        <f t="shared" si="17"/>
        <v>3441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786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628</v>
      </c>
      <c r="C161" s="536">
        <f t="shared" ref="C161:D169" si="18">IF(C137=0,0,C149/C137)</f>
        <v>4.2598130841121495</v>
      </c>
      <c r="D161" s="536">
        <f t="shared" si="18"/>
        <v>4.469139877219618</v>
      </c>
      <c r="E161" s="537">
        <f t="shared" ref="E161:E169" si="19">D161-C161</f>
        <v>0.20932679310746849</v>
      </c>
    </row>
    <row r="162" spans="1:5" s="506" customFormat="1" x14ac:dyDescent="0.2">
      <c r="A162" s="512">
        <v>2</v>
      </c>
      <c r="B162" s="511" t="s">
        <v>607</v>
      </c>
      <c r="C162" s="536">
        <f t="shared" si="18"/>
        <v>6.4033124723433845</v>
      </c>
      <c r="D162" s="536">
        <f t="shared" si="18"/>
        <v>6.5422602089268755</v>
      </c>
      <c r="E162" s="537">
        <f t="shared" si="19"/>
        <v>0.13894773658349102</v>
      </c>
    </row>
    <row r="163" spans="1:5" s="506" customFormat="1" x14ac:dyDescent="0.2">
      <c r="A163" s="512">
        <v>3</v>
      </c>
      <c r="B163" s="511" t="s">
        <v>753</v>
      </c>
      <c r="C163" s="536">
        <f t="shared" si="18"/>
        <v>5.3628385698808234</v>
      </c>
      <c r="D163" s="536">
        <f t="shared" si="18"/>
        <v>5.357353560893384</v>
      </c>
      <c r="E163" s="537">
        <f t="shared" si="19"/>
        <v>-5.4850089874394214E-3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5.3068282216332197</v>
      </c>
      <c r="D164" s="536">
        <f t="shared" si="18"/>
        <v>5.357353560893384</v>
      </c>
      <c r="E164" s="537">
        <f t="shared" si="19"/>
        <v>5.0525339260164337E-2</v>
      </c>
    </row>
    <row r="165" spans="1:5" s="506" customFormat="1" x14ac:dyDescent="0.2">
      <c r="A165" s="512">
        <v>5</v>
      </c>
      <c r="B165" s="511" t="s">
        <v>720</v>
      </c>
      <c r="C165" s="536">
        <f t="shared" si="18"/>
        <v>5.7023718439173683</v>
      </c>
      <c r="D165" s="536">
        <f t="shared" si="18"/>
        <v>0</v>
      </c>
      <c r="E165" s="537">
        <f t="shared" si="19"/>
        <v>-5.7023718439173683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5.7289156626506026</v>
      </c>
      <c r="D166" s="536">
        <f t="shared" si="18"/>
        <v>6.9957983193277311</v>
      </c>
      <c r="E166" s="537">
        <f t="shared" si="19"/>
        <v>1.2668826566771285</v>
      </c>
    </row>
    <row r="167" spans="1:5" s="506" customFormat="1" x14ac:dyDescent="0.2">
      <c r="A167" s="512">
        <v>7</v>
      </c>
      <c r="B167" s="511" t="s">
        <v>735</v>
      </c>
      <c r="C167" s="536">
        <f t="shared" si="18"/>
        <v>4.2594202898550728</v>
      </c>
      <c r="D167" s="536">
        <f t="shared" si="18"/>
        <v>5.5487465181058493</v>
      </c>
      <c r="E167" s="537">
        <f t="shared" si="19"/>
        <v>1.2893262282507765</v>
      </c>
    </row>
    <row r="168" spans="1:5" s="506" customFormat="1" x14ac:dyDescent="0.2">
      <c r="A168" s="512"/>
      <c r="B168" s="516" t="s">
        <v>787</v>
      </c>
      <c r="C168" s="538">
        <f t="shared" si="18"/>
        <v>6.0180051556613128</v>
      </c>
      <c r="D168" s="538">
        <f t="shared" si="18"/>
        <v>6.1058570029382961</v>
      </c>
      <c r="E168" s="539">
        <f t="shared" si="19"/>
        <v>8.7851847276983364E-2</v>
      </c>
    </row>
    <row r="169" spans="1:5" s="506" customFormat="1" x14ac:dyDescent="0.2">
      <c r="A169" s="512"/>
      <c r="B169" s="516" t="s">
        <v>721</v>
      </c>
      <c r="C169" s="538">
        <f t="shared" si="18"/>
        <v>5.3341572761420091</v>
      </c>
      <c r="D169" s="538">
        <f t="shared" si="18"/>
        <v>5.4962629689728084</v>
      </c>
      <c r="E169" s="539">
        <f t="shared" si="19"/>
        <v>0.16210569283079934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788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628</v>
      </c>
      <c r="C173" s="541">
        <f t="shared" ref="C173:D181" si="20">IF(C137=0,0,C203/C137)</f>
        <v>1.3722000000000001</v>
      </c>
      <c r="D173" s="541">
        <f t="shared" si="20"/>
        <v>1.4201999999999999</v>
      </c>
      <c r="E173" s="542">
        <f t="shared" ref="E173:E181" si="21">D173-C173</f>
        <v>4.7999999999999821E-2</v>
      </c>
    </row>
    <row r="174" spans="1:5" s="506" customFormat="1" x14ac:dyDescent="0.2">
      <c r="A174" s="512">
        <v>2</v>
      </c>
      <c r="B174" s="511" t="s">
        <v>607</v>
      </c>
      <c r="C174" s="541">
        <f t="shared" si="20"/>
        <v>1.8172999999999999</v>
      </c>
      <c r="D174" s="541">
        <f t="shared" si="20"/>
        <v>1.8613</v>
      </c>
      <c r="E174" s="542">
        <f t="shared" si="21"/>
        <v>4.4000000000000039E-2</v>
      </c>
    </row>
    <row r="175" spans="1:5" s="506" customFormat="1" x14ac:dyDescent="0.2">
      <c r="A175" s="512">
        <v>0</v>
      </c>
      <c r="B175" s="511" t="s">
        <v>753</v>
      </c>
      <c r="C175" s="541">
        <f t="shared" si="20"/>
        <v>1.1259005525460455</v>
      </c>
      <c r="D175" s="541">
        <f t="shared" si="20"/>
        <v>1.206</v>
      </c>
      <c r="E175" s="542">
        <f t="shared" si="21"/>
        <v>8.0099447453954475E-2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1.1066</v>
      </c>
      <c r="D176" s="541">
        <f t="shared" si="20"/>
        <v>1.206</v>
      </c>
      <c r="E176" s="542">
        <f t="shared" si="21"/>
        <v>9.9399999999999933E-2</v>
      </c>
    </row>
    <row r="177" spans="1:5" s="506" customFormat="1" x14ac:dyDescent="0.2">
      <c r="A177" s="512">
        <v>5</v>
      </c>
      <c r="B177" s="511" t="s">
        <v>720</v>
      </c>
      <c r="C177" s="541">
        <f t="shared" si="20"/>
        <v>1.2428999999999999</v>
      </c>
      <c r="D177" s="541">
        <f t="shared" si="20"/>
        <v>0</v>
      </c>
      <c r="E177" s="542">
        <f t="shared" si="21"/>
        <v>-1.2428999999999999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1.0678000000000001</v>
      </c>
      <c r="D178" s="541">
        <f t="shared" si="20"/>
        <v>1.179</v>
      </c>
      <c r="E178" s="542">
        <f t="shared" si="21"/>
        <v>0.11119999999999997</v>
      </c>
    </row>
    <row r="179" spans="1:5" s="506" customFormat="1" x14ac:dyDescent="0.2">
      <c r="A179" s="512">
        <v>7</v>
      </c>
      <c r="B179" s="511" t="s">
        <v>735</v>
      </c>
      <c r="C179" s="541">
        <f t="shared" si="20"/>
        <v>1.3522000000000001</v>
      </c>
      <c r="D179" s="541">
        <f t="shared" si="20"/>
        <v>1.3913</v>
      </c>
      <c r="E179" s="542">
        <f t="shared" si="21"/>
        <v>3.9099999999999913E-2</v>
      </c>
    </row>
    <row r="180" spans="1:5" s="506" customFormat="1" x14ac:dyDescent="0.2">
      <c r="A180" s="512"/>
      <c r="B180" s="516" t="s">
        <v>789</v>
      </c>
      <c r="C180" s="543">
        <f t="shared" si="20"/>
        <v>1.5592776363275829</v>
      </c>
      <c r="D180" s="543">
        <f t="shared" si="20"/>
        <v>1.6112512242899117</v>
      </c>
      <c r="E180" s="544">
        <f t="shared" si="21"/>
        <v>5.1973587962328871E-2</v>
      </c>
    </row>
    <row r="181" spans="1:5" s="506" customFormat="1" x14ac:dyDescent="0.2">
      <c r="A181" s="512"/>
      <c r="B181" s="516" t="s">
        <v>698</v>
      </c>
      <c r="C181" s="543">
        <f t="shared" si="20"/>
        <v>1.4865138882830489</v>
      </c>
      <c r="D181" s="543">
        <f t="shared" si="20"/>
        <v>1.5400943428234253</v>
      </c>
      <c r="E181" s="544">
        <f t="shared" si="21"/>
        <v>5.358045454037641E-2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790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791</v>
      </c>
      <c r="C185" s="513">
        <v>651518348</v>
      </c>
      <c r="D185" s="513">
        <v>702077657</v>
      </c>
      <c r="E185" s="514">
        <f>D185-C185</f>
        <v>50559309</v>
      </c>
    </row>
    <row r="186" spans="1:5" s="506" customFormat="1" ht="25.5" x14ac:dyDescent="0.2">
      <c r="A186" s="512">
        <v>2</v>
      </c>
      <c r="B186" s="511" t="s">
        <v>792</v>
      </c>
      <c r="C186" s="513">
        <v>348212407</v>
      </c>
      <c r="D186" s="513">
        <v>379231248</v>
      </c>
      <c r="E186" s="514">
        <f>D186-C186</f>
        <v>31018841</v>
      </c>
    </row>
    <row r="187" spans="1:5" s="506" customFormat="1" x14ac:dyDescent="0.2">
      <c r="A187" s="512"/>
      <c r="B187" s="511" t="s">
        <v>640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724</v>
      </c>
      <c r="C188" s="546">
        <f>+C185-C186</f>
        <v>303305941</v>
      </c>
      <c r="D188" s="546">
        <f>+D185-D186</f>
        <v>322846409</v>
      </c>
      <c r="E188" s="514">
        <f t="shared" ref="E188:E197" si="22">D188-C188</f>
        <v>19540468</v>
      </c>
    </row>
    <row r="189" spans="1:5" s="506" customFormat="1" x14ac:dyDescent="0.2">
      <c r="A189" s="512">
        <v>4</v>
      </c>
      <c r="B189" s="511" t="s">
        <v>642</v>
      </c>
      <c r="C189" s="547">
        <f>IF(C185=0,0,+C188/C185)</f>
        <v>0.46553706726920913</v>
      </c>
      <c r="D189" s="547">
        <f>IF(D185=0,0,+D188/D185)</f>
        <v>0.45984430038627477</v>
      </c>
      <c r="E189" s="523">
        <f t="shared" si="22"/>
        <v>-5.6927668829343525E-3</v>
      </c>
    </row>
    <row r="190" spans="1:5" s="506" customFormat="1" x14ac:dyDescent="0.2">
      <c r="A190" s="512">
        <v>5</v>
      </c>
      <c r="B190" s="511" t="s">
        <v>739</v>
      </c>
      <c r="C190" s="513">
        <v>22538851</v>
      </c>
      <c r="D190" s="513">
        <v>24733408</v>
      </c>
      <c r="E190" s="546">
        <f t="shared" si="22"/>
        <v>2194557</v>
      </c>
    </row>
    <row r="191" spans="1:5" s="506" customFormat="1" x14ac:dyDescent="0.2">
      <c r="A191" s="512">
        <v>6</v>
      </c>
      <c r="B191" s="511" t="s">
        <v>725</v>
      </c>
      <c r="C191" s="513">
        <v>12426593</v>
      </c>
      <c r="D191" s="513">
        <v>13830886</v>
      </c>
      <c r="E191" s="546">
        <f t="shared" si="22"/>
        <v>1404293</v>
      </c>
    </row>
    <row r="192" spans="1:5" ht="29.25" x14ac:dyDescent="0.2">
      <c r="A192" s="512">
        <v>7</v>
      </c>
      <c r="B192" s="548" t="s">
        <v>793</v>
      </c>
      <c r="C192" s="513">
        <v>3946217</v>
      </c>
      <c r="D192" s="513">
        <v>0</v>
      </c>
      <c r="E192" s="546">
        <f t="shared" si="22"/>
        <v>-3946217</v>
      </c>
    </row>
    <row r="193" spans="1:5" s="506" customFormat="1" x14ac:dyDescent="0.2">
      <c r="A193" s="512">
        <v>8</v>
      </c>
      <c r="B193" s="511" t="s">
        <v>794</v>
      </c>
      <c r="C193" s="513">
        <v>27507152</v>
      </c>
      <c r="D193" s="513">
        <v>18246408</v>
      </c>
      <c r="E193" s="546">
        <f t="shared" si="22"/>
        <v>-9260744</v>
      </c>
    </row>
    <row r="194" spans="1:5" s="506" customFormat="1" x14ac:dyDescent="0.2">
      <c r="A194" s="512">
        <v>9</v>
      </c>
      <c r="B194" s="511" t="s">
        <v>795</v>
      </c>
      <c r="C194" s="513">
        <v>37824767</v>
      </c>
      <c r="D194" s="513">
        <v>12919784</v>
      </c>
      <c r="E194" s="546">
        <f t="shared" si="22"/>
        <v>-24904983</v>
      </c>
    </row>
    <row r="195" spans="1:5" s="506" customFormat="1" x14ac:dyDescent="0.2">
      <c r="A195" s="512">
        <v>10</v>
      </c>
      <c r="B195" s="511" t="s">
        <v>796</v>
      </c>
      <c r="C195" s="513">
        <f>+C193+C194</f>
        <v>65331919</v>
      </c>
      <c r="D195" s="513">
        <f>+D193+D194</f>
        <v>31166192</v>
      </c>
      <c r="E195" s="549">
        <f t="shared" si="22"/>
        <v>-34165727</v>
      </c>
    </row>
    <row r="196" spans="1:5" s="506" customFormat="1" x14ac:dyDescent="0.2">
      <c r="A196" s="512">
        <v>11</v>
      </c>
      <c r="B196" s="511" t="s">
        <v>797</v>
      </c>
      <c r="C196" s="513">
        <v>651518348</v>
      </c>
      <c r="D196" s="513">
        <v>702077657</v>
      </c>
      <c r="E196" s="546">
        <f t="shared" si="22"/>
        <v>50559309</v>
      </c>
    </row>
    <row r="197" spans="1:5" s="506" customFormat="1" x14ac:dyDescent="0.2">
      <c r="A197" s="512">
        <v>12</v>
      </c>
      <c r="B197" s="511" t="s">
        <v>682</v>
      </c>
      <c r="C197" s="513">
        <v>920001155</v>
      </c>
      <c r="D197" s="513">
        <v>963927041</v>
      </c>
      <c r="E197" s="546">
        <f t="shared" si="22"/>
        <v>43925886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798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799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628</v>
      </c>
      <c r="C203" s="553">
        <v>22023.81</v>
      </c>
      <c r="D203" s="553">
        <v>21514.609799999998</v>
      </c>
      <c r="E203" s="554">
        <f t="shared" ref="E203:E211" si="23">D203-C203</f>
        <v>-509.20020000000295</v>
      </c>
    </row>
    <row r="204" spans="1:5" s="506" customFormat="1" x14ac:dyDescent="0.2">
      <c r="A204" s="512">
        <v>2</v>
      </c>
      <c r="B204" s="511" t="s">
        <v>607</v>
      </c>
      <c r="C204" s="553">
        <v>28747.868699999999</v>
      </c>
      <c r="D204" s="553">
        <v>29399.233499999998</v>
      </c>
      <c r="E204" s="554">
        <f t="shared" si="23"/>
        <v>651.36479999999938</v>
      </c>
    </row>
    <row r="205" spans="1:5" s="506" customFormat="1" x14ac:dyDescent="0.2">
      <c r="A205" s="512">
        <v>3</v>
      </c>
      <c r="B205" s="511" t="s">
        <v>753</v>
      </c>
      <c r="C205" s="553">
        <f>C206+C207</f>
        <v>10392.062099999999</v>
      </c>
      <c r="D205" s="553">
        <f>D206+D207</f>
        <v>11447.351999999999</v>
      </c>
      <c r="E205" s="554">
        <f t="shared" si="23"/>
        <v>1055.2898999999998</v>
      </c>
    </row>
    <row r="206" spans="1:5" s="506" customFormat="1" x14ac:dyDescent="0.2">
      <c r="A206" s="512">
        <v>4</v>
      </c>
      <c r="B206" s="511" t="s">
        <v>114</v>
      </c>
      <c r="C206" s="553">
        <v>8767.5918000000001</v>
      </c>
      <c r="D206" s="553">
        <v>11447.351999999999</v>
      </c>
      <c r="E206" s="554">
        <f t="shared" si="23"/>
        <v>2679.7601999999988</v>
      </c>
    </row>
    <row r="207" spans="1:5" s="506" customFormat="1" x14ac:dyDescent="0.2">
      <c r="A207" s="512">
        <v>5</v>
      </c>
      <c r="B207" s="511" t="s">
        <v>720</v>
      </c>
      <c r="C207" s="553">
        <v>1624.4703</v>
      </c>
      <c r="D207" s="553">
        <v>0</v>
      </c>
      <c r="E207" s="554">
        <f t="shared" si="23"/>
        <v>-1624.4703</v>
      </c>
    </row>
    <row r="208" spans="1:5" s="506" customFormat="1" x14ac:dyDescent="0.2">
      <c r="A208" s="512">
        <v>6</v>
      </c>
      <c r="B208" s="511" t="s">
        <v>418</v>
      </c>
      <c r="C208" s="553">
        <v>177.25480000000002</v>
      </c>
      <c r="D208" s="553">
        <v>280.60200000000003</v>
      </c>
      <c r="E208" s="554">
        <f t="shared" si="23"/>
        <v>103.34720000000002</v>
      </c>
    </row>
    <row r="209" spans="1:5" s="506" customFormat="1" x14ac:dyDescent="0.2">
      <c r="A209" s="512">
        <v>7</v>
      </c>
      <c r="B209" s="511" t="s">
        <v>735</v>
      </c>
      <c r="C209" s="553">
        <v>933.01800000000003</v>
      </c>
      <c r="D209" s="553">
        <v>499.47669999999999</v>
      </c>
      <c r="E209" s="554">
        <f t="shared" si="23"/>
        <v>-433.54130000000004</v>
      </c>
    </row>
    <row r="210" spans="1:5" s="506" customFormat="1" x14ac:dyDescent="0.2">
      <c r="A210" s="512"/>
      <c r="B210" s="516" t="s">
        <v>800</v>
      </c>
      <c r="C210" s="555">
        <f>C204+C205+C208</f>
        <v>39317.185600000004</v>
      </c>
      <c r="D210" s="555">
        <f>D204+D205+D208</f>
        <v>41127.1875</v>
      </c>
      <c r="E210" s="556">
        <f t="shared" si="23"/>
        <v>1810.0018999999957</v>
      </c>
    </row>
    <row r="211" spans="1:5" s="506" customFormat="1" x14ac:dyDescent="0.2">
      <c r="A211" s="512"/>
      <c r="B211" s="516" t="s">
        <v>699</v>
      </c>
      <c r="C211" s="555">
        <f>C210+C203</f>
        <v>61340.995600000009</v>
      </c>
      <c r="D211" s="555">
        <f>D210+D203</f>
        <v>62641.797299999998</v>
      </c>
      <c r="E211" s="556">
        <f t="shared" si="23"/>
        <v>1300.8016999999891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801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628</v>
      </c>
      <c r="C215" s="557">
        <f>IF(C14*C137=0,0,C25/C14*C137)</f>
        <v>10258.861392321036</v>
      </c>
      <c r="D215" s="557">
        <f>IF(D14*D137=0,0,D25/D14*D137)</f>
        <v>10495.81788985413</v>
      </c>
      <c r="E215" s="557">
        <f t="shared" ref="E215:E223" si="24">D215-C215</f>
        <v>236.95649753309408</v>
      </c>
    </row>
    <row r="216" spans="1:5" s="506" customFormat="1" x14ac:dyDescent="0.2">
      <c r="A216" s="512">
        <v>2</v>
      </c>
      <c r="B216" s="511" t="s">
        <v>607</v>
      </c>
      <c r="C216" s="557">
        <f>IF(C15*C138=0,0,C26/C15*C138)</f>
        <v>4511.9896584663356</v>
      </c>
      <c r="D216" s="557">
        <f>IF(D15*D138=0,0,D26/D15*D138)</f>
        <v>5321.8798690132235</v>
      </c>
      <c r="E216" s="557">
        <f t="shared" si="24"/>
        <v>809.89021054688783</v>
      </c>
    </row>
    <row r="217" spans="1:5" s="506" customFormat="1" x14ac:dyDescent="0.2">
      <c r="A217" s="512">
        <v>3</v>
      </c>
      <c r="B217" s="511" t="s">
        <v>753</v>
      </c>
      <c r="C217" s="557">
        <f>C218+C219</f>
        <v>4435.3949201119576</v>
      </c>
      <c r="D217" s="557">
        <f>D218+D219</f>
        <v>5039.5330688617096</v>
      </c>
      <c r="E217" s="557">
        <f t="shared" si="24"/>
        <v>604.13814874975196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3858.3449376559947</v>
      </c>
      <c r="D218" s="557">
        <f t="shared" si="25"/>
        <v>5039.5330688617096</v>
      </c>
      <c r="E218" s="557">
        <f t="shared" si="24"/>
        <v>1181.1881312057149</v>
      </c>
    </row>
    <row r="219" spans="1:5" s="506" customFormat="1" x14ac:dyDescent="0.2">
      <c r="A219" s="512">
        <v>5</v>
      </c>
      <c r="B219" s="511" t="s">
        <v>720</v>
      </c>
      <c r="C219" s="557">
        <f t="shared" si="25"/>
        <v>577.04998245596266</v>
      </c>
      <c r="D219" s="557">
        <f t="shared" si="25"/>
        <v>0</v>
      </c>
      <c r="E219" s="557">
        <f t="shared" si="24"/>
        <v>-577.04998245596266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80.291456094948927</v>
      </c>
      <c r="D220" s="557">
        <f t="shared" si="25"/>
        <v>56.681917180559623</v>
      </c>
      <c r="E220" s="557">
        <f t="shared" si="24"/>
        <v>-23.609538914389304</v>
      </c>
    </row>
    <row r="221" spans="1:5" s="506" customFormat="1" x14ac:dyDescent="0.2">
      <c r="A221" s="512">
        <v>7</v>
      </c>
      <c r="B221" s="511" t="s">
        <v>735</v>
      </c>
      <c r="C221" s="557">
        <f t="shared" si="25"/>
        <v>952.32152420868795</v>
      </c>
      <c r="D221" s="557">
        <f t="shared" si="25"/>
        <v>699.74373046580217</v>
      </c>
      <c r="E221" s="557">
        <f t="shared" si="24"/>
        <v>-252.57779374288577</v>
      </c>
    </row>
    <row r="222" spans="1:5" s="506" customFormat="1" x14ac:dyDescent="0.2">
      <c r="A222" s="512"/>
      <c r="B222" s="516" t="s">
        <v>802</v>
      </c>
      <c r="C222" s="558">
        <f>C216+C218+C219+C220</f>
        <v>9027.6760346732426</v>
      </c>
      <c r="D222" s="558">
        <f>D216+D218+D219+D220</f>
        <v>10418.094855055493</v>
      </c>
      <c r="E222" s="558">
        <f t="shared" si="24"/>
        <v>1390.4188203822505</v>
      </c>
    </row>
    <row r="223" spans="1:5" s="506" customFormat="1" x14ac:dyDescent="0.2">
      <c r="A223" s="512"/>
      <c r="B223" s="516" t="s">
        <v>803</v>
      </c>
      <c r="C223" s="558">
        <f>C215+C222</f>
        <v>19286.537426994277</v>
      </c>
      <c r="D223" s="558">
        <f>D215+D222</f>
        <v>20913.912744909623</v>
      </c>
      <c r="E223" s="558">
        <f t="shared" si="24"/>
        <v>1627.3753179153464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804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628</v>
      </c>
      <c r="C227" s="560">
        <f t="shared" ref="C227:D235" si="26">IF(C203=0,0,C47/C203)</f>
        <v>9919.6970006552001</v>
      </c>
      <c r="D227" s="560">
        <f t="shared" si="26"/>
        <v>11419.797583314759</v>
      </c>
      <c r="E227" s="560">
        <f t="shared" ref="E227:E235" si="27">D227-C227</f>
        <v>1500.1005826595592</v>
      </c>
    </row>
    <row r="228" spans="1:5" s="506" customFormat="1" x14ac:dyDescent="0.2">
      <c r="A228" s="512">
        <v>2</v>
      </c>
      <c r="B228" s="511" t="s">
        <v>607</v>
      </c>
      <c r="C228" s="560">
        <f t="shared" si="26"/>
        <v>9076.929553389813</v>
      </c>
      <c r="D228" s="560">
        <f t="shared" si="26"/>
        <v>9138.7938396421123</v>
      </c>
      <c r="E228" s="560">
        <f t="shared" si="27"/>
        <v>61.86428625229928</v>
      </c>
    </row>
    <row r="229" spans="1:5" s="506" customFormat="1" x14ac:dyDescent="0.2">
      <c r="A229" s="512">
        <v>3</v>
      </c>
      <c r="B229" s="511" t="s">
        <v>753</v>
      </c>
      <c r="C229" s="560">
        <f t="shared" si="26"/>
        <v>7098.4954949412786</v>
      </c>
      <c r="D229" s="560">
        <f t="shared" si="26"/>
        <v>6595.0450374898937</v>
      </c>
      <c r="E229" s="560">
        <f t="shared" si="27"/>
        <v>-503.45045745138486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7583.4965309402287</v>
      </c>
      <c r="D230" s="560">
        <f t="shared" si="26"/>
        <v>6595.0450374898937</v>
      </c>
      <c r="E230" s="560">
        <f t="shared" si="27"/>
        <v>-988.45149345033497</v>
      </c>
    </row>
    <row r="231" spans="1:5" s="506" customFormat="1" x14ac:dyDescent="0.2">
      <c r="A231" s="512">
        <v>5</v>
      </c>
      <c r="B231" s="511" t="s">
        <v>720</v>
      </c>
      <c r="C231" s="560">
        <f t="shared" si="26"/>
        <v>4480.8476953995405</v>
      </c>
      <c r="D231" s="560">
        <f t="shared" si="26"/>
        <v>0</v>
      </c>
      <c r="E231" s="560">
        <f t="shared" si="27"/>
        <v>-4480.8476953995405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5065.9446175787616</v>
      </c>
      <c r="D232" s="560">
        <f t="shared" si="26"/>
        <v>10798.707778276705</v>
      </c>
      <c r="E232" s="560">
        <f t="shared" si="27"/>
        <v>5732.763160697943</v>
      </c>
    </row>
    <row r="233" spans="1:5" s="506" customFormat="1" x14ac:dyDescent="0.2">
      <c r="A233" s="512">
        <v>7</v>
      </c>
      <c r="B233" s="511" t="s">
        <v>735</v>
      </c>
      <c r="C233" s="560">
        <f t="shared" si="26"/>
        <v>1132.9288395293552</v>
      </c>
      <c r="D233" s="560">
        <f t="shared" si="26"/>
        <v>6680.8661945592257</v>
      </c>
      <c r="E233" s="560">
        <f t="shared" si="27"/>
        <v>5547.9373550298706</v>
      </c>
    </row>
    <row r="234" spans="1:5" x14ac:dyDescent="0.2">
      <c r="A234" s="512"/>
      <c r="B234" s="516" t="s">
        <v>805</v>
      </c>
      <c r="C234" s="561">
        <f t="shared" si="26"/>
        <v>8535.919926069173</v>
      </c>
      <c r="D234" s="561">
        <f t="shared" si="26"/>
        <v>8442.0913781181844</v>
      </c>
      <c r="E234" s="561">
        <f t="shared" si="27"/>
        <v>-93.82854795098865</v>
      </c>
    </row>
    <row r="235" spans="1:5" s="506" customFormat="1" x14ac:dyDescent="0.2">
      <c r="A235" s="512"/>
      <c r="B235" s="516" t="s">
        <v>806</v>
      </c>
      <c r="C235" s="561">
        <f t="shared" si="26"/>
        <v>9032.7498694853257</v>
      </c>
      <c r="D235" s="561">
        <f t="shared" si="26"/>
        <v>9464.7980989523749</v>
      </c>
      <c r="E235" s="561">
        <f t="shared" si="27"/>
        <v>432.04822946704917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807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628</v>
      </c>
      <c r="C239" s="560">
        <f t="shared" ref="C239:D247" si="28">IF(C215=0,0,C58/C215)</f>
        <v>12924.63899543938</v>
      </c>
      <c r="D239" s="560">
        <f t="shared" si="28"/>
        <v>15255.855396918036</v>
      </c>
      <c r="E239" s="562">
        <f t="shared" ref="E239:E247" si="29">D239-C239</f>
        <v>2331.2164014786558</v>
      </c>
    </row>
    <row r="240" spans="1:5" s="506" customFormat="1" x14ac:dyDescent="0.2">
      <c r="A240" s="512">
        <v>2</v>
      </c>
      <c r="B240" s="511" t="s">
        <v>607</v>
      </c>
      <c r="C240" s="560">
        <f t="shared" si="28"/>
        <v>13532.857480164274</v>
      </c>
      <c r="D240" s="560">
        <f t="shared" si="28"/>
        <v>13296.401411090208</v>
      </c>
      <c r="E240" s="562">
        <f t="shared" si="29"/>
        <v>-236.45606907406545</v>
      </c>
    </row>
    <row r="241" spans="1:5" x14ac:dyDescent="0.2">
      <c r="A241" s="512">
        <v>3</v>
      </c>
      <c r="B241" s="511" t="s">
        <v>753</v>
      </c>
      <c r="C241" s="560">
        <f t="shared" si="28"/>
        <v>5877.8412000665612</v>
      </c>
      <c r="D241" s="560">
        <f t="shared" si="28"/>
        <v>7671.7415029747326</v>
      </c>
      <c r="E241" s="562">
        <f t="shared" si="29"/>
        <v>1793.9003029081714</v>
      </c>
    </row>
    <row r="242" spans="1:5" x14ac:dyDescent="0.2">
      <c r="A242" s="512">
        <v>4</v>
      </c>
      <c r="B242" s="511" t="s">
        <v>114</v>
      </c>
      <c r="C242" s="560">
        <f t="shared" si="28"/>
        <v>6074.760131280349</v>
      </c>
      <c r="D242" s="560">
        <f t="shared" si="28"/>
        <v>7671.7415029747326</v>
      </c>
      <c r="E242" s="562">
        <f t="shared" si="29"/>
        <v>1596.9813716943836</v>
      </c>
    </row>
    <row r="243" spans="1:5" x14ac:dyDescent="0.2">
      <c r="A243" s="512">
        <v>5</v>
      </c>
      <c r="B243" s="511" t="s">
        <v>720</v>
      </c>
      <c r="C243" s="560">
        <f t="shared" si="28"/>
        <v>4561.1768131383005</v>
      </c>
      <c r="D243" s="560">
        <f t="shared" si="28"/>
        <v>0</v>
      </c>
      <c r="E243" s="562">
        <f t="shared" si="29"/>
        <v>-4561.1768131383005</v>
      </c>
    </row>
    <row r="244" spans="1:5" x14ac:dyDescent="0.2">
      <c r="A244" s="512">
        <v>6</v>
      </c>
      <c r="B244" s="511" t="s">
        <v>418</v>
      </c>
      <c r="C244" s="560">
        <f t="shared" si="28"/>
        <v>13599.454451401982</v>
      </c>
      <c r="D244" s="560">
        <f t="shared" si="28"/>
        <v>15196.327909237029</v>
      </c>
      <c r="E244" s="562">
        <f t="shared" si="29"/>
        <v>1596.8734578350468</v>
      </c>
    </row>
    <row r="245" spans="1:5" x14ac:dyDescent="0.2">
      <c r="A245" s="512">
        <v>7</v>
      </c>
      <c r="B245" s="511" t="s">
        <v>735</v>
      </c>
      <c r="C245" s="560">
        <f t="shared" si="28"/>
        <v>1531.9468928440403</v>
      </c>
      <c r="D245" s="560">
        <f t="shared" si="28"/>
        <v>9295.0857818623517</v>
      </c>
      <c r="E245" s="562">
        <f t="shared" si="29"/>
        <v>7763.1388890183116</v>
      </c>
    </row>
    <row r="246" spans="1:5" ht="25.5" x14ac:dyDescent="0.2">
      <c r="A246" s="512"/>
      <c r="B246" s="516" t="s">
        <v>808</v>
      </c>
      <c r="C246" s="561">
        <f t="shared" si="28"/>
        <v>9772.4574587255029</v>
      </c>
      <c r="D246" s="561">
        <f t="shared" si="28"/>
        <v>10585.928092839635</v>
      </c>
      <c r="E246" s="563">
        <f t="shared" si="29"/>
        <v>813.47063411413183</v>
      </c>
    </row>
    <row r="247" spans="1:5" x14ac:dyDescent="0.2">
      <c r="A247" s="512"/>
      <c r="B247" s="516" t="s">
        <v>809</v>
      </c>
      <c r="C247" s="561">
        <f t="shared" si="28"/>
        <v>11449.160370846983</v>
      </c>
      <c r="D247" s="561">
        <f t="shared" si="28"/>
        <v>12929.569244082095</v>
      </c>
      <c r="E247" s="563">
        <f t="shared" si="29"/>
        <v>1480.408873235112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737</v>
      </c>
      <c r="B249" s="550" t="s">
        <v>734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28775912.150611885</v>
      </c>
      <c r="D251" s="546">
        <f>((IF((IF(D15=0,0,D26/D15)*D138)=0,0,D59/(IF(D15=0,0,D26/D15)*D138)))-(IF((IF(D17=0,0,D28/D17)*D140)=0,0,D61/(IF(D17=0,0,D28/D17)*D140))))*(IF(D17=0,0,D28/D17)*D140)</f>
        <v>28345659.608048603</v>
      </c>
      <c r="E251" s="546">
        <f>D251-C251</f>
        <v>-430252.54256328195</v>
      </c>
    </row>
    <row r="252" spans="1:5" x14ac:dyDescent="0.2">
      <c r="A252" s="512">
        <v>2</v>
      </c>
      <c r="B252" s="511" t="s">
        <v>720</v>
      </c>
      <c r="C252" s="546">
        <f>IF(C231=0,0,(C228-C231)*C207)+IF(C243=0,0,(C240-C243)*C219)</f>
        <v>12643306.646181852</v>
      </c>
      <c r="D252" s="546">
        <f>IF(D231=0,0,(D228-D231)*D207)+IF(D243=0,0,(D240-D243)*D219)</f>
        <v>0</v>
      </c>
      <c r="E252" s="546">
        <f>D252-C252</f>
        <v>-12643306.646181852</v>
      </c>
    </row>
    <row r="253" spans="1:5" x14ac:dyDescent="0.2">
      <c r="A253" s="512">
        <v>3</v>
      </c>
      <c r="B253" s="511" t="s">
        <v>735</v>
      </c>
      <c r="C253" s="546">
        <f>IF(C233=0,0,(C228-C233)*C209+IF(C221=0,0,(C240-C245)*C221))</f>
        <v>18840621.120453641</v>
      </c>
      <c r="D253" s="546">
        <f>IF(D233=0,0,(D228-D233)*D209+IF(D221=0,0,(D240-D245)*D221))</f>
        <v>4027573.11417179</v>
      </c>
      <c r="E253" s="546">
        <f>D253-C253</f>
        <v>-14813048.006281851</v>
      </c>
    </row>
    <row r="254" spans="1:5" ht="15" customHeight="1" x14ac:dyDescent="0.2">
      <c r="A254" s="512"/>
      <c r="B254" s="516" t="s">
        <v>736</v>
      </c>
      <c r="C254" s="564">
        <f>+C251+C252+C253</f>
        <v>60259839.917247377</v>
      </c>
      <c r="D254" s="564">
        <f>+D251+D252+D253</f>
        <v>32373232.722220391</v>
      </c>
      <c r="E254" s="564">
        <f>D254-C254</f>
        <v>-27886607.195026986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810</v>
      </c>
      <c r="B256" s="550" t="s">
        <v>811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702</v>
      </c>
      <c r="C258" s="546">
        <f>+C44</f>
        <v>1901719123</v>
      </c>
      <c r="D258" s="549">
        <f>+D44</f>
        <v>2049319284</v>
      </c>
      <c r="E258" s="546">
        <f t="shared" ref="E258:E271" si="30">D258-C258</f>
        <v>147600161</v>
      </c>
    </row>
    <row r="259" spans="1:5" x14ac:dyDescent="0.2">
      <c r="A259" s="512">
        <v>2</v>
      </c>
      <c r="B259" s="511" t="s">
        <v>719</v>
      </c>
      <c r="C259" s="546">
        <f>+(C43-C76)</f>
        <v>758188733</v>
      </c>
      <c r="D259" s="549">
        <f>+(D43-D76)</f>
        <v>832006836</v>
      </c>
      <c r="E259" s="546">
        <f t="shared" si="30"/>
        <v>73818103</v>
      </c>
    </row>
    <row r="260" spans="1:5" x14ac:dyDescent="0.2">
      <c r="A260" s="512">
        <v>3</v>
      </c>
      <c r="B260" s="511" t="s">
        <v>723</v>
      </c>
      <c r="C260" s="546">
        <f>C195</f>
        <v>65331919</v>
      </c>
      <c r="D260" s="546">
        <f>D195</f>
        <v>31166192</v>
      </c>
      <c r="E260" s="546">
        <f t="shared" si="30"/>
        <v>-34165727</v>
      </c>
    </row>
    <row r="261" spans="1:5" x14ac:dyDescent="0.2">
      <c r="A261" s="512">
        <v>4</v>
      </c>
      <c r="B261" s="511" t="s">
        <v>724</v>
      </c>
      <c r="C261" s="546">
        <f>C188</f>
        <v>303305941</v>
      </c>
      <c r="D261" s="546">
        <f>D188</f>
        <v>322846409</v>
      </c>
      <c r="E261" s="546">
        <f t="shared" si="30"/>
        <v>19540468</v>
      </c>
    </row>
    <row r="262" spans="1:5" x14ac:dyDescent="0.2">
      <c r="A262" s="512">
        <v>5</v>
      </c>
      <c r="B262" s="511" t="s">
        <v>725</v>
      </c>
      <c r="C262" s="546">
        <f>C191</f>
        <v>12426593</v>
      </c>
      <c r="D262" s="546">
        <f>D191</f>
        <v>13830886</v>
      </c>
      <c r="E262" s="546">
        <f t="shared" si="30"/>
        <v>1404293</v>
      </c>
    </row>
    <row r="263" spans="1:5" x14ac:dyDescent="0.2">
      <c r="A263" s="512">
        <v>6</v>
      </c>
      <c r="B263" s="511" t="s">
        <v>726</v>
      </c>
      <c r="C263" s="546">
        <f>+C259+C260+C261+C262</f>
        <v>1139253186</v>
      </c>
      <c r="D263" s="546">
        <f>+D259+D260+D261+D262</f>
        <v>1199850323</v>
      </c>
      <c r="E263" s="546">
        <f t="shared" si="30"/>
        <v>60597137</v>
      </c>
    </row>
    <row r="264" spans="1:5" x14ac:dyDescent="0.2">
      <c r="A264" s="512">
        <v>7</v>
      </c>
      <c r="B264" s="511" t="s">
        <v>626</v>
      </c>
      <c r="C264" s="546">
        <f>+C258-C263</f>
        <v>762465937</v>
      </c>
      <c r="D264" s="546">
        <f>+D258-D263</f>
        <v>849468961</v>
      </c>
      <c r="E264" s="546">
        <f t="shared" si="30"/>
        <v>87003024</v>
      </c>
    </row>
    <row r="265" spans="1:5" x14ac:dyDescent="0.2">
      <c r="A265" s="512">
        <v>8</v>
      </c>
      <c r="B265" s="511" t="s">
        <v>812</v>
      </c>
      <c r="C265" s="565">
        <f>C192</f>
        <v>3946217</v>
      </c>
      <c r="D265" s="565">
        <f>D192</f>
        <v>0</v>
      </c>
      <c r="E265" s="546">
        <f t="shared" si="30"/>
        <v>-3946217</v>
      </c>
    </row>
    <row r="266" spans="1:5" x14ac:dyDescent="0.2">
      <c r="A266" s="512">
        <v>9</v>
      </c>
      <c r="B266" s="511" t="s">
        <v>813</v>
      </c>
      <c r="C266" s="546">
        <f>+C264+C265</f>
        <v>766412154</v>
      </c>
      <c r="D266" s="546">
        <f>+D264+D265</f>
        <v>849468961</v>
      </c>
      <c r="E266" s="565">
        <f t="shared" si="30"/>
        <v>83056807</v>
      </c>
    </row>
    <row r="267" spans="1:5" x14ac:dyDescent="0.2">
      <c r="A267" s="512">
        <v>10</v>
      </c>
      <c r="B267" s="511" t="s">
        <v>814</v>
      </c>
      <c r="C267" s="566">
        <f>IF(C258=0,0,C266/C258)</f>
        <v>0.40301017365328351</v>
      </c>
      <c r="D267" s="566">
        <f>IF(D258=0,0,D266/D258)</f>
        <v>0.41451274461339621</v>
      </c>
      <c r="E267" s="567">
        <f t="shared" si="30"/>
        <v>1.1502570960112701E-2</v>
      </c>
    </row>
    <row r="268" spans="1:5" x14ac:dyDescent="0.2">
      <c r="A268" s="512">
        <v>11</v>
      </c>
      <c r="B268" s="511" t="s">
        <v>688</v>
      </c>
      <c r="C268" s="546">
        <f>+C260*C267</f>
        <v>26329428.021292251</v>
      </c>
      <c r="D268" s="568">
        <f>+D260*D267</f>
        <v>12918783.785068072</v>
      </c>
      <c r="E268" s="546">
        <f t="shared" si="30"/>
        <v>-13410644.236224178</v>
      </c>
    </row>
    <row r="269" spans="1:5" x14ac:dyDescent="0.2">
      <c r="A269" s="512">
        <v>12</v>
      </c>
      <c r="B269" s="511" t="s">
        <v>815</v>
      </c>
      <c r="C269" s="546">
        <f>((C17+C18+C28+C29)*C267)-(C50+C51+C61+C62)</f>
        <v>34386511.402994543</v>
      </c>
      <c r="D269" s="568">
        <f>((D17+D18+D28+D29)*D267)-(D50+D51+D61+D62)</f>
        <v>43195547.228148997</v>
      </c>
      <c r="E269" s="546">
        <f t="shared" si="30"/>
        <v>8809035.8251544535</v>
      </c>
    </row>
    <row r="270" spans="1:5" s="569" customFormat="1" x14ac:dyDescent="0.2">
      <c r="A270" s="570">
        <v>13</v>
      </c>
      <c r="B270" s="571" t="s">
        <v>816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817</v>
      </c>
      <c r="C271" s="546">
        <f>+C268+C269+C270</f>
        <v>60715939.424286798</v>
      </c>
      <c r="D271" s="546">
        <f>+D268+D269+D270</f>
        <v>56114331.013217069</v>
      </c>
      <c r="E271" s="549">
        <f t="shared" si="30"/>
        <v>-4601608.4110697284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818</v>
      </c>
      <c r="B273" s="550" t="s">
        <v>819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820</v>
      </c>
      <c r="C275" s="340"/>
      <c r="D275" s="340"/>
      <c r="E275" s="520"/>
    </row>
    <row r="276" spans="1:5" x14ac:dyDescent="0.2">
      <c r="A276" s="512">
        <v>1</v>
      </c>
      <c r="B276" s="511" t="s">
        <v>628</v>
      </c>
      <c r="C276" s="547">
        <f t="shared" ref="C276:D284" si="31">IF(C14=0,0,+C47/C14)</f>
        <v>0.49758433176644451</v>
      </c>
      <c r="D276" s="547">
        <f t="shared" si="31"/>
        <v>0.54738434398295188</v>
      </c>
      <c r="E276" s="574">
        <f t="shared" ref="E276:E284" si="32">D276-C276</f>
        <v>4.9800012216507372E-2</v>
      </c>
    </row>
    <row r="277" spans="1:5" x14ac:dyDescent="0.2">
      <c r="A277" s="512">
        <v>2</v>
      </c>
      <c r="B277" s="511" t="s">
        <v>607</v>
      </c>
      <c r="C277" s="547">
        <f t="shared" si="31"/>
        <v>0.39837022933595867</v>
      </c>
      <c r="D277" s="547">
        <f t="shared" si="31"/>
        <v>0.39947140935073205</v>
      </c>
      <c r="E277" s="574">
        <f t="shared" si="32"/>
        <v>1.1011800147733841E-3</v>
      </c>
    </row>
    <row r="278" spans="1:5" x14ac:dyDescent="0.2">
      <c r="A278" s="512">
        <v>3</v>
      </c>
      <c r="B278" s="511" t="s">
        <v>753</v>
      </c>
      <c r="C278" s="547">
        <f t="shared" si="31"/>
        <v>0.3281273472059083</v>
      </c>
      <c r="D278" s="547">
        <f t="shared" si="31"/>
        <v>0.30446573145240641</v>
      </c>
      <c r="E278" s="574">
        <f t="shared" si="32"/>
        <v>-2.3661615753501897E-2</v>
      </c>
    </row>
    <row r="279" spans="1:5" x14ac:dyDescent="0.2">
      <c r="A279" s="512">
        <v>4</v>
      </c>
      <c r="B279" s="511" t="s">
        <v>114</v>
      </c>
      <c r="C279" s="547">
        <f t="shared" si="31"/>
        <v>0.33655425670130129</v>
      </c>
      <c r="D279" s="547">
        <f t="shared" si="31"/>
        <v>0.30446573145240641</v>
      </c>
      <c r="E279" s="574">
        <f t="shared" si="32"/>
        <v>-3.2088525248894884E-2</v>
      </c>
    </row>
    <row r="280" spans="1:5" x14ac:dyDescent="0.2">
      <c r="A280" s="512">
        <v>5</v>
      </c>
      <c r="B280" s="511" t="s">
        <v>720</v>
      </c>
      <c r="C280" s="547">
        <f t="shared" si="31"/>
        <v>0.26704959774919762</v>
      </c>
      <c r="D280" s="547">
        <f t="shared" si="31"/>
        <v>0</v>
      </c>
      <c r="E280" s="574">
        <f t="shared" si="32"/>
        <v>-0.26704959774919762</v>
      </c>
    </row>
    <row r="281" spans="1:5" x14ac:dyDescent="0.2">
      <c r="A281" s="512">
        <v>6</v>
      </c>
      <c r="B281" s="511" t="s">
        <v>418</v>
      </c>
      <c r="C281" s="547">
        <f t="shared" si="31"/>
        <v>0.18742223900325664</v>
      </c>
      <c r="D281" s="547">
        <f t="shared" si="31"/>
        <v>0.35077914545784999</v>
      </c>
      <c r="E281" s="574">
        <f t="shared" si="32"/>
        <v>0.16335690645459336</v>
      </c>
    </row>
    <row r="282" spans="1:5" x14ac:dyDescent="0.2">
      <c r="A282" s="512">
        <v>7</v>
      </c>
      <c r="B282" s="511" t="s">
        <v>735</v>
      </c>
      <c r="C282" s="547">
        <f t="shared" si="31"/>
        <v>5.3382281429534495E-2</v>
      </c>
      <c r="D282" s="547">
        <f t="shared" si="31"/>
        <v>0.25346931759408792</v>
      </c>
      <c r="E282" s="574">
        <f t="shared" si="32"/>
        <v>0.20008703616455342</v>
      </c>
    </row>
    <row r="283" spans="1:5" ht="29.25" customHeight="1" x14ac:dyDescent="0.2">
      <c r="A283" s="512"/>
      <c r="B283" s="516" t="s">
        <v>821</v>
      </c>
      <c r="C283" s="575">
        <f t="shared" si="31"/>
        <v>0.37937661320706029</v>
      </c>
      <c r="D283" s="575">
        <f t="shared" si="31"/>
        <v>0.37366524731487211</v>
      </c>
      <c r="E283" s="576">
        <f t="shared" si="32"/>
        <v>-5.7113658921881805E-3</v>
      </c>
    </row>
    <row r="284" spans="1:5" x14ac:dyDescent="0.2">
      <c r="A284" s="512"/>
      <c r="B284" s="516" t="s">
        <v>822</v>
      </c>
      <c r="C284" s="575">
        <f t="shared" si="31"/>
        <v>0.4185853865023077</v>
      </c>
      <c r="D284" s="575">
        <f t="shared" si="31"/>
        <v>0.43024894439015365</v>
      </c>
      <c r="E284" s="576">
        <f t="shared" si="32"/>
        <v>1.1663557887845954E-2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823</v>
      </c>
      <c r="C286" s="520"/>
      <c r="D286" s="520"/>
      <c r="E286" s="520"/>
    </row>
    <row r="287" spans="1:5" x14ac:dyDescent="0.2">
      <c r="A287" s="512">
        <v>1</v>
      </c>
      <c r="B287" s="511" t="s">
        <v>628</v>
      </c>
      <c r="C287" s="547">
        <f t="shared" ref="C287:D295" si="33">IF(C25=0,0,+C58/C25)</f>
        <v>0.47246462423616775</v>
      </c>
      <c r="D287" s="547">
        <f t="shared" si="33"/>
        <v>0.51489778191169733</v>
      </c>
      <c r="E287" s="574">
        <f t="shared" ref="E287:E295" si="34">D287-C287</f>
        <v>4.2433157675529576E-2</v>
      </c>
    </row>
    <row r="288" spans="1:5" x14ac:dyDescent="0.2">
      <c r="A288" s="512">
        <v>2</v>
      </c>
      <c r="B288" s="511" t="s">
        <v>607</v>
      </c>
      <c r="C288" s="547">
        <f t="shared" si="33"/>
        <v>0.32682163046706314</v>
      </c>
      <c r="D288" s="547">
        <f t="shared" si="33"/>
        <v>0.31225871050048842</v>
      </c>
      <c r="E288" s="574">
        <f t="shared" si="34"/>
        <v>-1.4562919966574717E-2</v>
      </c>
    </row>
    <row r="289" spans="1:5" x14ac:dyDescent="0.2">
      <c r="A289" s="512">
        <v>3</v>
      </c>
      <c r="B289" s="511" t="s">
        <v>753</v>
      </c>
      <c r="C289" s="547">
        <f t="shared" si="33"/>
        <v>0.2408562732956806</v>
      </c>
      <c r="D289" s="547">
        <f t="shared" si="33"/>
        <v>0.29367522221905301</v>
      </c>
      <c r="E289" s="574">
        <f t="shared" si="34"/>
        <v>5.2818948923372411E-2</v>
      </c>
    </row>
    <row r="290" spans="1:5" x14ac:dyDescent="0.2">
      <c r="A290" s="512">
        <v>4</v>
      </c>
      <c r="B290" s="511" t="s">
        <v>114</v>
      </c>
      <c r="C290" s="547">
        <f t="shared" si="33"/>
        <v>0.24362624052721055</v>
      </c>
      <c r="D290" s="547">
        <f t="shared" si="33"/>
        <v>0.29367522221905301</v>
      </c>
      <c r="E290" s="574">
        <f t="shared" si="34"/>
        <v>5.0048981691842465E-2</v>
      </c>
    </row>
    <row r="291" spans="1:5" x14ac:dyDescent="0.2">
      <c r="A291" s="512">
        <v>5</v>
      </c>
      <c r="B291" s="511" t="s">
        <v>720</v>
      </c>
      <c r="C291" s="547">
        <f t="shared" si="33"/>
        <v>0.21871192627555858</v>
      </c>
      <c r="D291" s="547">
        <f t="shared" si="33"/>
        <v>0</v>
      </c>
      <c r="E291" s="574">
        <f t="shared" si="34"/>
        <v>-0.21871192627555858</v>
      </c>
    </row>
    <row r="292" spans="1:5" x14ac:dyDescent="0.2">
      <c r="A292" s="512">
        <v>6</v>
      </c>
      <c r="B292" s="511" t="s">
        <v>418</v>
      </c>
      <c r="C292" s="547">
        <f t="shared" si="33"/>
        <v>0.47118586580489147</v>
      </c>
      <c r="D292" s="547">
        <f t="shared" si="33"/>
        <v>0.41868444665662757</v>
      </c>
      <c r="E292" s="574">
        <f t="shared" si="34"/>
        <v>-5.2501419148263895E-2</v>
      </c>
    </row>
    <row r="293" spans="1:5" x14ac:dyDescent="0.2">
      <c r="A293" s="512">
        <v>7</v>
      </c>
      <c r="B293" s="511" t="s">
        <v>735</v>
      </c>
      <c r="C293" s="547">
        <f t="shared" si="33"/>
        <v>5.3382299411227387E-2</v>
      </c>
      <c r="D293" s="547">
        <f t="shared" si="33"/>
        <v>0.25346922611618689</v>
      </c>
      <c r="E293" s="574">
        <f t="shared" si="34"/>
        <v>0.20008692670495951</v>
      </c>
    </row>
    <row r="294" spans="1:5" ht="29.25" customHeight="1" x14ac:dyDescent="0.2">
      <c r="A294" s="512"/>
      <c r="B294" s="516" t="s">
        <v>824</v>
      </c>
      <c r="C294" s="575">
        <f t="shared" si="33"/>
        <v>0.29665760386592938</v>
      </c>
      <c r="D294" s="575">
        <f t="shared" si="33"/>
        <v>0.30607656316636267</v>
      </c>
      <c r="E294" s="576">
        <f t="shared" si="34"/>
        <v>9.4189593004332939E-3</v>
      </c>
    </row>
    <row r="295" spans="1:5" x14ac:dyDescent="0.2">
      <c r="A295" s="512"/>
      <c r="B295" s="516" t="s">
        <v>825</v>
      </c>
      <c r="C295" s="575">
        <f t="shared" si="33"/>
        <v>0.38201395103291741</v>
      </c>
      <c r="D295" s="575">
        <f t="shared" si="33"/>
        <v>0.40281314623118769</v>
      </c>
      <c r="E295" s="576">
        <f t="shared" si="34"/>
        <v>2.0799195198270282E-2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826</v>
      </c>
      <c r="B297" s="501" t="s">
        <v>827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828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626</v>
      </c>
      <c r="C301" s="514">
        <f>+C48+C47+C50+C51+C52+C59+C58+C61+C62+C63</f>
        <v>774892530</v>
      </c>
      <c r="D301" s="514">
        <f>+D48+D47+D50+D51+D52+D59+D58+D61+D62+D63</f>
        <v>863299847</v>
      </c>
      <c r="E301" s="514">
        <f>D301-C301</f>
        <v>88407317</v>
      </c>
    </row>
    <row r="302" spans="1:5" ht="25.5" x14ac:dyDescent="0.2">
      <c r="A302" s="512">
        <v>2</v>
      </c>
      <c r="B302" s="511" t="s">
        <v>829</v>
      </c>
      <c r="C302" s="546">
        <f>C265</f>
        <v>3946217</v>
      </c>
      <c r="D302" s="546">
        <f>D265</f>
        <v>0</v>
      </c>
      <c r="E302" s="514">
        <f>D302-C302</f>
        <v>-3946217</v>
      </c>
    </row>
    <row r="303" spans="1:5" x14ac:dyDescent="0.2">
      <c r="A303" s="512"/>
      <c r="B303" s="516" t="s">
        <v>830</v>
      </c>
      <c r="C303" s="517">
        <f>+C301+C302</f>
        <v>778838747</v>
      </c>
      <c r="D303" s="517">
        <f>+D301+D302</f>
        <v>863299847</v>
      </c>
      <c r="E303" s="517">
        <f>D303-C303</f>
        <v>84461100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831</v>
      </c>
      <c r="C305" s="513">
        <v>22154628</v>
      </c>
      <c r="D305" s="578">
        <v>-9340569</v>
      </c>
      <c r="E305" s="579">
        <f>D305-C305</f>
        <v>-31495197</v>
      </c>
    </row>
    <row r="306" spans="1:5" x14ac:dyDescent="0.2">
      <c r="A306" s="512">
        <v>4</v>
      </c>
      <c r="B306" s="516" t="s">
        <v>832</v>
      </c>
      <c r="C306" s="580">
        <f>+C303+C305</f>
        <v>800993375</v>
      </c>
      <c r="D306" s="580">
        <f>+D303+D305</f>
        <v>853959278</v>
      </c>
      <c r="E306" s="580">
        <f>D306-C306</f>
        <v>52965903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833</v>
      </c>
      <c r="C308" s="513">
        <v>800993375</v>
      </c>
      <c r="D308" s="513">
        <v>853959278</v>
      </c>
      <c r="E308" s="514">
        <f>D308-C308</f>
        <v>52965903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834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835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836</v>
      </c>
      <c r="C314" s="514">
        <f>+C14+C15+C16+C19+C25+C26+C27+C30</f>
        <v>1901719123</v>
      </c>
      <c r="D314" s="514">
        <f>+D14+D15+D16+D19+D25+D26+D27+D30</f>
        <v>2049319284</v>
      </c>
      <c r="E314" s="514">
        <f>D314-C314</f>
        <v>147600161</v>
      </c>
    </row>
    <row r="315" spans="1:5" x14ac:dyDescent="0.2">
      <c r="A315" s="512">
        <v>2</v>
      </c>
      <c r="B315" s="583" t="s">
        <v>837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838</v>
      </c>
      <c r="C316" s="581">
        <f>C314+C315</f>
        <v>1901719123</v>
      </c>
      <c r="D316" s="581">
        <f>D314+D315</f>
        <v>2049319284</v>
      </c>
      <c r="E316" s="517">
        <f>D316-C316</f>
        <v>147600161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839</v>
      </c>
      <c r="C318" s="513">
        <v>1901719123</v>
      </c>
      <c r="D318" s="513">
        <v>2049319284</v>
      </c>
      <c r="E318" s="514">
        <f>D318-C318</f>
        <v>147600161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834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840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841</v>
      </c>
      <c r="C324" s="513">
        <f>+C193+C194</f>
        <v>65331919</v>
      </c>
      <c r="D324" s="513">
        <f>+D193+D194</f>
        <v>31166192</v>
      </c>
      <c r="E324" s="514">
        <f>D324-C324</f>
        <v>-34165727</v>
      </c>
    </row>
    <row r="325" spans="1:5" x14ac:dyDescent="0.2">
      <c r="A325" s="512">
        <v>2</v>
      </c>
      <c r="B325" s="511" t="s">
        <v>842</v>
      </c>
      <c r="C325" s="513">
        <v>2296537</v>
      </c>
      <c r="D325" s="513">
        <v>2112198</v>
      </c>
      <c r="E325" s="514">
        <f>D325-C325</f>
        <v>-184339</v>
      </c>
    </row>
    <row r="326" spans="1:5" x14ac:dyDescent="0.2">
      <c r="A326" s="512"/>
      <c r="B326" s="516" t="s">
        <v>843</v>
      </c>
      <c r="C326" s="581">
        <f>C324+C325</f>
        <v>67628456</v>
      </c>
      <c r="D326" s="581">
        <f>D324+D325</f>
        <v>33278390</v>
      </c>
      <c r="E326" s="517">
        <f>D326-C326</f>
        <v>-34350066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844</v>
      </c>
      <c r="C328" s="513">
        <v>67628456</v>
      </c>
      <c r="D328" s="513">
        <v>33278390</v>
      </c>
      <c r="E328" s="514">
        <f>D328-C328</f>
        <v>-34350066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845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FILING&amp;RHARTFORD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598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846</v>
      </c>
      <c r="B5" s="696"/>
      <c r="C5" s="697"/>
      <c r="D5" s="585"/>
    </row>
    <row r="6" spans="1:58" s="338" customFormat="1" ht="15.75" customHeight="1" x14ac:dyDescent="0.25">
      <c r="A6" s="695" t="s">
        <v>847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848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849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752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628</v>
      </c>
      <c r="C14" s="513">
        <v>448848221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607</v>
      </c>
      <c r="C15" s="515">
        <v>672572624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753</v>
      </c>
      <c r="C16" s="515">
        <v>247961574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247961574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720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8638310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735</v>
      </c>
      <c r="C20" s="515">
        <v>13165053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754</v>
      </c>
      <c r="C21" s="517">
        <f>SUM(C15+C16+C19)</f>
        <v>929172508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694</v>
      </c>
      <c r="C22" s="517">
        <f>SUM(C14+C21)</f>
        <v>1378020729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755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628</v>
      </c>
      <c r="C25" s="513">
        <v>310979549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607</v>
      </c>
      <c r="C26" s="515">
        <v>226612897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753</v>
      </c>
      <c r="C27" s="515">
        <v>131648815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131648815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720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2057294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735</v>
      </c>
      <c r="C31" s="518">
        <v>25660622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756</v>
      </c>
      <c r="C32" s="517">
        <f>SUM(C26+C27+C30)</f>
        <v>360319006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700</v>
      </c>
      <c r="C33" s="517">
        <f>SUM(C25+C32)</f>
        <v>671298555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625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850</v>
      </c>
      <c r="C36" s="514">
        <f>SUM(C14+C25)</f>
        <v>759827770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851</v>
      </c>
      <c r="C37" s="518">
        <f>SUM(C21+C32)</f>
        <v>1289491514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625</v>
      </c>
      <c r="C38" s="517">
        <f>SUM(+C36+C37)</f>
        <v>2049319284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765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628</v>
      </c>
      <c r="C41" s="513">
        <v>245692489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607</v>
      </c>
      <c r="C42" s="515">
        <v>268673534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753</v>
      </c>
      <c r="C43" s="515">
        <v>75495802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75495802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720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3030139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735</v>
      </c>
      <c r="C47" s="515">
        <v>3336937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766</v>
      </c>
      <c r="C48" s="517">
        <f>SUM(C42+C43+C46)</f>
        <v>347199475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695</v>
      </c>
      <c r="C49" s="517">
        <f>SUM(C41+C48)</f>
        <v>592891964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767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628</v>
      </c>
      <c r="C52" s="513">
        <v>160122680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607</v>
      </c>
      <c r="C53" s="515">
        <v>70761851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753</v>
      </c>
      <c r="C54" s="515">
        <v>38661995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38661995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720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861357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735</v>
      </c>
      <c r="C58" s="515">
        <v>6504178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768</v>
      </c>
      <c r="C59" s="517">
        <f>SUM(C53+C54+C57)</f>
        <v>110285203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701</v>
      </c>
      <c r="C60" s="517">
        <f>SUM(C52+C59)</f>
        <v>270407883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626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852</v>
      </c>
      <c r="C63" s="514">
        <f>SUM(C41+C52)</f>
        <v>405815169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853</v>
      </c>
      <c r="C64" s="518">
        <f>SUM(C48+C59)</f>
        <v>457484678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626</v>
      </c>
      <c r="C65" s="517">
        <f>SUM(+C63+C64)</f>
        <v>863299847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854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855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628</v>
      </c>
      <c r="C70" s="530">
        <v>15149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607</v>
      </c>
      <c r="C71" s="530">
        <v>15795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753</v>
      </c>
      <c r="C72" s="530">
        <v>9492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9492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720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238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735</v>
      </c>
      <c r="C76" s="545">
        <v>359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783</v>
      </c>
      <c r="C77" s="532">
        <f>SUM(C71+C72+C75)</f>
        <v>25525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697</v>
      </c>
      <c r="C78" s="596">
        <f>SUM(C70+C77)</f>
        <v>40674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788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628</v>
      </c>
      <c r="C81" s="541">
        <v>1.4201999999999999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607</v>
      </c>
      <c r="C82" s="541">
        <v>1.8613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753</v>
      </c>
      <c r="C83" s="541">
        <f>((C73*C84)+(C74*C85))/(C73+C74)</f>
        <v>1.206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1.206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720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1.179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735</v>
      </c>
      <c r="C87" s="541">
        <v>1.3913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789</v>
      </c>
      <c r="C88" s="543">
        <f>((C71*C82)+(C73*C84)+(C74*C85)+(C75*C86))/(C71+C73+C74+C75)</f>
        <v>1.6112512242899117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698</v>
      </c>
      <c r="C89" s="543">
        <f>((C70*C81)+(C71*C82)+(C73*C84)+(C74*C85)+(C75*C86))/(C70+C71+C73+C74+C75)</f>
        <v>1.5400943428234251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790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791</v>
      </c>
      <c r="C92" s="513">
        <v>702077657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792</v>
      </c>
      <c r="C93" s="546">
        <v>379231248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640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724</v>
      </c>
      <c r="C95" s="513">
        <f>+C92-C93</f>
        <v>322846409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642</v>
      </c>
      <c r="C96" s="597">
        <f>(+C92-C93)/C92</f>
        <v>0.45984430038627477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739</v>
      </c>
      <c r="C98" s="513">
        <v>24733408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725</v>
      </c>
      <c r="C99" s="513">
        <v>13830886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856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794</v>
      </c>
      <c r="C103" s="513">
        <v>18246408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795</v>
      </c>
      <c r="C104" s="513">
        <v>12919784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796</v>
      </c>
      <c r="C105" s="578">
        <f>+C103+C104</f>
        <v>31166192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797</v>
      </c>
      <c r="C107" s="513">
        <v>121645764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682</v>
      </c>
      <c r="C108" s="513">
        <v>963927041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827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828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626</v>
      </c>
      <c r="C114" s="514">
        <f>+C65</f>
        <v>863299847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829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830</v>
      </c>
      <c r="C116" s="517">
        <f>+C114+C115</f>
        <v>863299847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831</v>
      </c>
      <c r="C118" s="578">
        <v>-9340569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832</v>
      </c>
      <c r="C119" s="580">
        <f>+C116+C118</f>
        <v>853959278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833</v>
      </c>
      <c r="C121" s="513">
        <v>853959278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834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835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836</v>
      </c>
      <c r="C127" s="514">
        <f>+C38</f>
        <v>2049319284</v>
      </c>
      <c r="D127" s="588"/>
      <c r="AR127" s="507"/>
    </row>
    <row r="128" spans="1:58" s="506" customFormat="1" x14ac:dyDescent="0.2">
      <c r="A128" s="512">
        <v>2</v>
      </c>
      <c r="B128" s="583" t="s">
        <v>837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838</v>
      </c>
      <c r="C129" s="581">
        <f>C127+C128</f>
        <v>2049319284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839</v>
      </c>
      <c r="C131" s="513">
        <v>2049319284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834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840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841</v>
      </c>
      <c r="C137" s="513">
        <f>C105</f>
        <v>31166192</v>
      </c>
      <c r="D137" s="588"/>
      <c r="AR137" s="507"/>
    </row>
    <row r="138" spans="1:44" s="506" customFormat="1" x14ac:dyDescent="0.2">
      <c r="A138" s="512">
        <v>2</v>
      </c>
      <c r="B138" s="511" t="s">
        <v>857</v>
      </c>
      <c r="C138" s="513">
        <v>2112198</v>
      </c>
      <c r="D138" s="588"/>
      <c r="AR138" s="507"/>
    </row>
    <row r="139" spans="1:44" s="506" customFormat="1" x14ac:dyDescent="0.2">
      <c r="A139" s="512"/>
      <c r="B139" s="516" t="s">
        <v>843</v>
      </c>
      <c r="C139" s="581">
        <f>C137+C138</f>
        <v>33278390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858</v>
      </c>
      <c r="C141" s="513">
        <v>33278390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845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FILING&amp;RHARTFORD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859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602</v>
      </c>
      <c r="D8" s="35" t="s">
        <v>602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604</v>
      </c>
      <c r="D9" s="607" t="s">
        <v>605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860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861</v>
      </c>
      <c r="C12" s="49">
        <v>11293</v>
      </c>
      <c r="D12" s="49">
        <v>9496</v>
      </c>
      <c r="E12" s="49">
        <f>+D12-C12</f>
        <v>-1797</v>
      </c>
      <c r="F12" s="70">
        <f>IF(C12=0,0,+E12/C12)</f>
        <v>-0.15912512175684052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862</v>
      </c>
      <c r="C13" s="49">
        <v>10728</v>
      </c>
      <c r="D13" s="49">
        <v>9021</v>
      </c>
      <c r="E13" s="49">
        <f>+D13-C13</f>
        <v>-1707</v>
      </c>
      <c r="F13" s="70">
        <f>IF(C13=0,0,+E13/C13)</f>
        <v>-0.15911633109619686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863</v>
      </c>
      <c r="C15" s="51">
        <v>27507152</v>
      </c>
      <c r="D15" s="51">
        <v>18246408</v>
      </c>
      <c r="E15" s="51">
        <f>+D15-C15</f>
        <v>-9260744</v>
      </c>
      <c r="F15" s="70">
        <f>IF(C15=0,0,+E15/C15)</f>
        <v>-0.33666676942782009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864</v>
      </c>
      <c r="C16" s="27">
        <f>IF(C13=0,0,+C15/+C13)</f>
        <v>2564.0521998508575</v>
      </c>
      <c r="D16" s="27">
        <f>IF(D13=0,0,+D15/+D13)</f>
        <v>2022.6591286997007</v>
      </c>
      <c r="E16" s="27">
        <f>+D16-C16</f>
        <v>-541.39307115115685</v>
      </c>
      <c r="F16" s="28">
        <f>IF(C16=0,0,+E16/C16)</f>
        <v>-0.21114744511934971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865</v>
      </c>
      <c r="C18" s="210">
        <v>0.44865899999999997</v>
      </c>
      <c r="D18" s="210">
        <v>0.45300400000000002</v>
      </c>
      <c r="E18" s="210">
        <f>+D18-C18</f>
        <v>4.3450000000000433E-3</v>
      </c>
      <c r="F18" s="70">
        <f>IF(C18=0,0,+E18/C18)</f>
        <v>9.6844151125911743E-3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866</v>
      </c>
      <c r="C19" s="27">
        <f>+C15*C18</f>
        <v>12341331.309168</v>
      </c>
      <c r="D19" s="27">
        <f>+D15*D18</f>
        <v>8265695.8096320005</v>
      </c>
      <c r="E19" s="27">
        <f>+D19-C19</f>
        <v>-4075635.4995359993</v>
      </c>
      <c r="F19" s="28">
        <f>IF(C19=0,0,+E19/C19)</f>
        <v>-0.33024277506498295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867</v>
      </c>
      <c r="C20" s="27">
        <f>IF(C13=0,0,+C19/C13)</f>
        <v>1150.3850959328859</v>
      </c>
      <c r="D20" s="27">
        <f>IF(D13=0,0,+D19/D13)</f>
        <v>916.27267593747922</v>
      </c>
      <c r="E20" s="27">
        <f>+D20-C20</f>
        <v>-234.11241999540664</v>
      </c>
      <c r="F20" s="28">
        <f>IF(C20=0,0,+E20/C20)</f>
        <v>-0.20350786951525743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868</v>
      </c>
      <c r="C22" s="51">
        <v>17294944</v>
      </c>
      <c r="D22" s="51">
        <v>8251032</v>
      </c>
      <c r="E22" s="51">
        <f>+D22-C22</f>
        <v>-9043912</v>
      </c>
      <c r="F22" s="70">
        <f>IF(C22=0,0,+E22/C22)</f>
        <v>-0.52292230607974211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869</v>
      </c>
      <c r="C23" s="49">
        <v>6588371</v>
      </c>
      <c r="D23" s="49">
        <v>5446471</v>
      </c>
      <c r="E23" s="49">
        <f>+D23-C23</f>
        <v>-1141900</v>
      </c>
      <c r="F23" s="70">
        <f>IF(C23=0,0,+E23/C23)</f>
        <v>-0.1733205370492949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870</v>
      </c>
      <c r="C24" s="49">
        <v>3623837</v>
      </c>
      <c r="D24" s="49">
        <v>4548905</v>
      </c>
      <c r="E24" s="49">
        <f>+D24-C24</f>
        <v>925068</v>
      </c>
      <c r="F24" s="70">
        <f>IF(C24=0,0,+E24/C24)</f>
        <v>0.25527307105700392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863</v>
      </c>
      <c r="C25" s="27">
        <f>+C22+C23+C24</f>
        <v>27507152</v>
      </c>
      <c r="D25" s="27">
        <f>+D22+D23+D24</f>
        <v>18246408</v>
      </c>
      <c r="E25" s="27">
        <f>+E22+E23+E24</f>
        <v>-9260744</v>
      </c>
      <c r="F25" s="28">
        <f>IF(C25=0,0,+E25/C25)</f>
        <v>-0.33666676942782009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871</v>
      </c>
      <c r="C27" s="49">
        <v>2425</v>
      </c>
      <c r="D27" s="49">
        <v>1939</v>
      </c>
      <c r="E27" s="49">
        <f>+D27-C27</f>
        <v>-486</v>
      </c>
      <c r="F27" s="70">
        <f>IF(C27=0,0,+E27/C27)</f>
        <v>-0.20041237113402061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872</v>
      </c>
      <c r="C28" s="49">
        <v>408</v>
      </c>
      <c r="D28" s="49">
        <v>345</v>
      </c>
      <c r="E28" s="49">
        <f>+D28-C28</f>
        <v>-63</v>
      </c>
      <c r="F28" s="70">
        <f>IF(C28=0,0,+E28/C28)</f>
        <v>-0.15441176470588236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873</v>
      </c>
      <c r="C29" s="49">
        <v>7422</v>
      </c>
      <c r="D29" s="49">
        <v>5488</v>
      </c>
      <c r="E29" s="49">
        <f>+D29-C29</f>
        <v>-1934</v>
      </c>
      <c r="F29" s="70">
        <f>IF(C29=0,0,+E29/C29)</f>
        <v>-0.26057666397197521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874</v>
      </c>
      <c r="C30" s="49">
        <v>11907</v>
      </c>
      <c r="D30" s="49">
        <v>8946</v>
      </c>
      <c r="E30" s="49">
        <f>+D30-C30</f>
        <v>-2961</v>
      </c>
      <c r="F30" s="70">
        <f>IF(C30=0,0,+E30/C30)</f>
        <v>-0.24867724867724866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875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876</v>
      </c>
      <c r="C33" s="51">
        <v>17445641</v>
      </c>
      <c r="D33" s="51">
        <v>4826727</v>
      </c>
      <c r="E33" s="51">
        <f>+D33-C33</f>
        <v>-12618914</v>
      </c>
      <c r="F33" s="70">
        <f>IF(C33=0,0,+E33/C33)</f>
        <v>-0.72332762092261327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877</v>
      </c>
      <c r="C34" s="49">
        <v>6280347</v>
      </c>
      <c r="D34" s="49">
        <v>5017695</v>
      </c>
      <c r="E34" s="49">
        <f>+D34-C34</f>
        <v>-1262652</v>
      </c>
      <c r="F34" s="70">
        <f>IF(C34=0,0,+E34/C34)</f>
        <v>-0.20104812679936315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878</v>
      </c>
      <c r="C35" s="49">
        <v>14098779</v>
      </c>
      <c r="D35" s="49">
        <v>3075362</v>
      </c>
      <c r="E35" s="49">
        <f>+D35-C35</f>
        <v>-11023417</v>
      </c>
      <c r="F35" s="70">
        <f>IF(C35=0,0,+E35/C35)</f>
        <v>-0.78187033075701096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879</v>
      </c>
      <c r="C36" s="27">
        <f>+C33+C34+C35</f>
        <v>37824767</v>
      </c>
      <c r="D36" s="27">
        <f>+D33+D34+D35</f>
        <v>12919784</v>
      </c>
      <c r="E36" s="27">
        <f>+E33+E34+E35</f>
        <v>-24904983</v>
      </c>
      <c r="F36" s="28">
        <f>IF(C36=0,0,+E36/C36)</f>
        <v>-0.65843057275144612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880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881</v>
      </c>
      <c r="C39" s="51">
        <f>+C25</f>
        <v>27507152</v>
      </c>
      <c r="D39" s="51">
        <f>+D25</f>
        <v>18246408</v>
      </c>
      <c r="E39" s="51">
        <f>+D39-C39</f>
        <v>-9260744</v>
      </c>
      <c r="F39" s="70">
        <f>IF(C39=0,0,+E39/C39)</f>
        <v>-0.33666676942782009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882</v>
      </c>
      <c r="C40" s="49">
        <f>+C36</f>
        <v>37824767</v>
      </c>
      <c r="D40" s="49">
        <f>+D36</f>
        <v>12919784</v>
      </c>
      <c r="E40" s="49">
        <f>+D40-C40</f>
        <v>-24904983</v>
      </c>
      <c r="F40" s="70">
        <f>IF(C40=0,0,+E40/C40)</f>
        <v>-0.65843057275144612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883</v>
      </c>
      <c r="C41" s="27">
        <f>+C39+C40</f>
        <v>65331919</v>
      </c>
      <c r="D41" s="27">
        <f>+D39+D40</f>
        <v>31166192</v>
      </c>
      <c r="E41" s="27">
        <f>+E39+E40</f>
        <v>-34165727</v>
      </c>
      <c r="F41" s="28">
        <f>IF(C41=0,0,+E41/C41)</f>
        <v>-0.52295612195319108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884</v>
      </c>
      <c r="C43" s="51">
        <f t="shared" ref="C43:D45" si="0">+C22+C33</f>
        <v>34740585</v>
      </c>
      <c r="D43" s="51">
        <f t="shared" si="0"/>
        <v>13077759</v>
      </c>
      <c r="E43" s="51">
        <f>+D43-C43</f>
        <v>-21662826</v>
      </c>
      <c r="F43" s="70">
        <f>IF(C43=0,0,+E43/C43)</f>
        <v>-0.6235596205417957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885</v>
      </c>
      <c r="C44" s="49">
        <f t="shared" si="0"/>
        <v>12868718</v>
      </c>
      <c r="D44" s="49">
        <f t="shared" si="0"/>
        <v>10464166</v>
      </c>
      <c r="E44" s="49">
        <f>+D44-C44</f>
        <v>-2404552</v>
      </c>
      <c r="F44" s="70">
        <f>IF(C44=0,0,+E44/C44)</f>
        <v>-0.18685248989060138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886</v>
      </c>
      <c r="C45" s="49">
        <f t="shared" si="0"/>
        <v>17722616</v>
      </c>
      <c r="D45" s="49">
        <f t="shared" si="0"/>
        <v>7624267</v>
      </c>
      <c r="E45" s="49">
        <f>+D45-C45</f>
        <v>-10098349</v>
      </c>
      <c r="F45" s="70">
        <f>IF(C45=0,0,+E45/C45)</f>
        <v>-0.56980013560074882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883</v>
      </c>
      <c r="C46" s="27">
        <f>+C43+C44+C45</f>
        <v>65331919</v>
      </c>
      <c r="D46" s="27">
        <f>+D43+D44+D45</f>
        <v>31166192</v>
      </c>
      <c r="E46" s="27">
        <f>+E43+E44+E45</f>
        <v>-34165727</v>
      </c>
      <c r="F46" s="28">
        <f>IF(C46=0,0,+E46/C46)</f>
        <v>-0.52295612195319108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887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FILING&amp;RHARTFORD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888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889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604</v>
      </c>
      <c r="D9" s="35" t="s">
        <v>605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890</v>
      </c>
      <c r="D10" s="35" t="s">
        <v>890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891</v>
      </c>
      <c r="D11" s="605" t="s">
        <v>891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892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651518348</v>
      </c>
      <c r="D15" s="51">
        <v>702077657</v>
      </c>
      <c r="E15" s="51">
        <f>+D15-C15</f>
        <v>50559309</v>
      </c>
      <c r="F15" s="70">
        <f>+E15/C15</f>
        <v>7.7602279590750681E-2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893</v>
      </c>
      <c r="C17" s="51">
        <v>303305941</v>
      </c>
      <c r="D17" s="51">
        <v>322846409</v>
      </c>
      <c r="E17" s="51">
        <f>+D17-C17</f>
        <v>19540468</v>
      </c>
      <c r="F17" s="70">
        <f>+E17/C17</f>
        <v>6.4424943130276496E-2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894</v>
      </c>
      <c r="C19" s="27">
        <f>+C15-C17</f>
        <v>348212407</v>
      </c>
      <c r="D19" s="27">
        <f>+D15-D17</f>
        <v>379231248</v>
      </c>
      <c r="E19" s="27">
        <f>+D19-C19</f>
        <v>31018841</v>
      </c>
      <c r="F19" s="28">
        <f>+E19/C19</f>
        <v>8.908022912578184E-2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895</v>
      </c>
      <c r="C21" s="628">
        <f>+C17/C15</f>
        <v>0.46553706726920913</v>
      </c>
      <c r="D21" s="628">
        <f>+D17/D15</f>
        <v>0.45984430038627477</v>
      </c>
      <c r="E21" s="628">
        <f>+D21-C21</f>
        <v>-5.6927668829343525E-3</v>
      </c>
      <c r="F21" s="28">
        <f>+E21/C21</f>
        <v>-1.222838584331752E-2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896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FILING&amp;R&amp;12HARTFORD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897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898</v>
      </c>
      <c r="B6" s="632" t="s">
        <v>899</v>
      </c>
      <c r="C6" s="632" t="s">
        <v>900</v>
      </c>
      <c r="D6" s="632" t="s">
        <v>901</v>
      </c>
      <c r="E6" s="632" t="s">
        <v>902</v>
      </c>
    </row>
    <row r="7" spans="1:6" ht="37.5" customHeight="1" x14ac:dyDescent="0.25">
      <c r="A7" s="633" t="s">
        <v>8</v>
      </c>
      <c r="B7" s="634" t="s">
        <v>903</v>
      </c>
      <c r="C7" s="631" t="s">
        <v>904</v>
      </c>
      <c r="D7" s="631" t="s">
        <v>905</v>
      </c>
      <c r="E7" s="631" t="s">
        <v>906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907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908</v>
      </c>
      <c r="C10" s="641">
        <v>1220439016</v>
      </c>
      <c r="D10" s="641">
        <v>1323691385</v>
      </c>
      <c r="E10" s="641">
        <v>1378020729</v>
      </c>
    </row>
    <row r="11" spans="1:6" ht="26.1" customHeight="1" x14ac:dyDescent="0.25">
      <c r="A11" s="639">
        <v>2</v>
      </c>
      <c r="B11" s="640" t="s">
        <v>909</v>
      </c>
      <c r="C11" s="641">
        <v>493992632</v>
      </c>
      <c r="D11" s="641">
        <v>578027738</v>
      </c>
      <c r="E11" s="641">
        <v>671298555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1714431648</v>
      </c>
      <c r="D12" s="641">
        <f>+D11+D10</f>
        <v>1901719123</v>
      </c>
      <c r="E12" s="641">
        <f>+E11+E10</f>
        <v>2049319284</v>
      </c>
    </row>
    <row r="13" spans="1:6" ht="26.1" customHeight="1" x14ac:dyDescent="0.25">
      <c r="A13" s="639">
        <v>4</v>
      </c>
      <c r="B13" s="640" t="s">
        <v>484</v>
      </c>
      <c r="C13" s="641">
        <v>717211741</v>
      </c>
      <c r="D13" s="641">
        <v>794806049</v>
      </c>
      <c r="E13" s="641">
        <v>853959278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910</v>
      </c>
      <c r="C16" s="641">
        <v>824454105</v>
      </c>
      <c r="D16" s="641">
        <v>920001155</v>
      </c>
      <c r="E16" s="641">
        <v>963927041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911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215958</v>
      </c>
      <c r="D19" s="644">
        <v>220114</v>
      </c>
      <c r="E19" s="644">
        <v>223555</v>
      </c>
    </row>
    <row r="20" spans="1:5" ht="26.1" customHeight="1" x14ac:dyDescent="0.25">
      <c r="A20" s="639">
        <v>2</v>
      </c>
      <c r="B20" s="640" t="s">
        <v>373</v>
      </c>
      <c r="C20" s="645">
        <v>41188</v>
      </c>
      <c r="D20" s="645">
        <v>41265</v>
      </c>
      <c r="E20" s="645">
        <v>40674</v>
      </c>
    </row>
    <row r="21" spans="1:5" ht="26.1" customHeight="1" x14ac:dyDescent="0.25">
      <c r="A21" s="639">
        <v>3</v>
      </c>
      <c r="B21" s="640" t="s">
        <v>912</v>
      </c>
      <c r="C21" s="646">
        <f>IF(C20=0,0,+C19/C20)</f>
        <v>5.2432261823832187</v>
      </c>
      <c r="D21" s="646">
        <f>IF(D20=0,0,+D19/D20)</f>
        <v>5.3341572761420091</v>
      </c>
      <c r="E21" s="646">
        <f>IF(E20=0,0,+E19/E20)</f>
        <v>5.4962629689728084</v>
      </c>
    </row>
    <row r="22" spans="1:5" ht="26.1" customHeight="1" x14ac:dyDescent="0.25">
      <c r="A22" s="639">
        <v>4</v>
      </c>
      <c r="B22" s="640" t="s">
        <v>913</v>
      </c>
      <c r="C22" s="645">
        <f>IF(C10=0,0,C19*(C12/C10))</f>
        <v>303370.52895298786</v>
      </c>
      <c r="D22" s="645">
        <f>IF(D10=0,0,D19*(D12/D10))</f>
        <v>316233.07954068313</v>
      </c>
      <c r="E22" s="645">
        <f>IF(E10=0,0,E19*(E12/E10))</f>
        <v>332459.12989065057</v>
      </c>
    </row>
    <row r="23" spans="1:5" ht="26.1" customHeight="1" x14ac:dyDescent="0.25">
      <c r="A23" s="639">
        <v>0</v>
      </c>
      <c r="B23" s="640" t="s">
        <v>914</v>
      </c>
      <c r="C23" s="645">
        <f>IF(C10=0,0,C20*(C12/C10))</f>
        <v>57859.515954563678</v>
      </c>
      <c r="D23" s="645">
        <f>IF(D10=0,0,D20*(D12/D10))</f>
        <v>59284.543587624088</v>
      </c>
      <c r="E23" s="645">
        <f>IF(E10=0,0,E20*(E12/E10))</f>
        <v>60488.213858658142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915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1.409240557929494</v>
      </c>
      <c r="D26" s="647">
        <v>1.4865138882830486</v>
      </c>
      <c r="E26" s="647">
        <v>1.5400943428234251</v>
      </c>
    </row>
    <row r="27" spans="1:5" ht="26.1" customHeight="1" x14ac:dyDescent="0.25">
      <c r="A27" s="639">
        <v>2</v>
      </c>
      <c r="B27" s="640" t="s">
        <v>916</v>
      </c>
      <c r="C27" s="645">
        <f>C19*C26</f>
        <v>304336.77240933769</v>
      </c>
      <c r="D27" s="645">
        <f>D19*D26</f>
        <v>327202.51800553495</v>
      </c>
      <c r="E27" s="645">
        <f>E19*E26</f>
        <v>344295.79080989078</v>
      </c>
    </row>
    <row r="28" spans="1:5" ht="26.1" customHeight="1" x14ac:dyDescent="0.25">
      <c r="A28" s="639">
        <v>3</v>
      </c>
      <c r="B28" s="640" t="s">
        <v>917</v>
      </c>
      <c r="C28" s="645">
        <f>C20*C26</f>
        <v>58043.8001</v>
      </c>
      <c r="D28" s="645">
        <f>D20*D26</f>
        <v>61340.995600000002</v>
      </c>
      <c r="E28" s="645">
        <f>E20*E26</f>
        <v>62641.797299999991</v>
      </c>
    </row>
    <row r="29" spans="1:5" ht="26.1" customHeight="1" x14ac:dyDescent="0.25">
      <c r="A29" s="639">
        <v>4</v>
      </c>
      <c r="B29" s="640" t="s">
        <v>918</v>
      </c>
      <c r="C29" s="645">
        <f>C22*C26</f>
        <v>427522.05348107434</v>
      </c>
      <c r="D29" s="645">
        <f>D22*D26</f>
        <v>470084.86467174347</v>
      </c>
      <c r="E29" s="645">
        <f>E22*E26</f>
        <v>512018.42516458919</v>
      </c>
    </row>
    <row r="30" spans="1:5" ht="26.1" customHeight="1" x14ac:dyDescent="0.25">
      <c r="A30" s="639">
        <v>5</v>
      </c>
      <c r="B30" s="640" t="s">
        <v>919</v>
      </c>
      <c r="C30" s="645">
        <f>C23*C26</f>
        <v>81537.97654533977</v>
      </c>
      <c r="D30" s="645">
        <f>D23*D26</f>
        <v>88127.297403524964</v>
      </c>
      <c r="E30" s="645">
        <f>E23*E26</f>
        <v>93157.555971212903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920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921</v>
      </c>
      <c r="C33" s="641">
        <f>IF(C19=0,0,C12/C19)</f>
        <v>7938.7271969549638</v>
      </c>
      <c r="D33" s="641">
        <f>IF(D19=0,0,D12/D19)</f>
        <v>8639.7008958993974</v>
      </c>
      <c r="E33" s="641">
        <f>IF(E19=0,0,E12/E19)</f>
        <v>9166.9579477086172</v>
      </c>
    </row>
    <row r="34" spans="1:5" ht="26.1" customHeight="1" x14ac:dyDescent="0.25">
      <c r="A34" s="639">
        <v>2</v>
      </c>
      <c r="B34" s="640" t="s">
        <v>922</v>
      </c>
      <c r="C34" s="641">
        <f>IF(C20=0,0,C12/C20)</f>
        <v>41624.542293872</v>
      </c>
      <c r="D34" s="641">
        <f>IF(D20=0,0,D12/D20)</f>
        <v>46085.523397552402</v>
      </c>
      <c r="E34" s="641">
        <f>IF(E20=0,0,E12/E20)</f>
        <v>50384.011506121846</v>
      </c>
    </row>
    <row r="35" spans="1:5" ht="26.1" customHeight="1" x14ac:dyDescent="0.25">
      <c r="A35" s="639">
        <v>3</v>
      </c>
      <c r="B35" s="640" t="s">
        <v>923</v>
      </c>
      <c r="C35" s="641">
        <f>IF(C22=0,0,C12/C22)</f>
        <v>5651.2794895303714</v>
      </c>
      <c r="D35" s="641">
        <f>IF(D22=0,0,D12/D22)</f>
        <v>6013.6628519767028</v>
      </c>
      <c r="E35" s="641">
        <f>IF(E22=0,0,E12/E22)</f>
        <v>6164.1239471271056</v>
      </c>
    </row>
    <row r="36" spans="1:5" ht="26.1" customHeight="1" x14ac:dyDescent="0.25">
      <c r="A36" s="639">
        <v>4</v>
      </c>
      <c r="B36" s="640" t="s">
        <v>924</v>
      </c>
      <c r="C36" s="641">
        <f>IF(C23=0,0,C12/C23)</f>
        <v>29630.936583470917</v>
      </c>
      <c r="D36" s="641">
        <f>IF(D23=0,0,D12/D23)</f>
        <v>32077.823458136438</v>
      </c>
      <c r="E36" s="641">
        <f>IF(E23=0,0,E12/E23)</f>
        <v>33879.646186753213</v>
      </c>
    </row>
    <row r="37" spans="1:5" ht="26.1" customHeight="1" x14ac:dyDescent="0.25">
      <c r="A37" s="639">
        <v>5</v>
      </c>
      <c r="B37" s="640" t="s">
        <v>925</v>
      </c>
      <c r="C37" s="641">
        <f>IF(C29=0,0,C12/C29)</f>
        <v>4010.1595556073339</v>
      </c>
      <c r="D37" s="641">
        <f>IF(D29=0,0,D12/D29)</f>
        <v>4045.4804353846944</v>
      </c>
      <c r="E37" s="641">
        <f>IF(E29=0,0,E12/E29)</f>
        <v>4002.4326924196971</v>
      </c>
    </row>
    <row r="38" spans="1:5" ht="26.1" customHeight="1" x14ac:dyDescent="0.25">
      <c r="A38" s="639">
        <v>6</v>
      </c>
      <c r="B38" s="640" t="s">
        <v>926</v>
      </c>
      <c r="C38" s="641">
        <f>IF(C30=0,0,C12/C30)</f>
        <v>21026.173577494632</v>
      </c>
      <c r="D38" s="641">
        <f>IF(D30=0,0,D12/D30)</f>
        <v>21579.228899897411</v>
      </c>
      <c r="E38" s="641">
        <f>IF(E30=0,0,E12/E30)</f>
        <v>21998.422593152514</v>
      </c>
    </row>
    <row r="39" spans="1:5" ht="26.1" customHeight="1" x14ac:dyDescent="0.25">
      <c r="A39" s="639">
        <v>7</v>
      </c>
      <c r="B39" s="640" t="s">
        <v>927</v>
      </c>
      <c r="C39" s="641">
        <f>IF(C22=0,0,C10/C22)</f>
        <v>4022.9320237930119</v>
      </c>
      <c r="D39" s="641">
        <f>IF(D22=0,0,D10/D22)</f>
        <v>4185.809362267265</v>
      </c>
      <c r="E39" s="641">
        <f>IF(E22=0,0,E10/E22)</f>
        <v>4144.9327303877808</v>
      </c>
    </row>
    <row r="40" spans="1:5" ht="26.1" customHeight="1" x14ac:dyDescent="0.25">
      <c r="A40" s="639">
        <v>8</v>
      </c>
      <c r="B40" s="640" t="s">
        <v>928</v>
      </c>
      <c r="C40" s="641">
        <f>IF(C23=0,0,C10/C23)</f>
        <v>21093.14251709943</v>
      </c>
      <c r="D40" s="641">
        <f>IF(D23=0,0,D10/D23)</f>
        <v>22327.765466281275</v>
      </c>
      <c r="E40" s="641">
        <f>IF(E23=0,0,E10/E23)</f>
        <v>22781.640274913712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929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930</v>
      </c>
      <c r="C43" s="641">
        <f>IF(C19=0,0,C13/C19)</f>
        <v>3321.0704905583493</v>
      </c>
      <c r="D43" s="641">
        <f>IF(D19=0,0,D13/D19)</f>
        <v>3610.8836739144263</v>
      </c>
      <c r="E43" s="641">
        <f>IF(E19=0,0,E13/E19)</f>
        <v>3819.9068596094921</v>
      </c>
    </row>
    <row r="44" spans="1:5" ht="26.1" customHeight="1" x14ac:dyDescent="0.25">
      <c r="A44" s="639">
        <v>2</v>
      </c>
      <c r="B44" s="640" t="s">
        <v>931</v>
      </c>
      <c r="C44" s="641">
        <f>IF(C20=0,0,C13/C20)</f>
        <v>17413.123749635815</v>
      </c>
      <c r="D44" s="641">
        <f>IF(D20=0,0,D13/D20)</f>
        <v>19261.021422513026</v>
      </c>
      <c r="E44" s="641">
        <f>IF(E20=0,0,E13/E20)</f>
        <v>20995.212617396865</v>
      </c>
    </row>
    <row r="45" spans="1:5" ht="26.1" customHeight="1" x14ac:dyDescent="0.25">
      <c r="A45" s="639">
        <v>3</v>
      </c>
      <c r="B45" s="640" t="s">
        <v>932</v>
      </c>
      <c r="C45" s="641">
        <f>IF(C22=0,0,C13/C22)</f>
        <v>2364.1444126932429</v>
      </c>
      <c r="D45" s="641">
        <f>IF(D22=0,0,D13/D22)</f>
        <v>2513.3551814200664</v>
      </c>
      <c r="E45" s="641">
        <f>IF(E22=0,0,E13/E22)</f>
        <v>2568.6143084140194</v>
      </c>
    </row>
    <row r="46" spans="1:5" ht="26.1" customHeight="1" x14ac:dyDescent="0.25">
      <c r="A46" s="639">
        <v>4</v>
      </c>
      <c r="B46" s="640" t="s">
        <v>933</v>
      </c>
      <c r="C46" s="641">
        <f>IF(C23=0,0,C13/C23)</f>
        <v>12395.74388356821</v>
      </c>
      <c r="D46" s="641">
        <f>IF(D23=0,0,D13/D23)</f>
        <v>13406.631828501068</v>
      </c>
      <c r="E46" s="641">
        <f>IF(E23=0,0,E13/E23)</f>
        <v>14117.779704909673</v>
      </c>
    </row>
    <row r="47" spans="1:5" ht="26.1" customHeight="1" x14ac:dyDescent="0.25">
      <c r="A47" s="639">
        <v>5</v>
      </c>
      <c r="B47" s="640" t="s">
        <v>934</v>
      </c>
      <c r="C47" s="641">
        <f>IF(C29=0,0,C13/C29)</f>
        <v>1677.6017404485772</v>
      </c>
      <c r="D47" s="641">
        <f>IF(D29=0,0,D13/D29)</f>
        <v>1690.7714090199581</v>
      </c>
      <c r="E47" s="641">
        <f>IF(E29=0,0,E13/E29)</f>
        <v>1667.829195258927</v>
      </c>
    </row>
    <row r="48" spans="1:5" ht="26.1" customHeight="1" x14ac:dyDescent="0.25">
      <c r="A48" s="639">
        <v>6</v>
      </c>
      <c r="B48" s="640" t="s">
        <v>935</v>
      </c>
      <c r="C48" s="641">
        <f>IF(C30=0,0,C13/C30)</f>
        <v>8796.0453691316379</v>
      </c>
      <c r="D48" s="641">
        <f>IF(D30=0,0,D13/D30)</f>
        <v>9018.8406137166858</v>
      </c>
      <c r="E48" s="641">
        <f>IF(E30=0,0,E13/E30)</f>
        <v>9166.8278444733605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936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937</v>
      </c>
      <c r="C51" s="641">
        <f>IF(C19=0,0,C16/C19)</f>
        <v>3817.6594754535604</v>
      </c>
      <c r="D51" s="641">
        <f>IF(D19=0,0,D16/D19)</f>
        <v>4179.6576092388486</v>
      </c>
      <c r="E51" s="641">
        <f>IF(E19=0,0,E16/E19)</f>
        <v>4311.8115944622132</v>
      </c>
    </row>
    <row r="52" spans="1:6" ht="26.1" customHeight="1" x14ac:dyDescent="0.25">
      <c r="A52" s="639">
        <v>2</v>
      </c>
      <c r="B52" s="640" t="s">
        <v>938</v>
      </c>
      <c r="C52" s="641">
        <f>IF(C20=0,0,C16/C20)</f>
        <v>20016.852117121492</v>
      </c>
      <c r="D52" s="641">
        <f>IF(D20=0,0,D16/D20)</f>
        <v>22294.951048103721</v>
      </c>
      <c r="E52" s="641">
        <f>IF(E20=0,0,E16/E20)</f>
        <v>23698.850395830261</v>
      </c>
    </row>
    <row r="53" spans="1:6" ht="26.1" customHeight="1" x14ac:dyDescent="0.25">
      <c r="A53" s="639">
        <v>3</v>
      </c>
      <c r="B53" s="640" t="s">
        <v>939</v>
      </c>
      <c r="C53" s="641">
        <f>IF(C22=0,0,C16/C22)</f>
        <v>2717.647320078881</v>
      </c>
      <c r="D53" s="641">
        <f>IF(D22=0,0,D16/D22)</f>
        <v>2909.2502161262437</v>
      </c>
      <c r="E53" s="641">
        <f>IF(E22=0,0,E16/E22)</f>
        <v>2899.3850802564698</v>
      </c>
    </row>
    <row r="54" spans="1:6" ht="26.1" customHeight="1" x14ac:dyDescent="0.25">
      <c r="A54" s="639">
        <v>4</v>
      </c>
      <c r="B54" s="640" t="s">
        <v>940</v>
      </c>
      <c r="C54" s="641">
        <f>IF(C23=0,0,C16/C23)</f>
        <v>14249.239583121176</v>
      </c>
      <c r="D54" s="641">
        <f>IF(D23=0,0,D16/D23)</f>
        <v>15518.398208467515</v>
      </c>
      <c r="E54" s="641">
        <f>IF(E23=0,0,E16/E23)</f>
        <v>15935.782849405889</v>
      </c>
    </row>
    <row r="55" spans="1:6" ht="26.1" customHeight="1" x14ac:dyDescent="0.25">
      <c r="A55" s="639">
        <v>5</v>
      </c>
      <c r="B55" s="640" t="s">
        <v>941</v>
      </c>
      <c r="C55" s="641">
        <f>IF(C29=0,0,C16/C29)</f>
        <v>1928.448131007345</v>
      </c>
      <c r="D55" s="641">
        <f>IF(D29=0,0,D16/D29)</f>
        <v>1957.0958865957734</v>
      </c>
      <c r="E55" s="641">
        <f>IF(E29=0,0,E16/E29)</f>
        <v>1882.6022534055176</v>
      </c>
    </row>
    <row r="56" spans="1:6" ht="26.1" customHeight="1" x14ac:dyDescent="0.25">
      <c r="A56" s="639">
        <v>6</v>
      </c>
      <c r="B56" s="640" t="s">
        <v>942</v>
      </c>
      <c r="C56" s="641">
        <f>IF(C30=0,0,C16/C30)</f>
        <v>10111.289731865696</v>
      </c>
      <c r="D56" s="641">
        <f>IF(D30=0,0,D16/D30)</f>
        <v>10439.457263592441</v>
      </c>
      <c r="E56" s="641">
        <f>IF(E30=0,0,E16/E30)</f>
        <v>10347.277050697508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943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944</v>
      </c>
      <c r="C59" s="649">
        <v>121405571</v>
      </c>
      <c r="D59" s="649">
        <v>133233307</v>
      </c>
      <c r="E59" s="649">
        <v>140350779</v>
      </c>
    </row>
    <row r="60" spans="1:6" ht="26.1" customHeight="1" x14ac:dyDescent="0.25">
      <c r="A60" s="639">
        <v>2</v>
      </c>
      <c r="B60" s="640" t="s">
        <v>945</v>
      </c>
      <c r="C60" s="649">
        <v>26537268</v>
      </c>
      <c r="D60" s="649">
        <v>33209967</v>
      </c>
      <c r="E60" s="649">
        <v>41738240</v>
      </c>
    </row>
    <row r="61" spans="1:6" ht="26.1" customHeight="1" x14ac:dyDescent="0.25">
      <c r="A61" s="650">
        <v>3</v>
      </c>
      <c r="B61" s="651" t="s">
        <v>946</v>
      </c>
      <c r="C61" s="652">
        <f>C59+C60</f>
        <v>147942839</v>
      </c>
      <c r="D61" s="652">
        <f>D59+D60</f>
        <v>166443274</v>
      </c>
      <c r="E61" s="652">
        <f>E59+E60</f>
        <v>182089019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947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948</v>
      </c>
      <c r="C64" s="641">
        <v>36421774</v>
      </c>
      <c r="D64" s="641">
        <v>38244961</v>
      </c>
      <c r="E64" s="649">
        <v>42066899</v>
      </c>
      <c r="F64" s="653"/>
    </row>
    <row r="65" spans="1:6" ht="26.1" customHeight="1" x14ac:dyDescent="0.25">
      <c r="A65" s="639">
        <v>2</v>
      </c>
      <c r="B65" s="640" t="s">
        <v>949</v>
      </c>
      <c r="C65" s="649">
        <v>7961203</v>
      </c>
      <c r="D65" s="649">
        <v>10063626</v>
      </c>
      <c r="E65" s="649">
        <v>12510072</v>
      </c>
      <c r="F65" s="653"/>
    </row>
    <row r="66" spans="1:6" ht="26.1" customHeight="1" x14ac:dyDescent="0.25">
      <c r="A66" s="650">
        <v>3</v>
      </c>
      <c r="B66" s="651" t="s">
        <v>950</v>
      </c>
      <c r="C66" s="654">
        <f>C64+C65</f>
        <v>44382977</v>
      </c>
      <c r="D66" s="654">
        <f>D64+D65</f>
        <v>48308587</v>
      </c>
      <c r="E66" s="654">
        <f>E64+E65</f>
        <v>54576971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951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952</v>
      </c>
      <c r="C69" s="649">
        <v>207582325</v>
      </c>
      <c r="D69" s="649">
        <v>227027658</v>
      </c>
      <c r="E69" s="649">
        <v>250921753</v>
      </c>
    </row>
    <row r="70" spans="1:6" ht="26.1" customHeight="1" x14ac:dyDescent="0.25">
      <c r="A70" s="639">
        <v>2</v>
      </c>
      <c r="B70" s="640" t="s">
        <v>953</v>
      </c>
      <c r="C70" s="649">
        <v>42912522</v>
      </c>
      <c r="D70" s="649">
        <v>57362671</v>
      </c>
      <c r="E70" s="649">
        <v>74620408</v>
      </c>
    </row>
    <row r="71" spans="1:6" ht="26.1" customHeight="1" x14ac:dyDescent="0.25">
      <c r="A71" s="650">
        <v>3</v>
      </c>
      <c r="B71" s="651" t="s">
        <v>954</v>
      </c>
      <c r="C71" s="652">
        <f>C69+C70</f>
        <v>250494847</v>
      </c>
      <c r="D71" s="652">
        <f>D69+D70</f>
        <v>284390329</v>
      </c>
      <c r="E71" s="652">
        <f>E69+E70</f>
        <v>325542161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955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956</v>
      </c>
      <c r="C75" s="641">
        <f t="shared" ref="C75:E76" si="0">+C59+C64+C69</f>
        <v>365409670</v>
      </c>
      <c r="D75" s="641">
        <f t="shared" si="0"/>
        <v>398505926</v>
      </c>
      <c r="E75" s="641">
        <f t="shared" si="0"/>
        <v>433339431</v>
      </c>
    </row>
    <row r="76" spans="1:6" ht="26.1" customHeight="1" x14ac:dyDescent="0.25">
      <c r="A76" s="639">
        <v>2</v>
      </c>
      <c r="B76" s="640" t="s">
        <v>957</v>
      </c>
      <c r="C76" s="641">
        <f t="shared" si="0"/>
        <v>77410993</v>
      </c>
      <c r="D76" s="641">
        <f t="shared" si="0"/>
        <v>100636264</v>
      </c>
      <c r="E76" s="641">
        <f t="shared" si="0"/>
        <v>128868720</v>
      </c>
    </row>
    <row r="77" spans="1:6" ht="26.1" customHeight="1" x14ac:dyDescent="0.25">
      <c r="A77" s="650">
        <v>3</v>
      </c>
      <c r="B77" s="651" t="s">
        <v>955</v>
      </c>
      <c r="C77" s="654">
        <f>C75+C76</f>
        <v>442820663</v>
      </c>
      <c r="D77" s="654">
        <f>D75+D76</f>
        <v>499142190</v>
      </c>
      <c r="E77" s="654">
        <f>E75+E76</f>
        <v>562208151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958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1406.4</v>
      </c>
      <c r="D80" s="646">
        <v>1499</v>
      </c>
      <c r="E80" s="646">
        <v>1567.4</v>
      </c>
    </row>
    <row r="81" spans="1:5" ht="26.1" customHeight="1" x14ac:dyDescent="0.25">
      <c r="A81" s="639">
        <v>2</v>
      </c>
      <c r="B81" s="640" t="s">
        <v>584</v>
      </c>
      <c r="C81" s="646">
        <v>209.4</v>
      </c>
      <c r="D81" s="646">
        <v>210</v>
      </c>
      <c r="E81" s="646">
        <v>226.2</v>
      </c>
    </row>
    <row r="82" spans="1:5" ht="26.1" customHeight="1" x14ac:dyDescent="0.25">
      <c r="A82" s="639">
        <v>3</v>
      </c>
      <c r="B82" s="640" t="s">
        <v>959</v>
      </c>
      <c r="C82" s="646">
        <v>3780.5</v>
      </c>
      <c r="D82" s="646">
        <v>3939</v>
      </c>
      <c r="E82" s="646">
        <v>4044.7</v>
      </c>
    </row>
    <row r="83" spans="1:5" ht="26.1" customHeight="1" x14ac:dyDescent="0.25">
      <c r="A83" s="650">
        <v>4</v>
      </c>
      <c r="B83" s="651" t="s">
        <v>958</v>
      </c>
      <c r="C83" s="656">
        <f>C80+C81+C82</f>
        <v>5396.3</v>
      </c>
      <c r="D83" s="656">
        <f>D80+D81+D82</f>
        <v>5648</v>
      </c>
      <c r="E83" s="656">
        <f>E80+E81+E82</f>
        <v>5838.3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960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961</v>
      </c>
      <c r="C86" s="649">
        <f>IF(C80=0,0,C59/C80)</f>
        <v>86323.642633674623</v>
      </c>
      <c r="D86" s="649">
        <f>IF(D80=0,0,D59/D80)</f>
        <v>88881.458972648426</v>
      </c>
      <c r="E86" s="649">
        <f>IF(E80=0,0,E59/E80)</f>
        <v>89543.689549572533</v>
      </c>
    </row>
    <row r="87" spans="1:5" ht="26.1" customHeight="1" x14ac:dyDescent="0.25">
      <c r="A87" s="639">
        <v>2</v>
      </c>
      <c r="B87" s="640" t="s">
        <v>962</v>
      </c>
      <c r="C87" s="649">
        <f>IF(C80=0,0,C60/C80)</f>
        <v>18868.933447098974</v>
      </c>
      <c r="D87" s="649">
        <f>IF(D80=0,0,D60/D80)</f>
        <v>22154.747831887926</v>
      </c>
      <c r="E87" s="649">
        <f>IF(E80=0,0,E60/E80)</f>
        <v>26628.9651652418</v>
      </c>
    </row>
    <row r="88" spans="1:5" ht="26.1" customHeight="1" x14ac:dyDescent="0.25">
      <c r="A88" s="650">
        <v>3</v>
      </c>
      <c r="B88" s="651" t="s">
        <v>963</v>
      </c>
      <c r="C88" s="652">
        <f>+C86+C87</f>
        <v>105192.57608077359</v>
      </c>
      <c r="D88" s="652">
        <f>+D86+D87</f>
        <v>111036.20680453636</v>
      </c>
      <c r="E88" s="652">
        <f>+E86+E87</f>
        <v>116172.65471481433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964</v>
      </c>
    </row>
    <row r="91" spans="1:5" ht="26.1" customHeight="1" x14ac:dyDescent="0.25">
      <c r="A91" s="639">
        <v>1</v>
      </c>
      <c r="B91" s="640" t="s">
        <v>965</v>
      </c>
      <c r="C91" s="641">
        <f>IF(C81=0,0,C64/C81)</f>
        <v>173933.97325692454</v>
      </c>
      <c r="D91" s="641">
        <f>IF(D81=0,0,D64/D81)</f>
        <v>182118.8619047619</v>
      </c>
      <c r="E91" s="641">
        <f>IF(E81=0,0,E64/E81)</f>
        <v>185972.14412024757</v>
      </c>
    </row>
    <row r="92" spans="1:5" ht="26.1" customHeight="1" x14ac:dyDescent="0.25">
      <c r="A92" s="639">
        <v>2</v>
      </c>
      <c r="B92" s="640" t="s">
        <v>966</v>
      </c>
      <c r="C92" s="641">
        <f>IF(C81=0,0,C65/C81)</f>
        <v>38019.116523400189</v>
      </c>
      <c r="D92" s="641">
        <f>IF(D81=0,0,D65/D81)</f>
        <v>47922.028571428571</v>
      </c>
      <c r="E92" s="641">
        <f>IF(E81=0,0,E65/E81)</f>
        <v>55305.358090185677</v>
      </c>
    </row>
    <row r="93" spans="1:5" ht="26.1" customHeight="1" x14ac:dyDescent="0.25">
      <c r="A93" s="650">
        <v>3</v>
      </c>
      <c r="B93" s="651" t="s">
        <v>967</v>
      </c>
      <c r="C93" s="654">
        <f>+C91+C92</f>
        <v>211953.08978032472</v>
      </c>
      <c r="D93" s="654">
        <f>+D91+D92</f>
        <v>230040.89047619049</v>
      </c>
      <c r="E93" s="654">
        <f>+E91+E92</f>
        <v>241277.50221043325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968</v>
      </c>
      <c r="B95" s="642" t="s">
        <v>969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970</v>
      </c>
      <c r="C96" s="649">
        <f>IF(C82=0,0,C69/C82)</f>
        <v>54908.695939690515</v>
      </c>
      <c r="D96" s="649">
        <f>IF(D82=0,0,D69/D82)</f>
        <v>57635.861386138611</v>
      </c>
      <c r="E96" s="649">
        <f>IF(E82=0,0,E69/E82)</f>
        <v>62037.172843474182</v>
      </c>
    </row>
    <row r="97" spans="1:5" ht="26.1" customHeight="1" x14ac:dyDescent="0.25">
      <c r="A97" s="639">
        <v>2</v>
      </c>
      <c r="B97" s="640" t="s">
        <v>971</v>
      </c>
      <c r="C97" s="649">
        <f>IF(C82=0,0,C70/C82)</f>
        <v>11351.017590265837</v>
      </c>
      <c r="D97" s="649">
        <f>IF(D82=0,0,D70/D82)</f>
        <v>14562.749682660573</v>
      </c>
      <c r="E97" s="649">
        <f>IF(E82=0,0,E70/E82)</f>
        <v>18448.93514970208</v>
      </c>
    </row>
    <row r="98" spans="1:5" ht="26.1" customHeight="1" x14ac:dyDescent="0.25">
      <c r="A98" s="650">
        <v>3</v>
      </c>
      <c r="B98" s="651" t="s">
        <v>972</v>
      </c>
      <c r="C98" s="654">
        <f>+C96+C97</f>
        <v>66259.713529956352</v>
      </c>
      <c r="D98" s="654">
        <f>+D96+D97</f>
        <v>72198.61106879919</v>
      </c>
      <c r="E98" s="654">
        <f>+E96+E97</f>
        <v>80486.107993176265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973</v>
      </c>
      <c r="B100" s="642" t="s">
        <v>974</v>
      </c>
    </row>
    <row r="101" spans="1:5" ht="26.1" customHeight="1" x14ac:dyDescent="0.25">
      <c r="A101" s="639">
        <v>1</v>
      </c>
      <c r="B101" s="640" t="s">
        <v>975</v>
      </c>
      <c r="C101" s="641">
        <f>IF(C83=0,0,C75/C83)</f>
        <v>67714.854622611791</v>
      </c>
      <c r="D101" s="641">
        <f>IF(D83=0,0,D75/D83)</f>
        <v>70556.998229461751</v>
      </c>
      <c r="E101" s="641">
        <f>IF(E83=0,0,E75/E83)</f>
        <v>74223.563537331065</v>
      </c>
    </row>
    <row r="102" spans="1:5" ht="26.1" customHeight="1" x14ac:dyDescent="0.25">
      <c r="A102" s="639">
        <v>2</v>
      </c>
      <c r="B102" s="640" t="s">
        <v>976</v>
      </c>
      <c r="C102" s="658">
        <f>IF(C83=0,0,C76/C83)</f>
        <v>14345.198191353335</v>
      </c>
      <c r="D102" s="658">
        <f>IF(D83=0,0,D76/D83)</f>
        <v>17818.035410764871</v>
      </c>
      <c r="E102" s="658">
        <f>IF(E83=0,0,E76/E83)</f>
        <v>22072.986999640307</v>
      </c>
    </row>
    <row r="103" spans="1:5" ht="26.1" customHeight="1" x14ac:dyDescent="0.25">
      <c r="A103" s="650">
        <v>3</v>
      </c>
      <c r="B103" s="651" t="s">
        <v>974</v>
      </c>
      <c r="C103" s="654">
        <f>+C101+C102</f>
        <v>82060.052813965129</v>
      </c>
      <c r="D103" s="654">
        <f>+D101+D102</f>
        <v>88375.033640226626</v>
      </c>
      <c r="E103" s="654">
        <f>+E101+E102</f>
        <v>96296.550536971365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977</v>
      </c>
      <c r="B107" s="634" t="s">
        <v>978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979</v>
      </c>
      <c r="C108" s="641">
        <f>IF(C19=0,0,C77/C19)</f>
        <v>2050.4943692755073</v>
      </c>
      <c r="D108" s="641">
        <f>IF(D19=0,0,D77/D19)</f>
        <v>2267.6530797677569</v>
      </c>
      <c r="E108" s="641">
        <f>IF(E19=0,0,E77/E19)</f>
        <v>2514.8538435731698</v>
      </c>
    </row>
    <row r="109" spans="1:5" ht="26.1" customHeight="1" x14ac:dyDescent="0.25">
      <c r="A109" s="639">
        <v>2</v>
      </c>
      <c r="B109" s="640" t="s">
        <v>980</v>
      </c>
      <c r="C109" s="641">
        <f>IF(C20=0,0,C77/C20)</f>
        <v>10751.205763814703</v>
      </c>
      <c r="D109" s="641">
        <f>IF(D20=0,0,D77/D20)</f>
        <v>12096.018175209016</v>
      </c>
      <c r="E109" s="641">
        <f>IF(E20=0,0,E77/E20)</f>
        <v>13822.298052810149</v>
      </c>
    </row>
    <row r="110" spans="1:5" ht="26.1" customHeight="1" x14ac:dyDescent="0.25">
      <c r="A110" s="639">
        <v>3</v>
      </c>
      <c r="B110" s="640" t="s">
        <v>981</v>
      </c>
      <c r="C110" s="641">
        <f>IF(C22=0,0,C77/C22)</f>
        <v>1459.6693506396007</v>
      </c>
      <c r="D110" s="641">
        <f>IF(D22=0,0,D77/D22)</f>
        <v>1578.3996750908716</v>
      </c>
      <c r="E110" s="641">
        <f>IF(E22=0,0,E77/E22)</f>
        <v>1691.0594429604516</v>
      </c>
    </row>
    <row r="111" spans="1:5" ht="26.1" customHeight="1" x14ac:dyDescent="0.25">
      <c r="A111" s="639">
        <v>4</v>
      </c>
      <c r="B111" s="640" t="s">
        <v>982</v>
      </c>
      <c r="C111" s="641">
        <f>IF(C23=0,0,C77/C23)</f>
        <v>7653.3765568958661</v>
      </c>
      <c r="D111" s="641">
        <f>IF(D23=0,0,D77/D23)</f>
        <v>8419.4321115461553</v>
      </c>
      <c r="E111" s="641">
        <f>IF(E23=0,0,E77/E23)</f>
        <v>9294.5073946753146</v>
      </c>
    </row>
    <row r="112" spans="1:5" ht="26.1" customHeight="1" x14ac:dyDescent="0.25">
      <c r="A112" s="639">
        <v>5</v>
      </c>
      <c r="B112" s="640" t="s">
        <v>983</v>
      </c>
      <c r="C112" s="641">
        <f>IF(C29=0,0,C77/C29)</f>
        <v>1035.7843750851157</v>
      </c>
      <c r="D112" s="641">
        <f>IF(D29=0,0,D77/D29)</f>
        <v>1061.812935305941</v>
      </c>
      <c r="E112" s="641">
        <f>IF(E29=0,0,E77/E29)</f>
        <v>1098.023280742831</v>
      </c>
    </row>
    <row r="113" spans="1:7" ht="25.5" customHeight="1" x14ac:dyDescent="0.25">
      <c r="A113" s="639">
        <v>6</v>
      </c>
      <c r="B113" s="640" t="s">
        <v>984</v>
      </c>
      <c r="C113" s="641">
        <f>IF(C30=0,0,C77/C30)</f>
        <v>5430.8517547497204</v>
      </c>
      <c r="D113" s="641">
        <f>IF(D30=0,0,D77/D30)</f>
        <v>5663.8771947638897</v>
      </c>
      <c r="E113" s="641">
        <f>IF(E30=0,0,E77/E30)</f>
        <v>6035.0246970168564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FILING&amp;R&amp;12HARTFORD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1901719123</v>
      </c>
      <c r="D12" s="51">
        <v>2049319284</v>
      </c>
      <c r="E12" s="51">
        <f t="shared" ref="E12:E19" si="0">D12-C12</f>
        <v>147600161</v>
      </c>
      <c r="F12" s="70">
        <f t="shared" ref="F12:F19" si="1">IF(C12=0,0,E12/C12)</f>
        <v>7.7614069930136573E-2</v>
      </c>
    </row>
    <row r="13" spans="1:8" ht="23.1" customHeight="1" x14ac:dyDescent="0.2">
      <c r="A13" s="25">
        <v>2</v>
      </c>
      <c r="B13" s="48" t="s">
        <v>72</v>
      </c>
      <c r="C13" s="51">
        <v>1077109384</v>
      </c>
      <c r="D13" s="51">
        <v>1175001400</v>
      </c>
      <c r="E13" s="51">
        <f t="shared" si="0"/>
        <v>97892016</v>
      </c>
      <c r="F13" s="70">
        <f t="shared" si="1"/>
        <v>9.0884006261707589E-2</v>
      </c>
    </row>
    <row r="14" spans="1:8" ht="23.1" customHeight="1" x14ac:dyDescent="0.2">
      <c r="A14" s="25">
        <v>3</v>
      </c>
      <c r="B14" s="48" t="s">
        <v>73</v>
      </c>
      <c r="C14" s="51">
        <v>29803690</v>
      </c>
      <c r="D14" s="51">
        <v>20358606</v>
      </c>
      <c r="E14" s="51">
        <f t="shared" si="0"/>
        <v>-9445084</v>
      </c>
      <c r="F14" s="70">
        <f t="shared" si="1"/>
        <v>-0.31690988599062736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794806049</v>
      </c>
      <c r="D16" s="27">
        <f>D12-D13-D14-D15</f>
        <v>853959278</v>
      </c>
      <c r="E16" s="27">
        <f t="shared" si="0"/>
        <v>59153229</v>
      </c>
      <c r="F16" s="28">
        <f t="shared" si="1"/>
        <v>7.4424734278790067E-2</v>
      </c>
    </row>
    <row r="17" spans="1:7" ht="23.1" customHeight="1" x14ac:dyDescent="0.2">
      <c r="A17" s="25">
        <v>5</v>
      </c>
      <c r="B17" s="48" t="s">
        <v>76</v>
      </c>
      <c r="C17" s="51">
        <v>129170425</v>
      </c>
      <c r="D17" s="51">
        <v>121645764</v>
      </c>
      <c r="E17" s="51">
        <f t="shared" si="0"/>
        <v>-7524661</v>
      </c>
      <c r="F17" s="70">
        <f t="shared" si="1"/>
        <v>-5.8253745003935695E-2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8623312</v>
      </c>
      <c r="D18" s="51">
        <v>9161084</v>
      </c>
      <c r="E18" s="51">
        <f t="shared" si="0"/>
        <v>537772</v>
      </c>
      <c r="F18" s="70">
        <f t="shared" si="1"/>
        <v>6.2362581801516631E-2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932599786</v>
      </c>
      <c r="D19" s="27">
        <f>SUM(D16:D18)</f>
        <v>984766126</v>
      </c>
      <c r="E19" s="27">
        <f t="shared" si="0"/>
        <v>52166340</v>
      </c>
      <c r="F19" s="28">
        <f t="shared" si="1"/>
        <v>5.5936470051902845E-2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398505926</v>
      </c>
      <c r="D22" s="51">
        <v>433339431</v>
      </c>
      <c r="E22" s="51">
        <f t="shared" ref="E22:E31" si="2">D22-C22</f>
        <v>34833505</v>
      </c>
      <c r="F22" s="70">
        <f t="shared" ref="F22:F31" si="3">IF(C22=0,0,E22/C22)</f>
        <v>8.7410255976971343E-2</v>
      </c>
    </row>
    <row r="23" spans="1:7" ht="23.1" customHeight="1" x14ac:dyDescent="0.2">
      <c r="A23" s="25">
        <v>2</v>
      </c>
      <c r="B23" s="48" t="s">
        <v>81</v>
      </c>
      <c r="C23" s="51">
        <v>100636264</v>
      </c>
      <c r="D23" s="51">
        <v>128868720</v>
      </c>
      <c r="E23" s="51">
        <f t="shared" si="2"/>
        <v>28232456</v>
      </c>
      <c r="F23" s="70">
        <f t="shared" si="3"/>
        <v>0.28053958759836317</v>
      </c>
    </row>
    <row r="24" spans="1:7" ht="23.1" customHeight="1" x14ac:dyDescent="0.2">
      <c r="A24" s="25">
        <v>3</v>
      </c>
      <c r="B24" s="48" t="s">
        <v>82</v>
      </c>
      <c r="C24" s="51">
        <v>36006766</v>
      </c>
      <c r="D24" s="51">
        <v>39912214</v>
      </c>
      <c r="E24" s="51">
        <f t="shared" si="2"/>
        <v>3905448</v>
      </c>
      <c r="F24" s="70">
        <f t="shared" si="3"/>
        <v>0.10846428140755546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126188219</v>
      </c>
      <c r="D25" s="51">
        <v>125251978</v>
      </c>
      <c r="E25" s="51">
        <f t="shared" si="2"/>
        <v>-936241</v>
      </c>
      <c r="F25" s="70">
        <f t="shared" si="3"/>
        <v>-7.4194010139726277E-3</v>
      </c>
    </row>
    <row r="26" spans="1:7" ht="23.1" customHeight="1" x14ac:dyDescent="0.2">
      <c r="A26" s="25">
        <v>5</v>
      </c>
      <c r="B26" s="48" t="s">
        <v>84</v>
      </c>
      <c r="C26" s="51">
        <v>42312460</v>
      </c>
      <c r="D26" s="51">
        <v>43450600</v>
      </c>
      <c r="E26" s="51">
        <f t="shared" si="2"/>
        <v>1138140</v>
      </c>
      <c r="F26" s="70">
        <f t="shared" si="3"/>
        <v>2.6898459697214484E-2</v>
      </c>
    </row>
    <row r="27" spans="1:7" ht="23.1" customHeight="1" x14ac:dyDescent="0.2">
      <c r="A27" s="25">
        <v>6</v>
      </c>
      <c r="B27" s="48" t="s">
        <v>85</v>
      </c>
      <c r="C27" s="51">
        <v>37824767</v>
      </c>
      <c r="D27" s="51">
        <v>12915771</v>
      </c>
      <c r="E27" s="51">
        <f t="shared" si="2"/>
        <v>-24908996</v>
      </c>
      <c r="F27" s="70">
        <f t="shared" si="3"/>
        <v>-0.65853666725825433</v>
      </c>
    </row>
    <row r="28" spans="1:7" ht="23.1" customHeight="1" x14ac:dyDescent="0.2">
      <c r="A28" s="25">
        <v>7</v>
      </c>
      <c r="B28" s="48" t="s">
        <v>86</v>
      </c>
      <c r="C28" s="51">
        <v>614483</v>
      </c>
      <c r="D28" s="51">
        <v>1556400</v>
      </c>
      <c r="E28" s="51">
        <f t="shared" si="2"/>
        <v>941917</v>
      </c>
      <c r="F28" s="70">
        <f t="shared" si="3"/>
        <v>1.5328609579109593</v>
      </c>
    </row>
    <row r="29" spans="1:7" ht="23.1" customHeight="1" x14ac:dyDescent="0.2">
      <c r="A29" s="25">
        <v>8</v>
      </c>
      <c r="B29" s="48" t="s">
        <v>87</v>
      </c>
      <c r="C29" s="51">
        <v>14000101</v>
      </c>
      <c r="D29" s="51">
        <v>13661983</v>
      </c>
      <c r="E29" s="51">
        <f t="shared" si="2"/>
        <v>-338118</v>
      </c>
      <c r="F29" s="70">
        <f t="shared" si="3"/>
        <v>-2.4151111481267171E-2</v>
      </c>
    </row>
    <row r="30" spans="1:7" ht="23.1" customHeight="1" x14ac:dyDescent="0.2">
      <c r="A30" s="25">
        <v>9</v>
      </c>
      <c r="B30" s="48" t="s">
        <v>88</v>
      </c>
      <c r="C30" s="51">
        <v>163912169</v>
      </c>
      <c r="D30" s="51">
        <v>164969944</v>
      </c>
      <c r="E30" s="51">
        <f t="shared" si="2"/>
        <v>1057775</v>
      </c>
      <c r="F30" s="70">
        <f t="shared" si="3"/>
        <v>6.4533036592298405E-3</v>
      </c>
    </row>
    <row r="31" spans="1:7" ht="23.1" customHeight="1" x14ac:dyDescent="0.25">
      <c r="A31" s="29"/>
      <c r="B31" s="71" t="s">
        <v>89</v>
      </c>
      <c r="C31" s="27">
        <f>SUM(C22:C30)</f>
        <v>920001155</v>
      </c>
      <c r="D31" s="27">
        <f>SUM(D22:D30)</f>
        <v>963927041</v>
      </c>
      <c r="E31" s="27">
        <f t="shared" si="2"/>
        <v>43925886</v>
      </c>
      <c r="F31" s="28">
        <f t="shared" si="3"/>
        <v>4.7745468319547922E-2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12598631</v>
      </c>
      <c r="D33" s="27">
        <f>+D19-D31</f>
        <v>20839085</v>
      </c>
      <c r="E33" s="27">
        <f>D33-C33</f>
        <v>8240454</v>
      </c>
      <c r="F33" s="28">
        <f>IF(C33=0,0,E33/C33)</f>
        <v>0.6540753515203358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4526884</v>
      </c>
      <c r="D36" s="51">
        <v>1540621</v>
      </c>
      <c r="E36" s="51">
        <f>D36-C36</f>
        <v>-2986263</v>
      </c>
      <c r="F36" s="70">
        <f>IF(C36=0,0,E36/C36)</f>
        <v>-0.65967296710054868</v>
      </c>
    </row>
    <row r="37" spans="1:6" ht="23.1" customHeight="1" x14ac:dyDescent="0.2">
      <c r="A37" s="44">
        <v>2</v>
      </c>
      <c r="B37" s="48" t="s">
        <v>93</v>
      </c>
      <c r="C37" s="51">
        <v>995454</v>
      </c>
      <c r="D37" s="51">
        <v>650919</v>
      </c>
      <c r="E37" s="51">
        <f>D37-C37</f>
        <v>-344535</v>
      </c>
      <c r="F37" s="70">
        <f>IF(C37=0,0,E37/C37)</f>
        <v>-0.34610840882652538</v>
      </c>
    </row>
    <row r="38" spans="1:6" ht="23.1" customHeight="1" x14ac:dyDescent="0.2">
      <c r="A38" s="44">
        <v>3</v>
      </c>
      <c r="B38" s="48" t="s">
        <v>94</v>
      </c>
      <c r="C38" s="51">
        <v>-309659</v>
      </c>
      <c r="D38" s="51">
        <v>6501349</v>
      </c>
      <c r="E38" s="51">
        <f>D38-C38</f>
        <v>6811008</v>
      </c>
      <c r="F38" s="70">
        <f>IF(C38=0,0,E38/C38)</f>
        <v>-21.995188255468111</v>
      </c>
    </row>
    <row r="39" spans="1:6" ht="23.1" customHeight="1" x14ac:dyDescent="0.25">
      <c r="A39" s="20"/>
      <c r="B39" s="71" t="s">
        <v>95</v>
      </c>
      <c r="C39" s="27">
        <f>SUM(C36:C38)</f>
        <v>5212679</v>
      </c>
      <c r="D39" s="27">
        <f>SUM(D36:D38)</f>
        <v>8692889</v>
      </c>
      <c r="E39" s="27">
        <f>D39-C39</f>
        <v>3480210</v>
      </c>
      <c r="F39" s="28">
        <f>IF(C39=0,0,E39/C39)</f>
        <v>0.6676432598285833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17811310</v>
      </c>
      <c r="D41" s="27">
        <f>D33+D39</f>
        <v>29531974</v>
      </c>
      <c r="E41" s="27">
        <f>D41-C41</f>
        <v>11720664</v>
      </c>
      <c r="F41" s="28">
        <f>IF(C41=0,0,E41/C41)</f>
        <v>0.6580461515744771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15769108</v>
      </c>
      <c r="D44" s="51">
        <v>-10212490</v>
      </c>
      <c r="E44" s="51">
        <f>D44-C44</f>
        <v>-25981598</v>
      </c>
      <c r="F44" s="70">
        <f>IF(C44=0,0,E44/C44)</f>
        <v>-1.6476263590813127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15769108</v>
      </c>
      <c r="D46" s="27">
        <f>SUM(D44:D45)</f>
        <v>-10212490</v>
      </c>
      <c r="E46" s="27">
        <f>D46-C46</f>
        <v>-25981598</v>
      </c>
      <c r="F46" s="28">
        <f>IF(C46=0,0,E46/C46)</f>
        <v>-1.6476263590813127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33580418</v>
      </c>
      <c r="D48" s="27">
        <f>D41+D46</f>
        <v>19319484</v>
      </c>
      <c r="E48" s="27">
        <f>D48-C48</f>
        <v>-14260934</v>
      </c>
      <c r="F48" s="28">
        <f>IF(C48=0,0,E48/C48)</f>
        <v>-0.42468006205283093</v>
      </c>
    </row>
    <row r="49" spans="1:6" ht="23.1" customHeight="1" x14ac:dyDescent="0.2">
      <c r="A49" s="44"/>
      <c r="B49" s="48" t="s">
        <v>102</v>
      </c>
      <c r="C49" s="51">
        <v>2363100</v>
      </c>
      <c r="D49" s="51">
        <v>99924420</v>
      </c>
      <c r="E49" s="51">
        <f>D49-C49</f>
        <v>97561320</v>
      </c>
      <c r="F49" s="70">
        <f>IF(C49=0,0,E49/C49)</f>
        <v>41.28531166687825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FILING&amp;RHARTFORD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5.5703125" style="75" customWidth="1"/>
    <col min="3" max="3" width="21.28515625" style="76" customWidth="1"/>
    <col min="4" max="4" width="21.5703125" style="75" customWidth="1"/>
    <col min="5" max="5" width="19.28515625" style="75" customWidth="1"/>
    <col min="6" max="6" width="18.140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555399320</v>
      </c>
      <c r="D14" s="97">
        <v>561941659</v>
      </c>
      <c r="E14" s="97">
        <f t="shared" ref="E14:E25" si="0">D14-C14</f>
        <v>6542339</v>
      </c>
      <c r="F14" s="98">
        <f t="shared" ref="F14:F25" si="1">IF(C14=0,0,E14/C14)</f>
        <v>1.1779522884543684E-2</v>
      </c>
    </row>
    <row r="15" spans="1:6" ht="18" customHeight="1" x14ac:dyDescent="0.25">
      <c r="A15" s="99">
        <v>2</v>
      </c>
      <c r="B15" s="100" t="s">
        <v>113</v>
      </c>
      <c r="C15" s="97">
        <v>99625478</v>
      </c>
      <c r="D15" s="97">
        <v>110630965</v>
      </c>
      <c r="E15" s="97">
        <f t="shared" si="0"/>
        <v>11005487</v>
      </c>
      <c r="F15" s="98">
        <f t="shared" si="1"/>
        <v>0.1104685992071225</v>
      </c>
    </row>
    <row r="16" spans="1:6" ht="18" customHeight="1" x14ac:dyDescent="0.25">
      <c r="A16" s="99">
        <v>3</v>
      </c>
      <c r="B16" s="100" t="s">
        <v>114</v>
      </c>
      <c r="C16" s="97">
        <v>152660482</v>
      </c>
      <c r="D16" s="97">
        <v>198704049</v>
      </c>
      <c r="E16" s="97">
        <f t="shared" si="0"/>
        <v>46043567</v>
      </c>
      <c r="F16" s="98">
        <f t="shared" si="1"/>
        <v>0.3016076354324625</v>
      </c>
    </row>
    <row r="17" spans="1:6" ht="18" customHeight="1" x14ac:dyDescent="0.25">
      <c r="A17" s="99">
        <v>4</v>
      </c>
      <c r="B17" s="100" t="s">
        <v>115</v>
      </c>
      <c r="C17" s="97">
        <v>44897566</v>
      </c>
      <c r="D17" s="97">
        <v>49257525</v>
      </c>
      <c r="E17" s="97">
        <f t="shared" si="0"/>
        <v>4359959</v>
      </c>
      <c r="F17" s="98">
        <f t="shared" si="1"/>
        <v>9.7109028137516401E-2</v>
      </c>
    </row>
    <row r="18" spans="1:6" ht="18" customHeight="1" x14ac:dyDescent="0.25">
      <c r="A18" s="99">
        <v>5</v>
      </c>
      <c r="B18" s="100" t="s">
        <v>116</v>
      </c>
      <c r="C18" s="97">
        <v>4791123</v>
      </c>
      <c r="D18" s="97">
        <v>8638310</v>
      </c>
      <c r="E18" s="97">
        <f t="shared" si="0"/>
        <v>3847187</v>
      </c>
      <c r="F18" s="98">
        <f t="shared" si="1"/>
        <v>0.80298230707080576</v>
      </c>
    </row>
    <row r="19" spans="1:6" ht="18" customHeight="1" x14ac:dyDescent="0.25">
      <c r="A19" s="99">
        <v>6</v>
      </c>
      <c r="B19" s="100" t="s">
        <v>117</v>
      </c>
      <c r="C19" s="97">
        <v>13465554</v>
      </c>
      <c r="D19" s="97">
        <v>10582882</v>
      </c>
      <c r="E19" s="97">
        <f t="shared" si="0"/>
        <v>-2882672</v>
      </c>
      <c r="F19" s="98">
        <f t="shared" si="1"/>
        <v>-0.21407748986785097</v>
      </c>
    </row>
    <row r="20" spans="1:6" ht="18" customHeight="1" x14ac:dyDescent="0.25">
      <c r="A20" s="99">
        <v>7</v>
      </c>
      <c r="B20" s="100" t="s">
        <v>118</v>
      </c>
      <c r="C20" s="97">
        <v>405793355</v>
      </c>
      <c r="D20" s="97">
        <v>425100286</v>
      </c>
      <c r="E20" s="97">
        <f t="shared" si="0"/>
        <v>19306931</v>
      </c>
      <c r="F20" s="98">
        <f t="shared" si="1"/>
        <v>4.7578233507544747E-2</v>
      </c>
    </row>
    <row r="21" spans="1:6" ht="18" customHeight="1" x14ac:dyDescent="0.25">
      <c r="A21" s="99">
        <v>8</v>
      </c>
      <c r="B21" s="100" t="s">
        <v>119</v>
      </c>
      <c r="C21" s="97">
        <v>0</v>
      </c>
      <c r="D21" s="97">
        <v>0</v>
      </c>
      <c r="E21" s="97">
        <f t="shared" si="0"/>
        <v>0</v>
      </c>
      <c r="F21" s="98">
        <f t="shared" si="1"/>
        <v>0</v>
      </c>
    </row>
    <row r="22" spans="1:6" ht="18" customHeight="1" x14ac:dyDescent="0.25">
      <c r="A22" s="99">
        <v>9</v>
      </c>
      <c r="B22" s="100" t="s">
        <v>120</v>
      </c>
      <c r="C22" s="97">
        <v>19801383</v>
      </c>
      <c r="D22" s="97">
        <v>13165053</v>
      </c>
      <c r="E22" s="97">
        <f t="shared" si="0"/>
        <v>-6636330</v>
      </c>
      <c r="F22" s="98">
        <f t="shared" si="1"/>
        <v>-0.33514477246362034</v>
      </c>
    </row>
    <row r="23" spans="1:6" ht="18" customHeight="1" x14ac:dyDescent="0.25">
      <c r="A23" s="99">
        <v>10</v>
      </c>
      <c r="B23" s="100" t="s">
        <v>121</v>
      </c>
      <c r="C23" s="97">
        <v>27257124</v>
      </c>
      <c r="D23" s="97">
        <v>0</v>
      </c>
      <c r="E23" s="97">
        <f t="shared" si="0"/>
        <v>-27257124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1323691385</v>
      </c>
      <c r="D25" s="103">
        <f>SUM(D14:D24)</f>
        <v>1378020729</v>
      </c>
      <c r="E25" s="103">
        <f t="shared" si="0"/>
        <v>54329344</v>
      </c>
      <c r="F25" s="104">
        <f t="shared" si="1"/>
        <v>4.1043814755959904E-2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158340524</v>
      </c>
      <c r="D27" s="97">
        <v>184630567</v>
      </c>
      <c r="E27" s="97">
        <f t="shared" ref="E27:E38" si="2">D27-C27</f>
        <v>26290043</v>
      </c>
      <c r="F27" s="98">
        <f t="shared" ref="F27:F38" si="3">IF(C27=0,0,E27/C27)</f>
        <v>0.16603483641370292</v>
      </c>
    </row>
    <row r="28" spans="1:6" ht="18" customHeight="1" x14ac:dyDescent="0.25">
      <c r="A28" s="99">
        <v>2</v>
      </c>
      <c r="B28" s="100" t="s">
        <v>113</v>
      </c>
      <c r="C28" s="97">
        <v>28489561</v>
      </c>
      <c r="D28" s="97">
        <v>41982330</v>
      </c>
      <c r="E28" s="97">
        <f t="shared" si="2"/>
        <v>13492769</v>
      </c>
      <c r="F28" s="98">
        <f t="shared" si="3"/>
        <v>0.47360396322007209</v>
      </c>
    </row>
    <row r="29" spans="1:6" ht="18" customHeight="1" x14ac:dyDescent="0.25">
      <c r="A29" s="99">
        <v>3</v>
      </c>
      <c r="B29" s="100" t="s">
        <v>114</v>
      </c>
      <c r="C29" s="97">
        <v>58016080</v>
      </c>
      <c r="D29" s="97">
        <v>91876361</v>
      </c>
      <c r="E29" s="97">
        <f t="shared" si="2"/>
        <v>33860281</v>
      </c>
      <c r="F29" s="98">
        <f t="shared" si="3"/>
        <v>0.58363614018734111</v>
      </c>
    </row>
    <row r="30" spans="1:6" ht="18" customHeight="1" x14ac:dyDescent="0.25">
      <c r="A30" s="99">
        <v>4</v>
      </c>
      <c r="B30" s="100" t="s">
        <v>115</v>
      </c>
      <c r="C30" s="97">
        <v>38190798</v>
      </c>
      <c r="D30" s="97">
        <v>39772454</v>
      </c>
      <c r="E30" s="97">
        <f t="shared" si="2"/>
        <v>1581656</v>
      </c>
      <c r="F30" s="98">
        <f t="shared" si="3"/>
        <v>4.1414583691076576E-2</v>
      </c>
    </row>
    <row r="31" spans="1:6" ht="18" customHeight="1" x14ac:dyDescent="0.25">
      <c r="A31" s="99">
        <v>5</v>
      </c>
      <c r="B31" s="100" t="s">
        <v>116</v>
      </c>
      <c r="C31" s="97">
        <v>2317387</v>
      </c>
      <c r="D31" s="97">
        <v>2057294</v>
      </c>
      <c r="E31" s="97">
        <f t="shared" si="2"/>
        <v>-260093</v>
      </c>
      <c r="F31" s="98">
        <f t="shared" si="3"/>
        <v>-0.11223546175067005</v>
      </c>
    </row>
    <row r="32" spans="1:6" ht="18" customHeight="1" x14ac:dyDescent="0.25">
      <c r="A32" s="99">
        <v>6</v>
      </c>
      <c r="B32" s="100" t="s">
        <v>117</v>
      </c>
      <c r="C32" s="97">
        <v>7584781</v>
      </c>
      <c r="D32" s="97">
        <v>8341556</v>
      </c>
      <c r="E32" s="97">
        <f t="shared" si="2"/>
        <v>756775</v>
      </c>
      <c r="F32" s="98">
        <f t="shared" si="3"/>
        <v>9.9775458249882237E-2</v>
      </c>
    </row>
    <row r="33" spans="1:6" ht="18" customHeight="1" x14ac:dyDescent="0.25">
      <c r="A33" s="99">
        <v>7</v>
      </c>
      <c r="B33" s="100" t="s">
        <v>118</v>
      </c>
      <c r="C33" s="97">
        <v>245724993</v>
      </c>
      <c r="D33" s="97">
        <v>276977371</v>
      </c>
      <c r="E33" s="97">
        <f t="shared" si="2"/>
        <v>31252378</v>
      </c>
      <c r="F33" s="98">
        <f t="shared" si="3"/>
        <v>0.12718436825838061</v>
      </c>
    </row>
    <row r="34" spans="1:6" ht="18" customHeight="1" x14ac:dyDescent="0.25">
      <c r="A34" s="99">
        <v>8</v>
      </c>
      <c r="B34" s="100" t="s">
        <v>119</v>
      </c>
      <c r="C34" s="97">
        <v>0</v>
      </c>
      <c r="D34" s="97">
        <v>0</v>
      </c>
      <c r="E34" s="97">
        <f t="shared" si="2"/>
        <v>0</v>
      </c>
      <c r="F34" s="98">
        <f t="shared" si="3"/>
        <v>0</v>
      </c>
    </row>
    <row r="35" spans="1:6" ht="18" customHeight="1" x14ac:dyDescent="0.25">
      <c r="A35" s="99">
        <v>9</v>
      </c>
      <c r="B35" s="100" t="s">
        <v>120</v>
      </c>
      <c r="C35" s="97">
        <v>27329396</v>
      </c>
      <c r="D35" s="97">
        <v>25660622</v>
      </c>
      <c r="E35" s="97">
        <f t="shared" si="2"/>
        <v>-1668774</v>
      </c>
      <c r="F35" s="98">
        <f t="shared" si="3"/>
        <v>-6.1061503152136987E-2</v>
      </c>
    </row>
    <row r="36" spans="1:6" ht="18" customHeight="1" x14ac:dyDescent="0.25">
      <c r="A36" s="99">
        <v>10</v>
      </c>
      <c r="B36" s="100" t="s">
        <v>121</v>
      </c>
      <c r="C36" s="97">
        <v>12034218</v>
      </c>
      <c r="D36" s="97">
        <v>0</v>
      </c>
      <c r="E36" s="97">
        <f t="shared" si="2"/>
        <v>-12034218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578027738</v>
      </c>
      <c r="D38" s="103">
        <f>SUM(D27:D37)</f>
        <v>671298555</v>
      </c>
      <c r="E38" s="103">
        <f t="shared" si="2"/>
        <v>93270817</v>
      </c>
      <c r="F38" s="104">
        <f t="shared" si="3"/>
        <v>0.16136045187506209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713739844</v>
      </c>
      <c r="D41" s="103">
        <f t="shared" si="4"/>
        <v>746572226</v>
      </c>
      <c r="E41" s="107">
        <f t="shared" ref="E41:E52" si="5">D41-C41</f>
        <v>32832382</v>
      </c>
      <c r="F41" s="108">
        <f t="shared" ref="F41:F52" si="6">IF(C41=0,0,E41/C41)</f>
        <v>4.6000489220271133E-2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128115039</v>
      </c>
      <c r="D42" s="103">
        <f t="shared" si="4"/>
        <v>152613295</v>
      </c>
      <c r="E42" s="107">
        <f t="shared" si="5"/>
        <v>24498256</v>
      </c>
      <c r="F42" s="108">
        <f t="shared" si="6"/>
        <v>0.19122076682972403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210676562</v>
      </c>
      <c r="D43" s="103">
        <f t="shared" si="4"/>
        <v>290580410</v>
      </c>
      <c r="E43" s="107">
        <f t="shared" si="5"/>
        <v>79903848</v>
      </c>
      <c r="F43" s="108">
        <f t="shared" si="6"/>
        <v>0.37927260271125934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83088364</v>
      </c>
      <c r="D44" s="103">
        <f t="shared" si="4"/>
        <v>89029979</v>
      </c>
      <c r="E44" s="107">
        <f t="shared" si="5"/>
        <v>5941615</v>
      </c>
      <c r="F44" s="108">
        <f t="shared" si="6"/>
        <v>7.1509591884610937E-2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7108510</v>
      </c>
      <c r="D45" s="103">
        <f t="shared" si="4"/>
        <v>10695604</v>
      </c>
      <c r="E45" s="107">
        <f t="shared" si="5"/>
        <v>3587094</v>
      </c>
      <c r="F45" s="108">
        <f t="shared" si="6"/>
        <v>0.50461967416519071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21050335</v>
      </c>
      <c r="D46" s="103">
        <f t="shared" si="4"/>
        <v>18924438</v>
      </c>
      <c r="E46" s="107">
        <f t="shared" si="5"/>
        <v>-2125897</v>
      </c>
      <c r="F46" s="108">
        <f t="shared" si="6"/>
        <v>-0.10099112436927964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651518348</v>
      </c>
      <c r="D47" s="103">
        <f t="shared" si="4"/>
        <v>702077657</v>
      </c>
      <c r="E47" s="107">
        <f t="shared" si="5"/>
        <v>50559309</v>
      </c>
      <c r="F47" s="108">
        <f t="shared" si="6"/>
        <v>7.7602279590750681E-2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0</v>
      </c>
      <c r="D48" s="103">
        <f t="shared" si="4"/>
        <v>0</v>
      </c>
      <c r="E48" s="107">
        <f t="shared" si="5"/>
        <v>0</v>
      </c>
      <c r="F48" s="108">
        <f t="shared" si="6"/>
        <v>0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47130779</v>
      </c>
      <c r="D49" s="103">
        <f t="shared" si="4"/>
        <v>38825675</v>
      </c>
      <c r="E49" s="107">
        <f t="shared" si="5"/>
        <v>-8305104</v>
      </c>
      <c r="F49" s="108">
        <f t="shared" si="6"/>
        <v>-0.17621401929299746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39291342</v>
      </c>
      <c r="D50" s="103">
        <f t="shared" si="4"/>
        <v>0</v>
      </c>
      <c r="E50" s="107">
        <f t="shared" si="5"/>
        <v>-39291342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1901719123</v>
      </c>
      <c r="D52" s="112">
        <f>SUM(D41:D51)</f>
        <v>2049319284</v>
      </c>
      <c r="E52" s="111">
        <f t="shared" si="5"/>
        <v>147600161</v>
      </c>
      <c r="F52" s="113">
        <f t="shared" si="6"/>
        <v>7.7614069930136573E-2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223202415</v>
      </c>
      <c r="D57" s="97">
        <v>226095092</v>
      </c>
      <c r="E57" s="97">
        <f t="shared" ref="E57:E68" si="7">D57-C57</f>
        <v>2892677</v>
      </c>
      <c r="F57" s="98">
        <f t="shared" ref="F57:F68" si="8">IF(C57=0,0,E57/C57)</f>
        <v>1.2959882176902074E-2</v>
      </c>
    </row>
    <row r="58" spans="1:6" ht="18" customHeight="1" x14ac:dyDescent="0.25">
      <c r="A58" s="99">
        <v>2</v>
      </c>
      <c r="B58" s="100" t="s">
        <v>113</v>
      </c>
      <c r="C58" s="97">
        <v>37739964</v>
      </c>
      <c r="D58" s="97">
        <v>42578442</v>
      </c>
      <c r="E58" s="97">
        <f t="shared" si="7"/>
        <v>4838478</v>
      </c>
      <c r="F58" s="98">
        <f t="shared" si="8"/>
        <v>0.12820568668269</v>
      </c>
    </row>
    <row r="59" spans="1:6" ht="18" customHeight="1" x14ac:dyDescent="0.25">
      <c r="A59" s="99">
        <v>3</v>
      </c>
      <c r="B59" s="100" t="s">
        <v>114</v>
      </c>
      <c r="C59" s="97">
        <v>48119130</v>
      </c>
      <c r="D59" s="97">
        <v>58154029</v>
      </c>
      <c r="E59" s="97">
        <f t="shared" si="7"/>
        <v>10034899</v>
      </c>
      <c r="F59" s="98">
        <f t="shared" si="8"/>
        <v>0.20854281862535753</v>
      </c>
    </row>
    <row r="60" spans="1:6" ht="18" customHeight="1" x14ac:dyDescent="0.25">
      <c r="A60" s="99">
        <v>4</v>
      </c>
      <c r="B60" s="100" t="s">
        <v>115</v>
      </c>
      <c r="C60" s="97">
        <v>18369872</v>
      </c>
      <c r="D60" s="97">
        <v>17341773</v>
      </c>
      <c r="E60" s="97">
        <f t="shared" si="7"/>
        <v>-1028099</v>
      </c>
      <c r="F60" s="98">
        <f t="shared" si="8"/>
        <v>-5.5966584851543877E-2</v>
      </c>
    </row>
    <row r="61" spans="1:6" ht="18" customHeight="1" x14ac:dyDescent="0.25">
      <c r="A61" s="99">
        <v>5</v>
      </c>
      <c r="B61" s="100" t="s">
        <v>116</v>
      </c>
      <c r="C61" s="97">
        <v>897963</v>
      </c>
      <c r="D61" s="97">
        <v>3030139</v>
      </c>
      <c r="E61" s="97">
        <f t="shared" si="7"/>
        <v>2132176</v>
      </c>
      <c r="F61" s="98">
        <f t="shared" si="8"/>
        <v>2.3744586358235251</v>
      </c>
    </row>
    <row r="62" spans="1:6" ht="18" customHeight="1" x14ac:dyDescent="0.25">
      <c r="A62" s="99">
        <v>6</v>
      </c>
      <c r="B62" s="100" t="s">
        <v>117</v>
      </c>
      <c r="C62" s="97">
        <v>11018539</v>
      </c>
      <c r="D62" s="97">
        <v>10060022</v>
      </c>
      <c r="E62" s="97">
        <f t="shared" si="7"/>
        <v>-958517</v>
      </c>
      <c r="F62" s="98">
        <f t="shared" si="8"/>
        <v>-8.6991297122059469E-2</v>
      </c>
    </row>
    <row r="63" spans="1:6" ht="18" customHeight="1" x14ac:dyDescent="0.25">
      <c r="A63" s="99">
        <v>7</v>
      </c>
      <c r="B63" s="100" t="s">
        <v>118</v>
      </c>
      <c r="C63" s="97">
        <v>206393940</v>
      </c>
      <c r="D63" s="97">
        <v>232295530</v>
      </c>
      <c r="E63" s="97">
        <f t="shared" si="7"/>
        <v>25901590</v>
      </c>
      <c r="F63" s="98">
        <f t="shared" si="8"/>
        <v>0.12549588422993427</v>
      </c>
    </row>
    <row r="64" spans="1:6" ht="18" customHeight="1" x14ac:dyDescent="0.25">
      <c r="A64" s="99">
        <v>8</v>
      </c>
      <c r="B64" s="100" t="s">
        <v>119</v>
      </c>
      <c r="C64" s="97">
        <v>0</v>
      </c>
      <c r="D64" s="97">
        <v>0</v>
      </c>
      <c r="E64" s="97">
        <f t="shared" si="7"/>
        <v>0</v>
      </c>
      <c r="F64" s="98">
        <f t="shared" si="8"/>
        <v>0</v>
      </c>
    </row>
    <row r="65" spans="1:6" ht="18" customHeight="1" x14ac:dyDescent="0.25">
      <c r="A65" s="99">
        <v>9</v>
      </c>
      <c r="B65" s="100" t="s">
        <v>120</v>
      </c>
      <c r="C65" s="97">
        <v>1057043</v>
      </c>
      <c r="D65" s="97">
        <v>3336937</v>
      </c>
      <c r="E65" s="97">
        <f t="shared" si="7"/>
        <v>2279894</v>
      </c>
      <c r="F65" s="98">
        <f t="shared" si="8"/>
        <v>2.156860222337218</v>
      </c>
    </row>
    <row r="66" spans="1:6" ht="18" customHeight="1" x14ac:dyDescent="0.25">
      <c r="A66" s="99">
        <v>10</v>
      </c>
      <c r="B66" s="100" t="s">
        <v>121</v>
      </c>
      <c r="C66" s="97">
        <v>7279004</v>
      </c>
      <c r="D66" s="97">
        <v>0</v>
      </c>
      <c r="E66" s="97">
        <f t="shared" si="7"/>
        <v>-7279004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554077870</v>
      </c>
      <c r="D68" s="103">
        <f>SUM(D57:D67)</f>
        <v>592891964</v>
      </c>
      <c r="E68" s="103">
        <f t="shared" si="7"/>
        <v>38814094</v>
      </c>
      <c r="F68" s="104">
        <f t="shared" si="8"/>
        <v>7.0051695080332307E-2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52319090</v>
      </c>
      <c r="D70" s="97">
        <v>58033661</v>
      </c>
      <c r="E70" s="97">
        <f t="shared" ref="E70:E81" si="9">D70-C70</f>
        <v>5714571</v>
      </c>
      <c r="F70" s="98">
        <f t="shared" ref="F70:F81" si="10">IF(C70=0,0,E70/C70)</f>
        <v>0.10922535158772831</v>
      </c>
    </row>
    <row r="71" spans="1:6" ht="18" customHeight="1" x14ac:dyDescent="0.25">
      <c r="A71" s="99">
        <v>2</v>
      </c>
      <c r="B71" s="100" t="s">
        <v>113</v>
      </c>
      <c r="C71" s="97">
        <v>8741023</v>
      </c>
      <c r="D71" s="97">
        <v>12728190</v>
      </c>
      <c r="E71" s="97">
        <f t="shared" si="9"/>
        <v>3987167</v>
      </c>
      <c r="F71" s="98">
        <f t="shared" si="10"/>
        <v>0.45614420646187526</v>
      </c>
    </row>
    <row r="72" spans="1:6" ht="18" customHeight="1" x14ac:dyDescent="0.25">
      <c r="A72" s="99">
        <v>3</v>
      </c>
      <c r="B72" s="100" t="s">
        <v>114</v>
      </c>
      <c r="C72" s="97">
        <v>12214103</v>
      </c>
      <c r="D72" s="97">
        <v>26241779</v>
      </c>
      <c r="E72" s="97">
        <f t="shared" si="9"/>
        <v>14027676</v>
      </c>
      <c r="F72" s="98">
        <f t="shared" si="10"/>
        <v>1.1484818819687372</v>
      </c>
    </row>
    <row r="73" spans="1:6" ht="18" customHeight="1" x14ac:dyDescent="0.25">
      <c r="A73" s="99">
        <v>4</v>
      </c>
      <c r="B73" s="100" t="s">
        <v>115</v>
      </c>
      <c r="C73" s="97">
        <v>11224417</v>
      </c>
      <c r="D73" s="97">
        <v>12420216</v>
      </c>
      <c r="E73" s="97">
        <f t="shared" si="9"/>
        <v>1195799</v>
      </c>
      <c r="F73" s="98">
        <f t="shared" si="10"/>
        <v>0.10653551093121362</v>
      </c>
    </row>
    <row r="74" spans="1:6" ht="18" customHeight="1" x14ac:dyDescent="0.25">
      <c r="A74" s="99">
        <v>5</v>
      </c>
      <c r="B74" s="100" t="s">
        <v>116</v>
      </c>
      <c r="C74" s="97">
        <v>1091920</v>
      </c>
      <c r="D74" s="97">
        <v>861357</v>
      </c>
      <c r="E74" s="97">
        <f t="shared" si="9"/>
        <v>-230563</v>
      </c>
      <c r="F74" s="98">
        <f t="shared" si="10"/>
        <v>-0.21115374752729138</v>
      </c>
    </row>
    <row r="75" spans="1:6" ht="18" customHeight="1" x14ac:dyDescent="0.25">
      <c r="A75" s="99">
        <v>6</v>
      </c>
      <c r="B75" s="100" t="s">
        <v>117</v>
      </c>
      <c r="C75" s="97">
        <v>6206443</v>
      </c>
      <c r="D75" s="97">
        <v>7929430</v>
      </c>
      <c r="E75" s="97">
        <f t="shared" si="9"/>
        <v>1722987</v>
      </c>
      <c r="F75" s="98">
        <f t="shared" si="10"/>
        <v>0.27761263577221285</v>
      </c>
    </row>
    <row r="76" spans="1:6" ht="18" customHeight="1" x14ac:dyDescent="0.25">
      <c r="A76" s="99">
        <v>7</v>
      </c>
      <c r="B76" s="100" t="s">
        <v>118</v>
      </c>
      <c r="C76" s="97">
        <v>124926731</v>
      </c>
      <c r="D76" s="97">
        <v>145689072</v>
      </c>
      <c r="E76" s="97">
        <f t="shared" si="9"/>
        <v>20762341</v>
      </c>
      <c r="F76" s="98">
        <f t="shared" si="10"/>
        <v>0.16619614420231649</v>
      </c>
    </row>
    <row r="77" spans="1:6" ht="18" customHeight="1" x14ac:dyDescent="0.25">
      <c r="A77" s="99">
        <v>8</v>
      </c>
      <c r="B77" s="100" t="s">
        <v>119</v>
      </c>
      <c r="C77" s="97">
        <v>0</v>
      </c>
      <c r="D77" s="97">
        <v>0</v>
      </c>
      <c r="E77" s="97">
        <f t="shared" si="9"/>
        <v>0</v>
      </c>
      <c r="F77" s="98">
        <f t="shared" si="10"/>
        <v>0</v>
      </c>
    </row>
    <row r="78" spans="1:6" ht="18" customHeight="1" x14ac:dyDescent="0.25">
      <c r="A78" s="99">
        <v>9</v>
      </c>
      <c r="B78" s="100" t="s">
        <v>120</v>
      </c>
      <c r="C78" s="97">
        <v>1458906</v>
      </c>
      <c r="D78" s="97">
        <v>6504178</v>
      </c>
      <c r="E78" s="97">
        <f t="shared" si="9"/>
        <v>5045272</v>
      </c>
      <c r="F78" s="98">
        <f t="shared" si="10"/>
        <v>3.4582570775635992</v>
      </c>
    </row>
    <row r="79" spans="1:6" ht="18" customHeight="1" x14ac:dyDescent="0.25">
      <c r="A79" s="99">
        <v>10</v>
      </c>
      <c r="B79" s="100" t="s">
        <v>121</v>
      </c>
      <c r="C79" s="97">
        <v>2632027</v>
      </c>
      <c r="D79" s="97">
        <v>0</v>
      </c>
      <c r="E79" s="97">
        <f t="shared" si="9"/>
        <v>-2632027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220814660</v>
      </c>
      <c r="D81" s="103">
        <f>SUM(D70:D80)</f>
        <v>270407883</v>
      </c>
      <c r="E81" s="103">
        <f t="shared" si="9"/>
        <v>49593223</v>
      </c>
      <c r="F81" s="104">
        <f t="shared" si="10"/>
        <v>0.22459207644999657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275521505</v>
      </c>
      <c r="D84" s="103">
        <f t="shared" si="11"/>
        <v>284128753</v>
      </c>
      <c r="E84" s="103">
        <f t="shared" ref="E84:E95" si="12">D84-C84</f>
        <v>8607248</v>
      </c>
      <c r="F84" s="104">
        <f t="shared" ref="F84:F95" si="13">IF(C84=0,0,E84/C84)</f>
        <v>3.1239840969945341E-2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46480987</v>
      </c>
      <c r="D85" s="103">
        <f t="shared" si="11"/>
        <v>55306632</v>
      </c>
      <c r="E85" s="103">
        <f t="shared" si="12"/>
        <v>8825645</v>
      </c>
      <c r="F85" s="104">
        <f t="shared" si="13"/>
        <v>0.1898764542155699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60333233</v>
      </c>
      <c r="D86" s="103">
        <f t="shared" si="11"/>
        <v>84395808</v>
      </c>
      <c r="E86" s="103">
        <f t="shared" si="12"/>
        <v>24062575</v>
      </c>
      <c r="F86" s="104">
        <f t="shared" si="13"/>
        <v>0.39882787318889407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29594289</v>
      </c>
      <c r="D87" s="103">
        <f t="shared" si="11"/>
        <v>29761989</v>
      </c>
      <c r="E87" s="103">
        <f t="shared" si="12"/>
        <v>167700</v>
      </c>
      <c r="F87" s="104">
        <f t="shared" si="13"/>
        <v>5.6666338562822039E-3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1989883</v>
      </c>
      <c r="D88" s="103">
        <f t="shared" si="11"/>
        <v>3891496</v>
      </c>
      <c r="E88" s="103">
        <f t="shared" si="12"/>
        <v>1901613</v>
      </c>
      <c r="F88" s="104">
        <f t="shared" si="13"/>
        <v>0.9556406080156471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17224982</v>
      </c>
      <c r="D89" s="103">
        <f t="shared" si="11"/>
        <v>17989452</v>
      </c>
      <c r="E89" s="103">
        <f t="shared" si="12"/>
        <v>764470</v>
      </c>
      <c r="F89" s="104">
        <f t="shared" si="13"/>
        <v>4.4381468729546424E-2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331320671</v>
      </c>
      <c r="D90" s="103">
        <f t="shared" si="11"/>
        <v>377984602</v>
      </c>
      <c r="E90" s="103">
        <f t="shared" si="12"/>
        <v>46663931</v>
      </c>
      <c r="F90" s="104">
        <f t="shared" si="13"/>
        <v>0.14084219635061648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0</v>
      </c>
      <c r="D91" s="103">
        <f t="shared" si="11"/>
        <v>0</v>
      </c>
      <c r="E91" s="103">
        <f t="shared" si="12"/>
        <v>0</v>
      </c>
      <c r="F91" s="104">
        <f t="shared" si="13"/>
        <v>0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2515949</v>
      </c>
      <c r="D92" s="103">
        <f t="shared" si="11"/>
        <v>9841115</v>
      </c>
      <c r="E92" s="103">
        <f t="shared" si="12"/>
        <v>7325166</v>
      </c>
      <c r="F92" s="104">
        <f t="shared" si="13"/>
        <v>2.9114922440796693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9911031</v>
      </c>
      <c r="D93" s="103">
        <f t="shared" si="11"/>
        <v>0</v>
      </c>
      <c r="E93" s="103">
        <f t="shared" si="12"/>
        <v>-9911031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774892530</v>
      </c>
      <c r="D95" s="112">
        <f>SUM(D84:D94)</f>
        <v>863299847</v>
      </c>
      <c r="E95" s="112">
        <f t="shared" si="12"/>
        <v>88407317</v>
      </c>
      <c r="F95" s="113">
        <f t="shared" si="13"/>
        <v>0.11408977835932939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13542</v>
      </c>
      <c r="D100" s="117">
        <v>13321</v>
      </c>
      <c r="E100" s="117">
        <f t="shared" ref="E100:E111" si="14">D100-C100</f>
        <v>-221</v>
      </c>
      <c r="F100" s="98">
        <f t="shared" ref="F100:F111" si="15">IF(C100=0,0,E100/C100)</f>
        <v>-1.6319598286811402E-2</v>
      </c>
    </row>
    <row r="101" spans="1:6" ht="18" customHeight="1" x14ac:dyDescent="0.25">
      <c r="A101" s="99">
        <v>2</v>
      </c>
      <c r="B101" s="100" t="s">
        <v>113</v>
      </c>
      <c r="C101" s="117">
        <v>2277</v>
      </c>
      <c r="D101" s="117">
        <v>2474</v>
      </c>
      <c r="E101" s="117">
        <f t="shared" si="14"/>
        <v>197</v>
      </c>
      <c r="F101" s="98">
        <f t="shared" si="15"/>
        <v>8.6517347386912608E-2</v>
      </c>
    </row>
    <row r="102" spans="1:6" ht="18" customHeight="1" x14ac:dyDescent="0.25">
      <c r="A102" s="99">
        <v>3</v>
      </c>
      <c r="B102" s="100" t="s">
        <v>114</v>
      </c>
      <c r="C102" s="117">
        <v>4582</v>
      </c>
      <c r="D102" s="117">
        <v>6251</v>
      </c>
      <c r="E102" s="117">
        <f t="shared" si="14"/>
        <v>1669</v>
      </c>
      <c r="F102" s="98">
        <f t="shared" si="15"/>
        <v>0.36425141859450022</v>
      </c>
    </row>
    <row r="103" spans="1:6" ht="18" customHeight="1" x14ac:dyDescent="0.25">
      <c r="A103" s="99">
        <v>4</v>
      </c>
      <c r="B103" s="100" t="s">
        <v>115</v>
      </c>
      <c r="C103" s="117">
        <v>3341</v>
      </c>
      <c r="D103" s="117">
        <v>3241</v>
      </c>
      <c r="E103" s="117">
        <f t="shared" si="14"/>
        <v>-100</v>
      </c>
      <c r="F103" s="98">
        <f t="shared" si="15"/>
        <v>-2.9931158335827598E-2</v>
      </c>
    </row>
    <row r="104" spans="1:6" ht="18" customHeight="1" x14ac:dyDescent="0.25">
      <c r="A104" s="99">
        <v>5</v>
      </c>
      <c r="B104" s="100" t="s">
        <v>116</v>
      </c>
      <c r="C104" s="117">
        <v>166</v>
      </c>
      <c r="D104" s="117">
        <v>238</v>
      </c>
      <c r="E104" s="117">
        <f t="shared" si="14"/>
        <v>72</v>
      </c>
      <c r="F104" s="98">
        <f t="shared" si="15"/>
        <v>0.43373493975903615</v>
      </c>
    </row>
    <row r="105" spans="1:6" ht="18" customHeight="1" x14ac:dyDescent="0.25">
      <c r="A105" s="99">
        <v>6</v>
      </c>
      <c r="B105" s="100" t="s">
        <v>117</v>
      </c>
      <c r="C105" s="117">
        <v>326</v>
      </c>
      <c r="D105" s="117">
        <v>268</v>
      </c>
      <c r="E105" s="117">
        <f t="shared" si="14"/>
        <v>-58</v>
      </c>
      <c r="F105" s="98">
        <f t="shared" si="15"/>
        <v>-0.17791411042944785</v>
      </c>
    </row>
    <row r="106" spans="1:6" ht="18" customHeight="1" x14ac:dyDescent="0.25">
      <c r="A106" s="99">
        <v>7</v>
      </c>
      <c r="B106" s="100" t="s">
        <v>118</v>
      </c>
      <c r="C106" s="117">
        <v>15034</v>
      </c>
      <c r="D106" s="117">
        <v>14522</v>
      </c>
      <c r="E106" s="117">
        <f t="shared" si="14"/>
        <v>-512</v>
      </c>
      <c r="F106" s="98">
        <f t="shared" si="15"/>
        <v>-3.405613941732074E-2</v>
      </c>
    </row>
    <row r="107" spans="1:6" ht="18" customHeight="1" x14ac:dyDescent="0.25">
      <c r="A107" s="99">
        <v>8</v>
      </c>
      <c r="B107" s="100" t="s">
        <v>119</v>
      </c>
      <c r="C107" s="117">
        <v>0</v>
      </c>
      <c r="D107" s="117">
        <v>0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690</v>
      </c>
      <c r="D108" s="117">
        <v>359</v>
      </c>
      <c r="E108" s="117">
        <f t="shared" si="14"/>
        <v>-331</v>
      </c>
      <c r="F108" s="98">
        <f t="shared" si="15"/>
        <v>-0.47971014492753622</v>
      </c>
    </row>
    <row r="109" spans="1:6" ht="18" customHeight="1" x14ac:dyDescent="0.25">
      <c r="A109" s="99">
        <v>10</v>
      </c>
      <c r="B109" s="100" t="s">
        <v>121</v>
      </c>
      <c r="C109" s="117">
        <v>1307</v>
      </c>
      <c r="D109" s="117">
        <v>0</v>
      </c>
      <c r="E109" s="117">
        <f t="shared" si="14"/>
        <v>-1307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41265</v>
      </c>
      <c r="D111" s="118">
        <f>SUM(D100:D110)</f>
        <v>40674</v>
      </c>
      <c r="E111" s="118">
        <f t="shared" si="14"/>
        <v>-591</v>
      </c>
      <c r="F111" s="104">
        <f t="shared" si="15"/>
        <v>-1.4322064703744093E-2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87072</v>
      </c>
      <c r="D113" s="117">
        <v>88026</v>
      </c>
      <c r="E113" s="117">
        <f t="shared" ref="E113:E124" si="16">D113-C113</f>
        <v>954</v>
      </c>
      <c r="F113" s="98">
        <f t="shared" ref="F113:F124" si="17">IF(C113=0,0,E113/C113)</f>
        <v>1.0956449834619625E-2</v>
      </c>
    </row>
    <row r="114" spans="1:6" ht="18" customHeight="1" x14ac:dyDescent="0.25">
      <c r="A114" s="99">
        <v>2</v>
      </c>
      <c r="B114" s="100" t="s">
        <v>113</v>
      </c>
      <c r="C114" s="117">
        <v>14222</v>
      </c>
      <c r="D114" s="117">
        <v>15309</v>
      </c>
      <c r="E114" s="117">
        <f t="shared" si="16"/>
        <v>1087</v>
      </c>
      <c r="F114" s="98">
        <f t="shared" si="17"/>
        <v>7.6430881732527073E-2</v>
      </c>
    </row>
    <row r="115" spans="1:6" ht="18" customHeight="1" x14ac:dyDescent="0.25">
      <c r="A115" s="99">
        <v>3</v>
      </c>
      <c r="B115" s="100" t="s">
        <v>114</v>
      </c>
      <c r="C115" s="117">
        <v>31474</v>
      </c>
      <c r="D115" s="117">
        <v>40871</v>
      </c>
      <c r="E115" s="117">
        <f t="shared" si="16"/>
        <v>9397</v>
      </c>
      <c r="F115" s="98">
        <f t="shared" si="17"/>
        <v>0.29856389400775241</v>
      </c>
    </row>
    <row r="116" spans="1:6" ht="18" customHeight="1" x14ac:dyDescent="0.25">
      <c r="A116" s="99">
        <v>4</v>
      </c>
      <c r="B116" s="100" t="s">
        <v>115</v>
      </c>
      <c r="C116" s="117">
        <v>10572</v>
      </c>
      <c r="D116" s="117">
        <v>9981</v>
      </c>
      <c r="E116" s="117">
        <f t="shared" si="16"/>
        <v>-591</v>
      </c>
      <c r="F116" s="98">
        <f t="shared" si="17"/>
        <v>-5.5902383654937569E-2</v>
      </c>
    </row>
    <row r="117" spans="1:6" ht="18" customHeight="1" x14ac:dyDescent="0.25">
      <c r="A117" s="99">
        <v>5</v>
      </c>
      <c r="B117" s="100" t="s">
        <v>116</v>
      </c>
      <c r="C117" s="117">
        <v>951</v>
      </c>
      <c r="D117" s="117">
        <v>1665</v>
      </c>
      <c r="E117" s="117">
        <f t="shared" si="16"/>
        <v>714</v>
      </c>
      <c r="F117" s="98">
        <f t="shared" si="17"/>
        <v>0.75078864353312302</v>
      </c>
    </row>
    <row r="118" spans="1:6" ht="18" customHeight="1" x14ac:dyDescent="0.25">
      <c r="A118" s="99">
        <v>6</v>
      </c>
      <c r="B118" s="100" t="s">
        <v>117</v>
      </c>
      <c r="C118" s="117">
        <v>1554</v>
      </c>
      <c r="D118" s="117">
        <v>1296</v>
      </c>
      <c r="E118" s="117">
        <f t="shared" si="16"/>
        <v>-258</v>
      </c>
      <c r="F118" s="98">
        <f t="shared" si="17"/>
        <v>-0.16602316602316602</v>
      </c>
    </row>
    <row r="119" spans="1:6" ht="18" customHeight="1" x14ac:dyDescent="0.25">
      <c r="A119" s="99">
        <v>7</v>
      </c>
      <c r="B119" s="100" t="s">
        <v>118</v>
      </c>
      <c r="C119" s="117">
        <v>63877</v>
      </c>
      <c r="D119" s="117">
        <v>64415</v>
      </c>
      <c r="E119" s="117">
        <f t="shared" si="16"/>
        <v>538</v>
      </c>
      <c r="F119" s="98">
        <f t="shared" si="17"/>
        <v>8.4224368708611871E-3</v>
      </c>
    </row>
    <row r="120" spans="1:6" ht="18" customHeight="1" x14ac:dyDescent="0.25">
      <c r="A120" s="99">
        <v>8</v>
      </c>
      <c r="B120" s="100" t="s">
        <v>119</v>
      </c>
      <c r="C120" s="117">
        <v>0</v>
      </c>
      <c r="D120" s="117">
        <v>0</v>
      </c>
      <c r="E120" s="117">
        <f t="shared" si="16"/>
        <v>0</v>
      </c>
      <c r="F120" s="98">
        <f t="shared" si="17"/>
        <v>0</v>
      </c>
    </row>
    <row r="121" spans="1:6" ht="18" customHeight="1" x14ac:dyDescent="0.25">
      <c r="A121" s="99">
        <v>9</v>
      </c>
      <c r="B121" s="100" t="s">
        <v>120</v>
      </c>
      <c r="C121" s="117">
        <v>2939</v>
      </c>
      <c r="D121" s="117">
        <v>1992</v>
      </c>
      <c r="E121" s="117">
        <f t="shared" si="16"/>
        <v>-947</v>
      </c>
      <c r="F121" s="98">
        <f t="shared" si="17"/>
        <v>-0.32221844164681862</v>
      </c>
    </row>
    <row r="122" spans="1:6" ht="18" customHeight="1" x14ac:dyDescent="0.25">
      <c r="A122" s="99">
        <v>10</v>
      </c>
      <c r="B122" s="100" t="s">
        <v>121</v>
      </c>
      <c r="C122" s="117">
        <v>7453</v>
      </c>
      <c r="D122" s="117">
        <v>0</v>
      </c>
      <c r="E122" s="117">
        <f t="shared" si="16"/>
        <v>-7453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220114</v>
      </c>
      <c r="D124" s="118">
        <f>SUM(D113:D123)</f>
        <v>223555</v>
      </c>
      <c r="E124" s="118">
        <f t="shared" si="16"/>
        <v>3441</v>
      </c>
      <c r="F124" s="104">
        <f t="shared" si="17"/>
        <v>1.5632808453801213E-2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72329</v>
      </c>
      <c r="D126" s="117">
        <v>69947</v>
      </c>
      <c r="E126" s="117">
        <f t="shared" ref="E126:E137" si="18">D126-C126</f>
        <v>-2382</v>
      </c>
      <c r="F126" s="98">
        <f t="shared" ref="F126:F137" si="19">IF(C126=0,0,E126/C126)</f>
        <v>-3.2932848511661991E-2</v>
      </c>
    </row>
    <row r="127" spans="1:6" ht="18" customHeight="1" x14ac:dyDescent="0.25">
      <c r="A127" s="99">
        <v>2</v>
      </c>
      <c r="B127" s="100" t="s">
        <v>113</v>
      </c>
      <c r="C127" s="117">
        <v>8959</v>
      </c>
      <c r="D127" s="117">
        <v>11683</v>
      </c>
      <c r="E127" s="117">
        <f t="shared" si="18"/>
        <v>2724</v>
      </c>
      <c r="F127" s="98">
        <f t="shared" si="19"/>
        <v>0.30405179149458644</v>
      </c>
    </row>
    <row r="128" spans="1:6" ht="18" customHeight="1" x14ac:dyDescent="0.25">
      <c r="A128" s="99">
        <v>3</v>
      </c>
      <c r="B128" s="100" t="s">
        <v>114</v>
      </c>
      <c r="C128" s="117">
        <v>56665</v>
      </c>
      <c r="D128" s="117">
        <v>75025</v>
      </c>
      <c r="E128" s="117">
        <f t="shared" si="18"/>
        <v>18360</v>
      </c>
      <c r="F128" s="98">
        <f t="shared" si="19"/>
        <v>0.32400952969204977</v>
      </c>
    </row>
    <row r="129" spans="1:6" ht="18" customHeight="1" x14ac:dyDescent="0.25">
      <c r="A129" s="99">
        <v>4</v>
      </c>
      <c r="B129" s="100" t="s">
        <v>115</v>
      </c>
      <c r="C129" s="117">
        <v>62651</v>
      </c>
      <c r="D129" s="117">
        <v>51338</v>
      </c>
      <c r="E129" s="117">
        <f t="shared" si="18"/>
        <v>-11313</v>
      </c>
      <c r="F129" s="98">
        <f t="shared" si="19"/>
        <v>-0.1805717386793507</v>
      </c>
    </row>
    <row r="130" spans="1:6" ht="18" customHeight="1" x14ac:dyDescent="0.25">
      <c r="A130" s="99">
        <v>5</v>
      </c>
      <c r="B130" s="100" t="s">
        <v>116</v>
      </c>
      <c r="C130" s="117">
        <v>475</v>
      </c>
      <c r="D130" s="117">
        <v>622</v>
      </c>
      <c r="E130" s="117">
        <f t="shared" si="18"/>
        <v>147</v>
      </c>
      <c r="F130" s="98">
        <f t="shared" si="19"/>
        <v>0.30947368421052629</v>
      </c>
    </row>
    <row r="131" spans="1:6" ht="18" customHeight="1" x14ac:dyDescent="0.25">
      <c r="A131" s="99">
        <v>6</v>
      </c>
      <c r="B131" s="100" t="s">
        <v>117</v>
      </c>
      <c r="C131" s="117">
        <v>11069</v>
      </c>
      <c r="D131" s="117">
        <v>15307</v>
      </c>
      <c r="E131" s="117">
        <f t="shared" si="18"/>
        <v>4238</v>
      </c>
      <c r="F131" s="98">
        <f t="shared" si="19"/>
        <v>0.38287108139850029</v>
      </c>
    </row>
    <row r="132" spans="1:6" ht="18" customHeight="1" x14ac:dyDescent="0.25">
      <c r="A132" s="99">
        <v>7</v>
      </c>
      <c r="B132" s="100" t="s">
        <v>118</v>
      </c>
      <c r="C132" s="117">
        <v>79774</v>
      </c>
      <c r="D132" s="117">
        <v>93386</v>
      </c>
      <c r="E132" s="117">
        <f t="shared" si="18"/>
        <v>13612</v>
      </c>
      <c r="F132" s="98">
        <f t="shared" si="19"/>
        <v>0.17063203550028833</v>
      </c>
    </row>
    <row r="133" spans="1:6" ht="18" customHeight="1" x14ac:dyDescent="0.25">
      <c r="A133" s="99">
        <v>8</v>
      </c>
      <c r="B133" s="100" t="s">
        <v>119</v>
      </c>
      <c r="C133" s="117">
        <v>0</v>
      </c>
      <c r="D133" s="117">
        <v>0</v>
      </c>
      <c r="E133" s="117">
        <f t="shared" si="18"/>
        <v>0</v>
      </c>
      <c r="F133" s="98">
        <f t="shared" si="19"/>
        <v>0</v>
      </c>
    </row>
    <row r="134" spans="1:6" ht="18" customHeight="1" x14ac:dyDescent="0.25">
      <c r="A134" s="99">
        <v>9</v>
      </c>
      <c r="B134" s="100" t="s">
        <v>120</v>
      </c>
      <c r="C134" s="117">
        <v>35449</v>
      </c>
      <c r="D134" s="117">
        <v>31471</v>
      </c>
      <c r="E134" s="117">
        <f t="shared" si="18"/>
        <v>-3978</v>
      </c>
      <c r="F134" s="98">
        <f t="shared" si="19"/>
        <v>-0.11221755197607831</v>
      </c>
    </row>
    <row r="135" spans="1:6" ht="18" customHeight="1" x14ac:dyDescent="0.25">
      <c r="A135" s="99">
        <v>10</v>
      </c>
      <c r="B135" s="100" t="s">
        <v>121</v>
      </c>
      <c r="C135" s="117">
        <v>11763</v>
      </c>
      <c r="D135" s="117">
        <v>0</v>
      </c>
      <c r="E135" s="117">
        <f t="shared" si="18"/>
        <v>-11763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339134</v>
      </c>
      <c r="D137" s="118">
        <f>SUM(D126:D136)</f>
        <v>348779</v>
      </c>
      <c r="E137" s="118">
        <f t="shared" si="18"/>
        <v>9645</v>
      </c>
      <c r="F137" s="104">
        <f t="shared" si="19"/>
        <v>2.8440085629869018E-2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25253004</v>
      </c>
      <c r="D142" s="97">
        <v>26962960</v>
      </c>
      <c r="E142" s="97">
        <f t="shared" ref="E142:E153" si="20">D142-C142</f>
        <v>1709956</v>
      </c>
      <c r="F142" s="98">
        <f t="shared" ref="F142:F153" si="21">IF(C142=0,0,E142/C142)</f>
        <v>6.7712973870356172E-2</v>
      </c>
    </row>
    <row r="143" spans="1:6" ht="18" customHeight="1" x14ac:dyDescent="0.25">
      <c r="A143" s="99">
        <v>2</v>
      </c>
      <c r="B143" s="100" t="s">
        <v>113</v>
      </c>
      <c r="C143" s="97">
        <v>5658118</v>
      </c>
      <c r="D143" s="97">
        <v>7620874</v>
      </c>
      <c r="E143" s="97">
        <f t="shared" si="20"/>
        <v>1962756</v>
      </c>
      <c r="F143" s="98">
        <f t="shared" si="21"/>
        <v>0.34689202310733003</v>
      </c>
    </row>
    <row r="144" spans="1:6" ht="18" customHeight="1" x14ac:dyDescent="0.25">
      <c r="A144" s="99">
        <v>3</v>
      </c>
      <c r="B144" s="100" t="s">
        <v>114</v>
      </c>
      <c r="C144" s="97">
        <v>20041271</v>
      </c>
      <c r="D144" s="97">
        <v>34576394</v>
      </c>
      <c r="E144" s="97">
        <f t="shared" si="20"/>
        <v>14535123</v>
      </c>
      <c r="F144" s="98">
        <f t="shared" si="21"/>
        <v>0.72525954067484044</v>
      </c>
    </row>
    <row r="145" spans="1:6" ht="18" customHeight="1" x14ac:dyDescent="0.25">
      <c r="A145" s="99">
        <v>4</v>
      </c>
      <c r="B145" s="100" t="s">
        <v>115</v>
      </c>
      <c r="C145" s="97">
        <v>18183797</v>
      </c>
      <c r="D145" s="97">
        <v>17034343</v>
      </c>
      <c r="E145" s="97">
        <f t="shared" si="20"/>
        <v>-1149454</v>
      </c>
      <c r="F145" s="98">
        <f t="shared" si="21"/>
        <v>-6.3213090203327715E-2</v>
      </c>
    </row>
    <row r="146" spans="1:6" ht="18" customHeight="1" x14ac:dyDescent="0.25">
      <c r="A146" s="99">
        <v>5</v>
      </c>
      <c r="B146" s="100" t="s">
        <v>116</v>
      </c>
      <c r="C146" s="97">
        <v>568660</v>
      </c>
      <c r="D146" s="97">
        <v>892802</v>
      </c>
      <c r="E146" s="97">
        <f t="shared" si="20"/>
        <v>324142</v>
      </c>
      <c r="F146" s="98">
        <f t="shared" si="21"/>
        <v>0.57001019941617137</v>
      </c>
    </row>
    <row r="147" spans="1:6" ht="18" customHeight="1" x14ac:dyDescent="0.25">
      <c r="A147" s="99">
        <v>6</v>
      </c>
      <c r="B147" s="100" t="s">
        <v>117</v>
      </c>
      <c r="C147" s="97">
        <v>3932948</v>
      </c>
      <c r="D147" s="97">
        <v>3953244</v>
      </c>
      <c r="E147" s="97">
        <f t="shared" si="20"/>
        <v>20296</v>
      </c>
      <c r="F147" s="98">
        <f t="shared" si="21"/>
        <v>5.1605055546119607E-3</v>
      </c>
    </row>
    <row r="148" spans="1:6" ht="18" customHeight="1" x14ac:dyDescent="0.25">
      <c r="A148" s="99">
        <v>7</v>
      </c>
      <c r="B148" s="100" t="s">
        <v>118</v>
      </c>
      <c r="C148" s="97">
        <v>37583382</v>
      </c>
      <c r="D148" s="97">
        <v>37781495</v>
      </c>
      <c r="E148" s="97">
        <f t="shared" si="20"/>
        <v>198113</v>
      </c>
      <c r="F148" s="98">
        <f t="shared" si="21"/>
        <v>5.2712925090136909E-3</v>
      </c>
    </row>
    <row r="149" spans="1:6" ht="18" customHeight="1" x14ac:dyDescent="0.25">
      <c r="A149" s="99">
        <v>8</v>
      </c>
      <c r="B149" s="100" t="s">
        <v>119</v>
      </c>
      <c r="C149" s="97">
        <v>0</v>
      </c>
      <c r="D149" s="97">
        <v>0</v>
      </c>
      <c r="E149" s="97">
        <f t="shared" si="20"/>
        <v>0</v>
      </c>
      <c r="F149" s="98">
        <f t="shared" si="21"/>
        <v>0</v>
      </c>
    </row>
    <row r="150" spans="1:6" ht="18" customHeight="1" x14ac:dyDescent="0.25">
      <c r="A150" s="99">
        <v>9</v>
      </c>
      <c r="B150" s="100" t="s">
        <v>120</v>
      </c>
      <c r="C150" s="97">
        <v>22410799</v>
      </c>
      <c r="D150" s="97">
        <v>21263585</v>
      </c>
      <c r="E150" s="97">
        <f t="shared" si="20"/>
        <v>-1147214</v>
      </c>
      <c r="F150" s="98">
        <f t="shared" si="21"/>
        <v>-5.1190231994852127E-2</v>
      </c>
    </row>
    <row r="151" spans="1:6" ht="18" customHeight="1" x14ac:dyDescent="0.25">
      <c r="A151" s="99">
        <v>10</v>
      </c>
      <c r="B151" s="100" t="s">
        <v>121</v>
      </c>
      <c r="C151" s="97">
        <v>10200153</v>
      </c>
      <c r="D151" s="97">
        <v>0</v>
      </c>
      <c r="E151" s="97">
        <f t="shared" si="20"/>
        <v>-10200153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143832132</v>
      </c>
      <c r="D153" s="103">
        <f>SUM(D142:D152)</f>
        <v>150085697</v>
      </c>
      <c r="E153" s="103">
        <f t="shared" si="20"/>
        <v>6253565</v>
      </c>
      <c r="F153" s="104">
        <f t="shared" si="21"/>
        <v>4.3478219456553703E-2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6010215</v>
      </c>
      <c r="D155" s="97">
        <v>6417184</v>
      </c>
      <c r="E155" s="97">
        <f t="shared" ref="E155:E166" si="22">D155-C155</f>
        <v>406969</v>
      </c>
      <c r="F155" s="98">
        <f t="shared" ref="F155:F166" si="23">IF(C155=0,0,E155/C155)</f>
        <v>6.7712885479138438E-2</v>
      </c>
    </row>
    <row r="156" spans="1:6" ht="18" customHeight="1" x14ac:dyDescent="0.25">
      <c r="A156" s="99">
        <v>2</v>
      </c>
      <c r="B156" s="100" t="s">
        <v>113</v>
      </c>
      <c r="C156" s="97">
        <v>1324000</v>
      </c>
      <c r="D156" s="97">
        <v>1783285</v>
      </c>
      <c r="E156" s="97">
        <f t="shared" si="22"/>
        <v>459285</v>
      </c>
      <c r="F156" s="98">
        <f t="shared" si="23"/>
        <v>0.34689199395770393</v>
      </c>
    </row>
    <row r="157" spans="1:6" ht="18" customHeight="1" x14ac:dyDescent="0.25">
      <c r="A157" s="99">
        <v>3</v>
      </c>
      <c r="B157" s="100" t="s">
        <v>114</v>
      </c>
      <c r="C157" s="97">
        <v>4078399</v>
      </c>
      <c r="D157" s="97">
        <v>7036296</v>
      </c>
      <c r="E157" s="97">
        <f t="shared" si="22"/>
        <v>2957897</v>
      </c>
      <c r="F157" s="98">
        <f t="shared" si="23"/>
        <v>0.72525934809222936</v>
      </c>
    </row>
    <row r="158" spans="1:6" ht="18" customHeight="1" x14ac:dyDescent="0.25">
      <c r="A158" s="99">
        <v>4</v>
      </c>
      <c r="B158" s="100" t="s">
        <v>115</v>
      </c>
      <c r="C158" s="97">
        <v>4000435</v>
      </c>
      <c r="D158" s="97">
        <v>3747555</v>
      </c>
      <c r="E158" s="97">
        <f t="shared" si="22"/>
        <v>-252880</v>
      </c>
      <c r="F158" s="98">
        <f t="shared" si="23"/>
        <v>-6.3213125572593981E-2</v>
      </c>
    </row>
    <row r="159" spans="1:6" ht="18" customHeight="1" x14ac:dyDescent="0.25">
      <c r="A159" s="99">
        <v>5</v>
      </c>
      <c r="B159" s="100" t="s">
        <v>116</v>
      </c>
      <c r="C159" s="97">
        <v>164911</v>
      </c>
      <c r="D159" s="97">
        <v>258913</v>
      </c>
      <c r="E159" s="97">
        <f t="shared" si="22"/>
        <v>94002</v>
      </c>
      <c r="F159" s="98">
        <f t="shared" si="23"/>
        <v>0.57001655438387977</v>
      </c>
    </row>
    <row r="160" spans="1:6" ht="18" customHeight="1" x14ac:dyDescent="0.25">
      <c r="A160" s="99">
        <v>6</v>
      </c>
      <c r="B160" s="100" t="s">
        <v>117</v>
      </c>
      <c r="C160" s="97">
        <v>3897551</v>
      </c>
      <c r="D160" s="97">
        <v>3917665</v>
      </c>
      <c r="E160" s="97">
        <f t="shared" si="22"/>
        <v>20114</v>
      </c>
      <c r="F160" s="98">
        <f t="shared" si="23"/>
        <v>5.1606765376514636E-3</v>
      </c>
    </row>
    <row r="161" spans="1:6" ht="18" customHeight="1" x14ac:dyDescent="0.25">
      <c r="A161" s="99">
        <v>7</v>
      </c>
      <c r="B161" s="100" t="s">
        <v>118</v>
      </c>
      <c r="C161" s="97">
        <v>16857577</v>
      </c>
      <c r="D161" s="97">
        <v>16944508</v>
      </c>
      <c r="E161" s="97">
        <f t="shared" si="22"/>
        <v>86931</v>
      </c>
      <c r="F161" s="98">
        <f t="shared" si="23"/>
        <v>5.1567909195965704E-3</v>
      </c>
    </row>
    <row r="162" spans="1:6" ht="18" customHeight="1" x14ac:dyDescent="0.25">
      <c r="A162" s="99">
        <v>8</v>
      </c>
      <c r="B162" s="100" t="s">
        <v>119</v>
      </c>
      <c r="C162" s="97">
        <v>0</v>
      </c>
      <c r="D162" s="97">
        <v>0</v>
      </c>
      <c r="E162" s="97">
        <f t="shared" si="22"/>
        <v>0</v>
      </c>
      <c r="F162" s="98">
        <f t="shared" si="23"/>
        <v>0</v>
      </c>
    </row>
    <row r="163" spans="1:6" ht="18" customHeight="1" x14ac:dyDescent="0.25">
      <c r="A163" s="99">
        <v>9</v>
      </c>
      <c r="B163" s="100" t="s">
        <v>120</v>
      </c>
      <c r="C163" s="97">
        <v>20640346</v>
      </c>
      <c r="D163" s="97">
        <v>19583762</v>
      </c>
      <c r="E163" s="97">
        <f t="shared" si="22"/>
        <v>-1056584</v>
      </c>
      <c r="F163" s="98">
        <f t="shared" si="23"/>
        <v>-5.1190227140572156E-2</v>
      </c>
    </row>
    <row r="164" spans="1:6" ht="18" customHeight="1" x14ac:dyDescent="0.25">
      <c r="A164" s="99">
        <v>10</v>
      </c>
      <c r="B164" s="100" t="s">
        <v>121</v>
      </c>
      <c r="C164" s="97">
        <v>1938029</v>
      </c>
      <c r="D164" s="97">
        <v>0</v>
      </c>
      <c r="E164" s="97">
        <f t="shared" si="22"/>
        <v>-1938029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58911463</v>
      </c>
      <c r="D166" s="103">
        <f>SUM(D155:D165)</f>
        <v>59689168</v>
      </c>
      <c r="E166" s="103">
        <f t="shared" si="22"/>
        <v>777705</v>
      </c>
      <c r="F166" s="104">
        <f t="shared" si="23"/>
        <v>1.3201250832966074E-2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10283</v>
      </c>
      <c r="D168" s="117">
        <v>10559</v>
      </c>
      <c r="E168" s="117">
        <f t="shared" ref="E168:E179" si="24">D168-C168</f>
        <v>276</v>
      </c>
      <c r="F168" s="98">
        <f t="shared" ref="F168:F179" si="25">IF(C168=0,0,E168/C168)</f>
        <v>2.6840416220947193E-2</v>
      </c>
    </row>
    <row r="169" spans="1:6" ht="18" customHeight="1" x14ac:dyDescent="0.25">
      <c r="A169" s="99">
        <v>2</v>
      </c>
      <c r="B169" s="100" t="s">
        <v>113</v>
      </c>
      <c r="C169" s="117">
        <v>2301</v>
      </c>
      <c r="D169" s="117">
        <v>2682</v>
      </c>
      <c r="E169" s="117">
        <f t="shared" si="24"/>
        <v>381</v>
      </c>
      <c r="F169" s="98">
        <f t="shared" si="25"/>
        <v>0.16558018252933507</v>
      </c>
    </row>
    <row r="170" spans="1:6" ht="18" customHeight="1" x14ac:dyDescent="0.25">
      <c r="A170" s="99">
        <v>3</v>
      </c>
      <c r="B170" s="100" t="s">
        <v>114</v>
      </c>
      <c r="C170" s="117">
        <v>12524</v>
      </c>
      <c r="D170" s="117">
        <v>21579</v>
      </c>
      <c r="E170" s="117">
        <f t="shared" si="24"/>
        <v>9055</v>
      </c>
      <c r="F170" s="98">
        <f t="shared" si="25"/>
        <v>0.72301181731076336</v>
      </c>
    </row>
    <row r="171" spans="1:6" ht="18" customHeight="1" x14ac:dyDescent="0.25">
      <c r="A171" s="99">
        <v>4</v>
      </c>
      <c r="B171" s="100" t="s">
        <v>115</v>
      </c>
      <c r="C171" s="117">
        <v>13592</v>
      </c>
      <c r="D171" s="117">
        <v>12334</v>
      </c>
      <c r="E171" s="117">
        <f t="shared" si="24"/>
        <v>-1258</v>
      </c>
      <c r="F171" s="98">
        <f t="shared" si="25"/>
        <v>-9.2554443790464985E-2</v>
      </c>
    </row>
    <row r="172" spans="1:6" ht="18" customHeight="1" x14ac:dyDescent="0.25">
      <c r="A172" s="99">
        <v>5</v>
      </c>
      <c r="B172" s="100" t="s">
        <v>116</v>
      </c>
      <c r="C172" s="117">
        <v>228</v>
      </c>
      <c r="D172" s="117">
        <v>325</v>
      </c>
      <c r="E172" s="117">
        <f t="shared" si="24"/>
        <v>97</v>
      </c>
      <c r="F172" s="98">
        <f t="shared" si="25"/>
        <v>0.42543859649122806</v>
      </c>
    </row>
    <row r="173" spans="1:6" ht="18" customHeight="1" x14ac:dyDescent="0.25">
      <c r="A173" s="99">
        <v>6</v>
      </c>
      <c r="B173" s="100" t="s">
        <v>117</v>
      </c>
      <c r="C173" s="117">
        <v>2157</v>
      </c>
      <c r="D173" s="117">
        <v>2115</v>
      </c>
      <c r="E173" s="117">
        <f t="shared" si="24"/>
        <v>-42</v>
      </c>
      <c r="F173" s="98">
        <f t="shared" si="25"/>
        <v>-1.9471488178025034E-2</v>
      </c>
    </row>
    <row r="174" spans="1:6" ht="18" customHeight="1" x14ac:dyDescent="0.25">
      <c r="A174" s="99">
        <v>7</v>
      </c>
      <c r="B174" s="100" t="s">
        <v>118</v>
      </c>
      <c r="C174" s="117">
        <v>16266</v>
      </c>
      <c r="D174" s="117">
        <v>15570</v>
      </c>
      <c r="E174" s="117">
        <f t="shared" si="24"/>
        <v>-696</v>
      </c>
      <c r="F174" s="98">
        <f t="shared" si="25"/>
        <v>-4.2788638878642565E-2</v>
      </c>
    </row>
    <row r="175" spans="1:6" ht="18" customHeight="1" x14ac:dyDescent="0.25">
      <c r="A175" s="99">
        <v>8</v>
      </c>
      <c r="B175" s="100" t="s">
        <v>119</v>
      </c>
      <c r="C175" s="117">
        <v>0</v>
      </c>
      <c r="D175" s="117">
        <v>0</v>
      </c>
      <c r="E175" s="117">
        <f t="shared" si="24"/>
        <v>0</v>
      </c>
      <c r="F175" s="98">
        <f t="shared" si="25"/>
        <v>0</v>
      </c>
    </row>
    <row r="176" spans="1:6" ht="18" customHeight="1" x14ac:dyDescent="0.25">
      <c r="A176" s="99">
        <v>9</v>
      </c>
      <c r="B176" s="100" t="s">
        <v>120</v>
      </c>
      <c r="C176" s="117">
        <v>14151</v>
      </c>
      <c r="D176" s="117">
        <v>13389</v>
      </c>
      <c r="E176" s="117">
        <f t="shared" si="24"/>
        <v>-762</v>
      </c>
      <c r="F176" s="98">
        <f t="shared" si="25"/>
        <v>-5.3847784608861561E-2</v>
      </c>
    </row>
    <row r="177" spans="1:6" ht="18" customHeight="1" x14ac:dyDescent="0.25">
      <c r="A177" s="99">
        <v>10</v>
      </c>
      <c r="B177" s="100" t="s">
        <v>121</v>
      </c>
      <c r="C177" s="117">
        <v>7168</v>
      </c>
      <c r="D177" s="117">
        <v>0</v>
      </c>
      <c r="E177" s="117">
        <f t="shared" si="24"/>
        <v>-7168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78670</v>
      </c>
      <c r="D179" s="118">
        <f>SUM(D168:D178)</f>
        <v>78553</v>
      </c>
      <c r="E179" s="118">
        <f t="shared" si="24"/>
        <v>-117</v>
      </c>
      <c r="F179" s="104">
        <f t="shared" si="25"/>
        <v>-1.4872251175797636E-3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FILING&amp;RHARTFORD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133233307</v>
      </c>
      <c r="D15" s="146">
        <v>140350779</v>
      </c>
      <c r="E15" s="146">
        <f>+D15-C15</f>
        <v>7117472</v>
      </c>
      <c r="F15" s="150">
        <f>IF(C15=0,0,E15/C15)</f>
        <v>5.3421116387961459E-2</v>
      </c>
    </row>
    <row r="16" spans="1:7" ht="15" customHeight="1" x14ac:dyDescent="0.2">
      <c r="A16" s="141">
        <v>2</v>
      </c>
      <c r="B16" s="149" t="s">
        <v>158</v>
      </c>
      <c r="C16" s="146">
        <v>38244961</v>
      </c>
      <c r="D16" s="146">
        <v>42066899</v>
      </c>
      <c r="E16" s="146">
        <f>+D16-C16</f>
        <v>3821938</v>
      </c>
      <c r="F16" s="150">
        <f>IF(C16=0,0,E16/C16)</f>
        <v>9.9933112756998232E-2</v>
      </c>
    </row>
    <row r="17" spans="1:7" ht="15" customHeight="1" x14ac:dyDescent="0.2">
      <c r="A17" s="141">
        <v>3</v>
      </c>
      <c r="B17" s="149" t="s">
        <v>159</v>
      </c>
      <c r="C17" s="146">
        <v>227027658</v>
      </c>
      <c r="D17" s="146">
        <v>250921753</v>
      </c>
      <c r="E17" s="146">
        <f>+D17-C17</f>
        <v>23894095</v>
      </c>
      <c r="F17" s="150">
        <f>IF(C17=0,0,E17/C17)</f>
        <v>0.10524750689186954</v>
      </c>
    </row>
    <row r="18" spans="1:7" ht="15.75" customHeight="1" x14ac:dyDescent="0.25">
      <c r="A18" s="141"/>
      <c r="B18" s="151" t="s">
        <v>160</v>
      </c>
      <c r="C18" s="147">
        <f>SUM(C15:C17)</f>
        <v>398505926</v>
      </c>
      <c r="D18" s="147">
        <f>SUM(D15:D17)</f>
        <v>433339431</v>
      </c>
      <c r="E18" s="147">
        <f>+D18-C18</f>
        <v>34833505</v>
      </c>
      <c r="F18" s="148">
        <f>IF(C18=0,0,E18/C18)</f>
        <v>8.7410255976971343E-2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33209967</v>
      </c>
      <c r="D21" s="146">
        <v>41738240</v>
      </c>
      <c r="E21" s="146">
        <f>+D21-C21</f>
        <v>8528273</v>
      </c>
      <c r="F21" s="150">
        <f>IF(C21=0,0,E21/C21)</f>
        <v>0.25679859904708729</v>
      </c>
    </row>
    <row r="22" spans="1:7" ht="15" customHeight="1" x14ac:dyDescent="0.2">
      <c r="A22" s="141">
        <v>2</v>
      </c>
      <c r="B22" s="149" t="s">
        <v>163</v>
      </c>
      <c r="C22" s="146">
        <v>10063626</v>
      </c>
      <c r="D22" s="146">
        <v>12510072</v>
      </c>
      <c r="E22" s="146">
        <f>+D22-C22</f>
        <v>2446446</v>
      </c>
      <c r="F22" s="150">
        <f>IF(C22=0,0,E22/C22)</f>
        <v>0.24309786552083712</v>
      </c>
    </row>
    <row r="23" spans="1:7" ht="15" customHeight="1" x14ac:dyDescent="0.2">
      <c r="A23" s="141">
        <v>3</v>
      </c>
      <c r="B23" s="149" t="s">
        <v>164</v>
      </c>
      <c r="C23" s="146">
        <v>57362671</v>
      </c>
      <c r="D23" s="146">
        <v>74620408</v>
      </c>
      <c r="E23" s="146">
        <f>+D23-C23</f>
        <v>17257737</v>
      </c>
      <c r="F23" s="150">
        <f>IF(C23=0,0,E23/C23)</f>
        <v>0.30085309312043718</v>
      </c>
    </row>
    <row r="24" spans="1:7" ht="15.75" customHeight="1" x14ac:dyDescent="0.25">
      <c r="A24" s="141"/>
      <c r="B24" s="151" t="s">
        <v>165</v>
      </c>
      <c r="C24" s="147">
        <f>SUM(C21:C23)</f>
        <v>100636264</v>
      </c>
      <c r="D24" s="147">
        <f>SUM(D21:D23)</f>
        <v>128868720</v>
      </c>
      <c r="E24" s="147">
        <f>+D24-C24</f>
        <v>28232456</v>
      </c>
      <c r="F24" s="148">
        <f>IF(C24=0,0,E24/C24)</f>
        <v>0.28053958759836317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2429188</v>
      </c>
      <c r="D27" s="146">
        <v>2302827</v>
      </c>
      <c r="E27" s="146">
        <f>+D27-C27</f>
        <v>-126361</v>
      </c>
      <c r="F27" s="150">
        <f>IF(C27=0,0,E27/C27)</f>
        <v>-5.2017793600165979E-2</v>
      </c>
    </row>
    <row r="28" spans="1:7" ht="15" customHeight="1" x14ac:dyDescent="0.2">
      <c r="A28" s="141">
        <v>2</v>
      </c>
      <c r="B28" s="149" t="s">
        <v>168</v>
      </c>
      <c r="C28" s="146">
        <v>36006766</v>
      </c>
      <c r="D28" s="146">
        <v>39912214</v>
      </c>
      <c r="E28" s="146">
        <f>+D28-C28</f>
        <v>3905448</v>
      </c>
      <c r="F28" s="150">
        <f>IF(C28=0,0,E28/C28)</f>
        <v>0.10846428140755546</v>
      </c>
    </row>
    <row r="29" spans="1:7" ht="15" customHeight="1" x14ac:dyDescent="0.2">
      <c r="A29" s="141">
        <v>3</v>
      </c>
      <c r="B29" s="149" t="s">
        <v>169</v>
      </c>
      <c r="C29" s="146">
        <v>21104575</v>
      </c>
      <c r="D29" s="146">
        <v>15659253</v>
      </c>
      <c r="E29" s="146">
        <f>+D29-C29</f>
        <v>-5445322</v>
      </c>
      <c r="F29" s="150">
        <f>IF(C29=0,0,E29/C29)</f>
        <v>-0.25801618843307672</v>
      </c>
    </row>
    <row r="30" spans="1:7" ht="15.75" customHeight="1" x14ac:dyDescent="0.25">
      <c r="A30" s="141"/>
      <c r="B30" s="151" t="s">
        <v>170</v>
      </c>
      <c r="C30" s="147">
        <f>SUM(C27:C29)</f>
        <v>59540529</v>
      </c>
      <c r="D30" s="147">
        <f>SUM(D27:D29)</f>
        <v>57874294</v>
      </c>
      <c r="E30" s="147">
        <f>+D30-C30</f>
        <v>-1666235</v>
      </c>
      <c r="F30" s="148">
        <f>IF(C30=0,0,E30/C30)</f>
        <v>-2.7984887403334963E-2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97557669</v>
      </c>
      <c r="D33" s="146">
        <v>98378597</v>
      </c>
      <c r="E33" s="146">
        <f>+D33-C33</f>
        <v>820928</v>
      </c>
      <c r="F33" s="150">
        <f>IF(C33=0,0,E33/C33)</f>
        <v>8.4147972006178209E-3</v>
      </c>
    </row>
    <row r="34" spans="1:7" ht="15" customHeight="1" x14ac:dyDescent="0.2">
      <c r="A34" s="141">
        <v>2</v>
      </c>
      <c r="B34" s="149" t="s">
        <v>174</v>
      </c>
      <c r="C34" s="146">
        <v>28630550</v>
      </c>
      <c r="D34" s="146">
        <v>26873381</v>
      </c>
      <c r="E34" s="146">
        <f>+D34-C34</f>
        <v>-1757169</v>
      </c>
      <c r="F34" s="150">
        <f>IF(C34=0,0,E34/C34)</f>
        <v>-6.137391702220181E-2</v>
      </c>
    </row>
    <row r="35" spans="1:7" ht="15.75" customHeight="1" x14ac:dyDescent="0.25">
      <c r="A35" s="141"/>
      <c r="B35" s="151" t="s">
        <v>175</v>
      </c>
      <c r="C35" s="147">
        <f>SUM(C33:C34)</f>
        <v>126188219</v>
      </c>
      <c r="D35" s="147">
        <f>SUM(D33:D34)</f>
        <v>125251978</v>
      </c>
      <c r="E35" s="147">
        <f>+D35-C35</f>
        <v>-936241</v>
      </c>
      <c r="F35" s="148">
        <f>IF(C35=0,0,E35/C35)</f>
        <v>-7.4194010139726277E-3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18740725</v>
      </c>
      <c r="D38" s="146">
        <v>19270420</v>
      </c>
      <c r="E38" s="146">
        <f>+D38-C38</f>
        <v>529695</v>
      </c>
      <c r="F38" s="150">
        <f>IF(C38=0,0,E38/C38)</f>
        <v>2.8264381447355959E-2</v>
      </c>
    </row>
    <row r="39" spans="1:7" ht="15" customHeight="1" x14ac:dyDescent="0.2">
      <c r="A39" s="141">
        <v>2</v>
      </c>
      <c r="B39" s="149" t="s">
        <v>179</v>
      </c>
      <c r="C39" s="146">
        <v>23571735</v>
      </c>
      <c r="D39" s="146">
        <v>24180180</v>
      </c>
      <c r="E39" s="146">
        <f>+D39-C39</f>
        <v>608445</v>
      </c>
      <c r="F39" s="150">
        <f>IF(C39=0,0,E39/C39)</f>
        <v>2.5812482619544129E-2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42312460</v>
      </c>
      <c r="D41" s="147">
        <f>SUM(D38:D40)</f>
        <v>43450600</v>
      </c>
      <c r="E41" s="147">
        <f>+D41-C41</f>
        <v>1138140</v>
      </c>
      <c r="F41" s="148">
        <f>IF(C41=0,0,E41/C41)</f>
        <v>2.6898459697214484E-2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37824767</v>
      </c>
      <c r="D44" s="146">
        <v>12915771</v>
      </c>
      <c r="E44" s="146">
        <f>+D44-C44</f>
        <v>-24908996</v>
      </c>
      <c r="F44" s="150">
        <f>IF(C44=0,0,E44/C44)</f>
        <v>-0.65853666725825433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614483</v>
      </c>
      <c r="D47" s="146">
        <v>1556400</v>
      </c>
      <c r="E47" s="146">
        <f>+D47-C47</f>
        <v>941917</v>
      </c>
      <c r="F47" s="150">
        <f>IF(C47=0,0,E47/C47)</f>
        <v>1.5328609579109593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14000101</v>
      </c>
      <c r="D50" s="146">
        <v>13661983</v>
      </c>
      <c r="E50" s="146">
        <f>+D50-C50</f>
        <v>-338118</v>
      </c>
      <c r="F50" s="150">
        <f>IF(C50=0,0,E50/C50)</f>
        <v>-2.4151111481267171E-2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469003</v>
      </c>
      <c r="D53" s="146">
        <v>630535</v>
      </c>
      <c r="E53" s="146">
        <f t="shared" ref="E53:E59" si="0">+D53-C53</f>
        <v>161532</v>
      </c>
      <c r="F53" s="150">
        <f t="shared" ref="F53:F59" si="1">IF(C53=0,0,E53/C53)</f>
        <v>0.34441570736221305</v>
      </c>
    </row>
    <row r="54" spans="1:7" ht="15" customHeight="1" x14ac:dyDescent="0.2">
      <c r="A54" s="141">
        <v>2</v>
      </c>
      <c r="B54" s="149" t="s">
        <v>193</v>
      </c>
      <c r="C54" s="146">
        <v>4338309</v>
      </c>
      <c r="D54" s="146">
        <v>4134740</v>
      </c>
      <c r="E54" s="146">
        <f t="shared" si="0"/>
        <v>-203569</v>
      </c>
      <c r="F54" s="150">
        <f t="shared" si="1"/>
        <v>-4.692358243730449E-2</v>
      </c>
    </row>
    <row r="55" spans="1:7" ht="15" customHeight="1" x14ac:dyDescent="0.2">
      <c r="A55" s="141">
        <v>3</v>
      </c>
      <c r="B55" s="149" t="s">
        <v>194</v>
      </c>
      <c r="C55" s="146">
        <v>129396</v>
      </c>
      <c r="D55" s="146">
        <v>124007</v>
      </c>
      <c r="E55" s="146">
        <f t="shared" si="0"/>
        <v>-5389</v>
      </c>
      <c r="F55" s="150">
        <f t="shared" si="1"/>
        <v>-4.1647346131255987E-2</v>
      </c>
    </row>
    <row r="56" spans="1:7" ht="15" customHeight="1" x14ac:dyDescent="0.2">
      <c r="A56" s="141">
        <v>4</v>
      </c>
      <c r="B56" s="149" t="s">
        <v>195</v>
      </c>
      <c r="C56" s="146">
        <v>10426891</v>
      </c>
      <c r="D56" s="146">
        <v>8552415</v>
      </c>
      <c r="E56" s="146">
        <f t="shared" si="0"/>
        <v>-1874476</v>
      </c>
      <c r="F56" s="150">
        <f t="shared" si="1"/>
        <v>-0.17977324209105092</v>
      </c>
    </row>
    <row r="57" spans="1:7" ht="15" customHeight="1" x14ac:dyDescent="0.2">
      <c r="A57" s="141">
        <v>5</v>
      </c>
      <c r="B57" s="149" t="s">
        <v>196</v>
      </c>
      <c r="C57" s="146">
        <v>2848597</v>
      </c>
      <c r="D57" s="146">
        <v>2886953</v>
      </c>
      <c r="E57" s="146">
        <f t="shared" si="0"/>
        <v>38356</v>
      </c>
      <c r="F57" s="150">
        <f t="shared" si="1"/>
        <v>1.3464874111711836E-2</v>
      </c>
    </row>
    <row r="58" spans="1:7" ht="15" customHeight="1" x14ac:dyDescent="0.2">
      <c r="A58" s="141">
        <v>6</v>
      </c>
      <c r="B58" s="149" t="s">
        <v>197</v>
      </c>
      <c r="C58" s="146">
        <v>1267609</v>
      </c>
      <c r="D58" s="146">
        <v>1516995</v>
      </c>
      <c r="E58" s="146">
        <f t="shared" si="0"/>
        <v>249386</v>
      </c>
      <c r="F58" s="150">
        <f t="shared" si="1"/>
        <v>0.19673732199755603</v>
      </c>
    </row>
    <row r="59" spans="1:7" ht="15.75" customHeight="1" x14ac:dyDescent="0.25">
      <c r="A59" s="141"/>
      <c r="B59" s="151" t="s">
        <v>198</v>
      </c>
      <c r="C59" s="147">
        <f>SUM(C53:C58)</f>
        <v>19479805</v>
      </c>
      <c r="D59" s="147">
        <f>SUM(D53:D58)</f>
        <v>17845645</v>
      </c>
      <c r="E59" s="147">
        <f t="shared" si="0"/>
        <v>-1634160</v>
      </c>
      <c r="F59" s="148">
        <f t="shared" si="1"/>
        <v>-8.3889956803982382E-2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334524</v>
      </c>
      <c r="D62" s="146">
        <v>305094</v>
      </c>
      <c r="E62" s="146">
        <f t="shared" ref="E62:E78" si="2">+D62-C62</f>
        <v>-29430</v>
      </c>
      <c r="F62" s="150">
        <f t="shared" ref="F62:F78" si="3">IF(C62=0,0,E62/C62)</f>
        <v>-8.7975750618789678E-2</v>
      </c>
    </row>
    <row r="63" spans="1:7" ht="15" customHeight="1" x14ac:dyDescent="0.2">
      <c r="A63" s="141">
        <v>2</v>
      </c>
      <c r="B63" s="149" t="s">
        <v>202</v>
      </c>
      <c r="C63" s="146">
        <v>1255344</v>
      </c>
      <c r="D63" s="146">
        <v>1654111</v>
      </c>
      <c r="E63" s="146">
        <f t="shared" si="2"/>
        <v>398767</v>
      </c>
      <c r="F63" s="150">
        <f t="shared" si="3"/>
        <v>0.31765555895435832</v>
      </c>
    </row>
    <row r="64" spans="1:7" ht="15" customHeight="1" x14ac:dyDescent="0.2">
      <c r="A64" s="141">
        <v>3</v>
      </c>
      <c r="B64" s="149" t="s">
        <v>203</v>
      </c>
      <c r="C64" s="146">
        <v>8738301</v>
      </c>
      <c r="D64" s="146">
        <v>6133505</v>
      </c>
      <c r="E64" s="146">
        <f t="shared" si="2"/>
        <v>-2604796</v>
      </c>
      <c r="F64" s="150">
        <f t="shared" si="3"/>
        <v>-0.29808952564119728</v>
      </c>
    </row>
    <row r="65" spans="1:7" ht="15" customHeight="1" x14ac:dyDescent="0.2">
      <c r="A65" s="141">
        <v>4</v>
      </c>
      <c r="B65" s="149" t="s">
        <v>204</v>
      </c>
      <c r="C65" s="146">
        <v>11269309</v>
      </c>
      <c r="D65" s="146">
        <v>10697075</v>
      </c>
      <c r="E65" s="146">
        <f t="shared" si="2"/>
        <v>-572234</v>
      </c>
      <c r="F65" s="150">
        <f t="shared" si="3"/>
        <v>-5.0778091185537638E-2</v>
      </c>
    </row>
    <row r="66" spans="1:7" ht="15" customHeight="1" x14ac:dyDescent="0.2">
      <c r="A66" s="141">
        <v>5</v>
      </c>
      <c r="B66" s="149" t="s">
        <v>205</v>
      </c>
      <c r="C66" s="146">
        <v>15703464</v>
      </c>
      <c r="D66" s="146">
        <v>17190632</v>
      </c>
      <c r="E66" s="146">
        <f t="shared" si="2"/>
        <v>1487168</v>
      </c>
      <c r="F66" s="150">
        <f t="shared" si="3"/>
        <v>9.47031814127125E-2</v>
      </c>
    </row>
    <row r="67" spans="1:7" ht="15" customHeight="1" x14ac:dyDescent="0.2">
      <c r="A67" s="141">
        <v>6</v>
      </c>
      <c r="B67" s="149" t="s">
        <v>206</v>
      </c>
      <c r="C67" s="146">
        <v>7196711</v>
      </c>
      <c r="D67" s="146">
        <v>8342987</v>
      </c>
      <c r="E67" s="146">
        <f t="shared" si="2"/>
        <v>1146276</v>
      </c>
      <c r="F67" s="150">
        <f t="shared" si="3"/>
        <v>0.15927775896517174</v>
      </c>
    </row>
    <row r="68" spans="1:7" ht="15" customHeight="1" x14ac:dyDescent="0.2">
      <c r="A68" s="141">
        <v>7</v>
      </c>
      <c r="B68" s="149" t="s">
        <v>207</v>
      </c>
      <c r="C68" s="146">
        <v>15474074</v>
      </c>
      <c r="D68" s="146">
        <v>16825197</v>
      </c>
      <c r="E68" s="146">
        <f t="shared" si="2"/>
        <v>1351123</v>
      </c>
      <c r="F68" s="150">
        <f t="shared" si="3"/>
        <v>8.7315273275803129E-2</v>
      </c>
    </row>
    <row r="69" spans="1:7" ht="15" customHeight="1" x14ac:dyDescent="0.2">
      <c r="A69" s="141">
        <v>8</v>
      </c>
      <c r="B69" s="149" t="s">
        <v>208</v>
      </c>
      <c r="C69" s="146">
        <v>1617798</v>
      </c>
      <c r="D69" s="146">
        <v>1734370</v>
      </c>
      <c r="E69" s="146">
        <f t="shared" si="2"/>
        <v>116572</v>
      </c>
      <c r="F69" s="150">
        <f t="shared" si="3"/>
        <v>7.2055967432275228E-2</v>
      </c>
    </row>
    <row r="70" spans="1:7" ht="15" customHeight="1" x14ac:dyDescent="0.2">
      <c r="A70" s="141">
        <v>9</v>
      </c>
      <c r="B70" s="149" t="s">
        <v>209</v>
      </c>
      <c r="C70" s="146">
        <v>1591295</v>
      </c>
      <c r="D70" s="146">
        <v>1819905</v>
      </c>
      <c r="E70" s="146">
        <f t="shared" si="2"/>
        <v>228610</v>
      </c>
      <c r="F70" s="150">
        <f t="shared" si="3"/>
        <v>0.14366286577912957</v>
      </c>
    </row>
    <row r="71" spans="1:7" ht="15" customHeight="1" x14ac:dyDescent="0.2">
      <c r="A71" s="141">
        <v>10</v>
      </c>
      <c r="B71" s="149" t="s">
        <v>210</v>
      </c>
      <c r="C71" s="146">
        <v>346324</v>
      </c>
      <c r="D71" s="146">
        <v>360583</v>
      </c>
      <c r="E71" s="146">
        <f t="shared" si="2"/>
        <v>14259</v>
      </c>
      <c r="F71" s="150">
        <f t="shared" si="3"/>
        <v>4.1172428130883218E-2</v>
      </c>
    </row>
    <row r="72" spans="1:7" ht="15" customHeight="1" x14ac:dyDescent="0.2">
      <c r="A72" s="141">
        <v>11</v>
      </c>
      <c r="B72" s="149" t="s">
        <v>211</v>
      </c>
      <c r="C72" s="146">
        <v>243968</v>
      </c>
      <c r="D72" s="146">
        <v>252030</v>
      </c>
      <c r="E72" s="146">
        <f t="shared" si="2"/>
        <v>8062</v>
      </c>
      <c r="F72" s="150">
        <f t="shared" si="3"/>
        <v>3.3045317418677861E-2</v>
      </c>
    </row>
    <row r="73" spans="1:7" ht="15" customHeight="1" x14ac:dyDescent="0.2">
      <c r="A73" s="141">
        <v>12</v>
      </c>
      <c r="B73" s="149" t="s">
        <v>212</v>
      </c>
      <c r="C73" s="146">
        <v>6049238</v>
      </c>
      <c r="D73" s="146">
        <v>6037862</v>
      </c>
      <c r="E73" s="146">
        <f t="shared" si="2"/>
        <v>-11376</v>
      </c>
      <c r="F73" s="150">
        <f t="shared" si="3"/>
        <v>-1.8805674367581504E-3</v>
      </c>
    </row>
    <row r="74" spans="1:7" ht="15" customHeight="1" x14ac:dyDescent="0.2">
      <c r="A74" s="141">
        <v>13</v>
      </c>
      <c r="B74" s="149" t="s">
        <v>213</v>
      </c>
      <c r="C74" s="146">
        <v>628302</v>
      </c>
      <c r="D74" s="146">
        <v>646334</v>
      </c>
      <c r="E74" s="146">
        <f t="shared" si="2"/>
        <v>18032</v>
      </c>
      <c r="F74" s="150">
        <f t="shared" si="3"/>
        <v>2.8699574408485092E-2</v>
      </c>
    </row>
    <row r="75" spans="1:7" ht="15" customHeight="1" x14ac:dyDescent="0.2">
      <c r="A75" s="141">
        <v>14</v>
      </c>
      <c r="B75" s="149" t="s">
        <v>214</v>
      </c>
      <c r="C75" s="146">
        <v>826302</v>
      </c>
      <c r="D75" s="146">
        <v>821130</v>
      </c>
      <c r="E75" s="146">
        <f t="shared" si="2"/>
        <v>-5172</v>
      </c>
      <c r="F75" s="150">
        <f t="shared" si="3"/>
        <v>-6.25921273335899E-3</v>
      </c>
    </row>
    <row r="76" spans="1:7" ht="15" customHeight="1" x14ac:dyDescent="0.2">
      <c r="A76" s="141">
        <v>15</v>
      </c>
      <c r="B76" s="149" t="s">
        <v>215</v>
      </c>
      <c r="C76" s="146">
        <v>2882371</v>
      </c>
      <c r="D76" s="146">
        <v>2005561</v>
      </c>
      <c r="E76" s="146">
        <f t="shared" si="2"/>
        <v>-876810</v>
      </c>
      <c r="F76" s="150">
        <f t="shared" si="3"/>
        <v>-0.30419748186475648</v>
      </c>
    </row>
    <row r="77" spans="1:7" ht="15" customHeight="1" x14ac:dyDescent="0.2">
      <c r="A77" s="141">
        <v>16</v>
      </c>
      <c r="B77" s="149" t="s">
        <v>216</v>
      </c>
      <c r="C77" s="146">
        <v>17146996</v>
      </c>
      <c r="D77" s="146">
        <v>24007940</v>
      </c>
      <c r="E77" s="146">
        <f t="shared" si="2"/>
        <v>6860944</v>
      </c>
      <c r="F77" s="150">
        <f t="shared" si="3"/>
        <v>0.40012512978949782</v>
      </c>
    </row>
    <row r="78" spans="1:7" ht="15.75" customHeight="1" x14ac:dyDescent="0.25">
      <c r="A78" s="141"/>
      <c r="B78" s="151" t="s">
        <v>217</v>
      </c>
      <c r="C78" s="147">
        <f>SUM(C62:C77)</f>
        <v>91304321</v>
      </c>
      <c r="D78" s="147">
        <f>SUM(D62:D77)</f>
        <v>98834316</v>
      </c>
      <c r="E78" s="147">
        <f t="shared" si="2"/>
        <v>7529995</v>
      </c>
      <c r="F78" s="148">
        <f t="shared" si="3"/>
        <v>8.2471398040405999E-2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29594280</v>
      </c>
      <c r="D81" s="146">
        <v>30327903</v>
      </c>
      <c r="E81" s="146">
        <f>+D81-C81</f>
        <v>733623</v>
      </c>
      <c r="F81" s="150">
        <f>IF(C81=0,0,E81/C81)</f>
        <v>2.4789351185431779E-2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920001155</v>
      </c>
      <c r="D83" s="147">
        <f>+D81+D78+D59+D50+D47+D44+D41+D35+D30+D24+D18</f>
        <v>963927041</v>
      </c>
      <c r="E83" s="147">
        <f>+D83-C83</f>
        <v>43925886</v>
      </c>
      <c r="F83" s="148">
        <f>IF(C83=0,0,E83/C83)</f>
        <v>4.7745468319547922E-2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139054997</v>
      </c>
      <c r="D91" s="146">
        <v>169606144</v>
      </c>
      <c r="E91" s="146">
        <f t="shared" ref="E91:E109" si="4">D91-C91</f>
        <v>30551147</v>
      </c>
      <c r="F91" s="150">
        <f t="shared" ref="F91:F109" si="5">IF(C91=0,0,E91/C91)</f>
        <v>0.21970549537317238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49619297</v>
      </c>
      <c r="D92" s="146">
        <v>24031527</v>
      </c>
      <c r="E92" s="146">
        <f t="shared" si="4"/>
        <v>-25587770</v>
      </c>
      <c r="F92" s="150">
        <f t="shared" si="5"/>
        <v>-0.51568183241290177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14796433</v>
      </c>
      <c r="D93" s="146">
        <v>18882689</v>
      </c>
      <c r="E93" s="146">
        <f t="shared" si="4"/>
        <v>4086256</v>
      </c>
      <c r="F93" s="150">
        <f t="shared" si="5"/>
        <v>0.27616493786036134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2859278</v>
      </c>
      <c r="D94" s="146">
        <v>4417706</v>
      </c>
      <c r="E94" s="146">
        <f t="shared" si="4"/>
        <v>1558428</v>
      </c>
      <c r="F94" s="150">
        <f t="shared" si="5"/>
        <v>0.54504248974741176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29748206</v>
      </c>
      <c r="D95" s="146">
        <v>31521297</v>
      </c>
      <c r="E95" s="146">
        <f t="shared" si="4"/>
        <v>1773091</v>
      </c>
      <c r="F95" s="150">
        <f t="shared" si="5"/>
        <v>5.9603291707741972E-2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5741733</v>
      </c>
      <c r="D96" s="146">
        <v>6023111</v>
      </c>
      <c r="E96" s="146">
        <f t="shared" si="4"/>
        <v>281378</v>
      </c>
      <c r="F96" s="150">
        <f t="shared" si="5"/>
        <v>4.9005761849253524E-2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9868081</v>
      </c>
      <c r="D97" s="146">
        <v>16567665</v>
      </c>
      <c r="E97" s="146">
        <f t="shared" si="4"/>
        <v>6699584</v>
      </c>
      <c r="F97" s="150">
        <f t="shared" si="5"/>
        <v>0.67891457315763826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6302590</v>
      </c>
      <c r="D98" s="146">
        <v>5817513</v>
      </c>
      <c r="E98" s="146">
        <f t="shared" si="4"/>
        <v>-485077</v>
      </c>
      <c r="F98" s="150">
        <f t="shared" si="5"/>
        <v>-7.6964708159661346E-2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3215790</v>
      </c>
      <c r="D99" s="146">
        <v>3632243</v>
      </c>
      <c r="E99" s="146">
        <f t="shared" si="4"/>
        <v>416453</v>
      </c>
      <c r="F99" s="150">
        <f t="shared" si="5"/>
        <v>0.12950254836292172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12410739</v>
      </c>
      <c r="D100" s="146">
        <v>12292896</v>
      </c>
      <c r="E100" s="146">
        <f t="shared" si="4"/>
        <v>-117843</v>
      </c>
      <c r="F100" s="150">
        <f t="shared" si="5"/>
        <v>-9.4952444008370492E-3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11098298</v>
      </c>
      <c r="D101" s="146">
        <v>11514097</v>
      </c>
      <c r="E101" s="146">
        <f t="shared" si="4"/>
        <v>415799</v>
      </c>
      <c r="F101" s="150">
        <f t="shared" si="5"/>
        <v>3.7465114020185798E-2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4086437</v>
      </c>
      <c r="D102" s="146">
        <v>4245600</v>
      </c>
      <c r="E102" s="146">
        <f t="shared" si="4"/>
        <v>159163</v>
      </c>
      <c r="F102" s="150">
        <f t="shared" si="5"/>
        <v>3.8949089390097044E-2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21384032</v>
      </c>
      <c r="D103" s="146">
        <v>19534995</v>
      </c>
      <c r="E103" s="146">
        <f t="shared" si="4"/>
        <v>-1849037</v>
      </c>
      <c r="F103" s="150">
        <f t="shared" si="5"/>
        <v>-8.6468117892827698E-2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5597728</v>
      </c>
      <c r="D104" s="146">
        <v>5563969</v>
      </c>
      <c r="E104" s="146">
        <f t="shared" si="4"/>
        <v>-33759</v>
      </c>
      <c r="F104" s="150">
        <f t="shared" si="5"/>
        <v>-6.0308396549457206E-3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13192943</v>
      </c>
      <c r="D105" s="146">
        <v>13930170</v>
      </c>
      <c r="E105" s="146">
        <f t="shared" si="4"/>
        <v>737227</v>
      </c>
      <c r="F105" s="150">
        <f t="shared" si="5"/>
        <v>5.5880405152967008E-2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4230953</v>
      </c>
      <c r="D106" s="146">
        <v>4129884</v>
      </c>
      <c r="E106" s="146">
        <f t="shared" si="4"/>
        <v>-101069</v>
      </c>
      <c r="F106" s="150">
        <f t="shared" si="5"/>
        <v>-2.388799875583586E-2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34084350</v>
      </c>
      <c r="D107" s="146">
        <v>32467533</v>
      </c>
      <c r="E107" s="146">
        <f t="shared" si="4"/>
        <v>-1616817</v>
      </c>
      <c r="F107" s="150">
        <f t="shared" si="5"/>
        <v>-4.7435758639962328E-2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10608624</v>
      </c>
      <c r="D108" s="146">
        <v>12034026</v>
      </c>
      <c r="E108" s="146">
        <f t="shared" si="4"/>
        <v>1425402</v>
      </c>
      <c r="F108" s="150">
        <f t="shared" si="5"/>
        <v>0.13436257143244967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377900509</v>
      </c>
      <c r="D109" s="147">
        <f>SUM(D91:D108)</f>
        <v>396213065</v>
      </c>
      <c r="E109" s="147">
        <f t="shared" si="4"/>
        <v>18312556</v>
      </c>
      <c r="F109" s="148">
        <f t="shared" si="5"/>
        <v>4.8458669845295184E-2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5133754</v>
      </c>
      <c r="D112" s="146">
        <v>5777752</v>
      </c>
      <c r="E112" s="146">
        <f t="shared" ref="E112:E118" si="6">D112-C112</f>
        <v>643998</v>
      </c>
      <c r="F112" s="150">
        <f t="shared" ref="F112:F118" si="7">IF(C112=0,0,E112/C112)</f>
        <v>0.12544387596289186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23846129</v>
      </c>
      <c r="D113" s="146">
        <v>26446592</v>
      </c>
      <c r="E113" s="146">
        <f t="shared" si="6"/>
        <v>2600463</v>
      </c>
      <c r="F113" s="150">
        <f t="shared" si="7"/>
        <v>0.1090517878184757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15732757</v>
      </c>
      <c r="D114" s="146">
        <v>16987017</v>
      </c>
      <c r="E114" s="146">
        <f t="shared" si="6"/>
        <v>1254260</v>
      </c>
      <c r="F114" s="150">
        <f t="shared" si="7"/>
        <v>7.9722835609804435E-2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6982434</v>
      </c>
      <c r="D115" s="146">
        <v>7649367</v>
      </c>
      <c r="E115" s="146">
        <f t="shared" si="6"/>
        <v>666933</v>
      </c>
      <c r="F115" s="150">
        <f t="shared" si="7"/>
        <v>9.551583301754088E-2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1403081</v>
      </c>
      <c r="D116" s="146">
        <v>1473751</v>
      </c>
      <c r="E116" s="146">
        <f t="shared" si="6"/>
        <v>70670</v>
      </c>
      <c r="F116" s="150">
        <f t="shared" si="7"/>
        <v>5.0367726453426423E-2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2560544</v>
      </c>
      <c r="D117" s="146">
        <v>2443481</v>
      </c>
      <c r="E117" s="146">
        <f t="shared" si="6"/>
        <v>-117063</v>
      </c>
      <c r="F117" s="150">
        <f t="shared" si="7"/>
        <v>-4.5718019295899623E-2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55658699</v>
      </c>
      <c r="D118" s="147">
        <f>SUM(D112:D117)</f>
        <v>60777960</v>
      </c>
      <c r="E118" s="147">
        <f t="shared" si="6"/>
        <v>5119261</v>
      </c>
      <c r="F118" s="148">
        <f t="shared" si="7"/>
        <v>9.1975937130690036E-2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68649259</v>
      </c>
      <c r="D121" s="146">
        <v>70357013</v>
      </c>
      <c r="E121" s="146">
        <f t="shared" ref="E121:E155" si="8">D121-C121</f>
        <v>1707754</v>
      </c>
      <c r="F121" s="150">
        <f t="shared" ref="F121:F155" si="9">IF(C121=0,0,E121/C121)</f>
        <v>2.4876510320380879E-2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3216806</v>
      </c>
      <c r="D122" s="146">
        <v>3289130</v>
      </c>
      <c r="E122" s="146">
        <f t="shared" si="8"/>
        <v>72324</v>
      </c>
      <c r="F122" s="150">
        <f t="shared" si="9"/>
        <v>2.2483171195278796E-2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4366100</v>
      </c>
      <c r="D123" s="146">
        <v>4264788</v>
      </c>
      <c r="E123" s="146">
        <f t="shared" si="8"/>
        <v>-101312</v>
      </c>
      <c r="F123" s="150">
        <f t="shared" si="9"/>
        <v>-2.3204232610338747E-2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10371580</v>
      </c>
      <c r="D124" s="146">
        <v>10521679</v>
      </c>
      <c r="E124" s="146">
        <f t="shared" si="8"/>
        <v>150099</v>
      </c>
      <c r="F124" s="150">
        <f t="shared" si="9"/>
        <v>1.4472144070623763E-2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18967946</v>
      </c>
      <c r="D125" s="146">
        <v>19090967</v>
      </c>
      <c r="E125" s="146">
        <f t="shared" si="8"/>
        <v>123021</v>
      </c>
      <c r="F125" s="150">
        <f t="shared" si="9"/>
        <v>6.4857312436465185E-3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883636</v>
      </c>
      <c r="D126" s="146">
        <v>893803</v>
      </c>
      <c r="E126" s="146">
        <f t="shared" si="8"/>
        <v>10167</v>
      </c>
      <c r="F126" s="150">
        <f t="shared" si="9"/>
        <v>1.1505868932456351E-2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10889854</v>
      </c>
      <c r="D127" s="146">
        <v>11084471</v>
      </c>
      <c r="E127" s="146">
        <f t="shared" si="8"/>
        <v>194617</v>
      </c>
      <c r="F127" s="150">
        <f t="shared" si="9"/>
        <v>1.7871405805807865E-2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3308506</v>
      </c>
      <c r="D128" s="146">
        <v>3155942</v>
      </c>
      <c r="E128" s="146">
        <f t="shared" si="8"/>
        <v>-152564</v>
      </c>
      <c r="F128" s="150">
        <f t="shared" si="9"/>
        <v>-4.6112656286553505E-2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3290823</v>
      </c>
      <c r="D129" s="146">
        <v>2687257</v>
      </c>
      <c r="E129" s="146">
        <f t="shared" si="8"/>
        <v>-603566</v>
      </c>
      <c r="F129" s="150">
        <f t="shared" si="9"/>
        <v>-0.18340883116472687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28816247</v>
      </c>
      <c r="D130" s="146">
        <v>24773238</v>
      </c>
      <c r="E130" s="146">
        <f t="shared" si="8"/>
        <v>-4043009</v>
      </c>
      <c r="F130" s="150">
        <f t="shared" si="9"/>
        <v>-0.14030310747961036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10490220</v>
      </c>
      <c r="D131" s="146">
        <v>9491732</v>
      </c>
      <c r="E131" s="146">
        <f t="shared" si="8"/>
        <v>-998488</v>
      </c>
      <c r="F131" s="150">
        <f t="shared" si="9"/>
        <v>-9.5182751172044056E-2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2491495</v>
      </c>
      <c r="D132" s="146">
        <v>3587694</v>
      </c>
      <c r="E132" s="146">
        <f t="shared" si="8"/>
        <v>1096199</v>
      </c>
      <c r="F132" s="150">
        <f t="shared" si="9"/>
        <v>0.43997639971181962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1432785</v>
      </c>
      <c r="D133" s="146">
        <v>1382011</v>
      </c>
      <c r="E133" s="146">
        <f t="shared" si="8"/>
        <v>-50774</v>
      </c>
      <c r="F133" s="150">
        <f t="shared" si="9"/>
        <v>-3.5437277749278503E-2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303103</v>
      </c>
      <c r="D134" s="146">
        <v>321431</v>
      </c>
      <c r="E134" s="146">
        <f t="shared" si="8"/>
        <v>18328</v>
      </c>
      <c r="F134" s="150">
        <f t="shared" si="9"/>
        <v>6.0467893752288823E-2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413000</v>
      </c>
      <c r="D136" s="146">
        <v>510149</v>
      </c>
      <c r="E136" s="146">
        <f t="shared" si="8"/>
        <v>97149</v>
      </c>
      <c r="F136" s="150">
        <f t="shared" si="9"/>
        <v>0.23522760290556902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78356</v>
      </c>
      <c r="D137" s="146">
        <v>96691</v>
      </c>
      <c r="E137" s="146">
        <f t="shared" si="8"/>
        <v>18335</v>
      </c>
      <c r="F137" s="150">
        <f t="shared" si="9"/>
        <v>0.23399612027158098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7554165</v>
      </c>
      <c r="D138" s="146">
        <v>7657653</v>
      </c>
      <c r="E138" s="146">
        <f t="shared" si="8"/>
        <v>103488</v>
      </c>
      <c r="F138" s="150">
        <f t="shared" si="9"/>
        <v>1.3699462481955318E-2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1488067</v>
      </c>
      <c r="D140" s="146">
        <v>1583550</v>
      </c>
      <c r="E140" s="146">
        <f t="shared" si="8"/>
        <v>95483</v>
      </c>
      <c r="F140" s="150">
        <f t="shared" si="9"/>
        <v>6.4165793610099539E-2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682490</v>
      </c>
      <c r="D141" s="146">
        <v>707116</v>
      </c>
      <c r="E141" s="146">
        <f t="shared" si="8"/>
        <v>24626</v>
      </c>
      <c r="F141" s="150">
        <f t="shared" si="9"/>
        <v>3.6082579964541603E-2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14946702</v>
      </c>
      <c r="D142" s="146">
        <v>14810203</v>
      </c>
      <c r="E142" s="146">
        <f t="shared" si="8"/>
        <v>-136499</v>
      </c>
      <c r="F142" s="150">
        <f t="shared" si="9"/>
        <v>-9.1323825148852227E-3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7472651</v>
      </c>
      <c r="D143" s="146">
        <v>7142708</v>
      </c>
      <c r="E143" s="146">
        <f t="shared" si="8"/>
        <v>-329943</v>
      </c>
      <c r="F143" s="150">
        <f t="shared" si="9"/>
        <v>-4.4153406869931432E-2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23953158</v>
      </c>
      <c r="D144" s="146">
        <v>25151802</v>
      </c>
      <c r="E144" s="146">
        <f t="shared" si="8"/>
        <v>1198644</v>
      </c>
      <c r="F144" s="150">
        <f t="shared" si="9"/>
        <v>5.004116784934997E-2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2404554</v>
      </c>
      <c r="D145" s="146">
        <v>2319433</v>
      </c>
      <c r="E145" s="146">
        <f t="shared" si="8"/>
        <v>-85121</v>
      </c>
      <c r="F145" s="150">
        <f t="shared" si="9"/>
        <v>-3.5399912000312742E-2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485083</v>
      </c>
      <c r="D147" s="146">
        <v>366405</v>
      </c>
      <c r="E147" s="146">
        <f t="shared" si="8"/>
        <v>-118678</v>
      </c>
      <c r="F147" s="150">
        <f t="shared" si="9"/>
        <v>-0.24465503841610611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4435017</v>
      </c>
      <c r="D148" s="146">
        <v>4523081</v>
      </c>
      <c r="E148" s="146">
        <f t="shared" si="8"/>
        <v>88064</v>
      </c>
      <c r="F148" s="150">
        <f t="shared" si="9"/>
        <v>1.985651915201227E-2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2125253</v>
      </c>
      <c r="D149" s="146">
        <v>2150069</v>
      </c>
      <c r="E149" s="146">
        <f t="shared" si="8"/>
        <v>24816</v>
      </c>
      <c r="F149" s="150">
        <f t="shared" si="9"/>
        <v>1.1676727429628378E-2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22428677</v>
      </c>
      <c r="D151" s="146">
        <v>24003555</v>
      </c>
      <c r="E151" s="146">
        <f t="shared" si="8"/>
        <v>1574878</v>
      </c>
      <c r="F151" s="150">
        <f t="shared" si="9"/>
        <v>7.0217159933240819E-2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21330909</v>
      </c>
      <c r="D152" s="146">
        <v>22291507</v>
      </c>
      <c r="E152" s="146">
        <f t="shared" si="8"/>
        <v>960598</v>
      </c>
      <c r="F152" s="150">
        <f t="shared" si="9"/>
        <v>4.5033148845180483E-2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1074995</v>
      </c>
      <c r="D153" s="146">
        <v>973564</v>
      </c>
      <c r="E153" s="146">
        <f t="shared" si="8"/>
        <v>-101431</v>
      </c>
      <c r="F153" s="150">
        <f t="shared" si="9"/>
        <v>-9.4354857464453323E-2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16065867</v>
      </c>
      <c r="D154" s="146">
        <v>16811772</v>
      </c>
      <c r="E154" s="146">
        <f t="shared" si="8"/>
        <v>745905</v>
      </c>
      <c r="F154" s="150">
        <f t="shared" si="9"/>
        <v>4.6427933207712976E-2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294417304</v>
      </c>
      <c r="D155" s="147">
        <f>SUM(D121:D154)</f>
        <v>296000414</v>
      </c>
      <c r="E155" s="147">
        <f t="shared" si="8"/>
        <v>1583110</v>
      </c>
      <c r="F155" s="148">
        <f t="shared" si="9"/>
        <v>5.3770956342973648E-3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93628120</v>
      </c>
      <c r="D158" s="146">
        <v>103736856</v>
      </c>
      <c r="E158" s="146">
        <f t="shared" ref="E158:E171" si="10">D158-C158</f>
        <v>10108736</v>
      </c>
      <c r="F158" s="150">
        <f t="shared" ref="F158:F171" si="11">IF(C158=0,0,E158/C158)</f>
        <v>0.10796688003561324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22933260</v>
      </c>
      <c r="D159" s="146">
        <v>24373267</v>
      </c>
      <c r="E159" s="146">
        <f t="shared" si="10"/>
        <v>1440007</v>
      </c>
      <c r="F159" s="150">
        <f t="shared" si="11"/>
        <v>6.27912036928025E-2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4404193</v>
      </c>
      <c r="D160" s="146">
        <v>4548621</v>
      </c>
      <c r="E160" s="146">
        <f t="shared" si="10"/>
        <v>144428</v>
      </c>
      <c r="F160" s="150">
        <f t="shared" si="11"/>
        <v>3.2793294935076642E-2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18878486</v>
      </c>
      <c r="D161" s="146">
        <v>19697621</v>
      </c>
      <c r="E161" s="146">
        <f t="shared" si="10"/>
        <v>819135</v>
      </c>
      <c r="F161" s="150">
        <f t="shared" si="11"/>
        <v>4.3389867174730007E-2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5434876</v>
      </c>
      <c r="D163" s="146">
        <v>4215820</v>
      </c>
      <c r="E163" s="146">
        <f t="shared" si="10"/>
        <v>-1219056</v>
      </c>
      <c r="F163" s="150">
        <f t="shared" si="11"/>
        <v>-0.22430244958670631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2791405</v>
      </c>
      <c r="D164" s="146">
        <v>3880086</v>
      </c>
      <c r="E164" s="146">
        <f t="shared" si="10"/>
        <v>1088681</v>
      </c>
      <c r="F164" s="150">
        <f t="shared" si="11"/>
        <v>0.39001183991574134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6441052</v>
      </c>
      <c r="D167" s="146">
        <v>11020299</v>
      </c>
      <c r="E167" s="146">
        <f t="shared" si="10"/>
        <v>4579247</v>
      </c>
      <c r="F167" s="150">
        <f t="shared" si="11"/>
        <v>0.71094706268479124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12459006</v>
      </c>
      <c r="D169" s="146">
        <v>1</v>
      </c>
      <c r="E169" s="146">
        <f t="shared" si="10"/>
        <v>-12459005</v>
      </c>
      <c r="F169" s="150">
        <f t="shared" si="11"/>
        <v>-0.99999991973677516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13413783</v>
      </c>
      <c r="E170" s="146">
        <f t="shared" si="10"/>
        <v>13413783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166970398</v>
      </c>
      <c r="D171" s="147">
        <f>SUM(D158:D170)</f>
        <v>184886354</v>
      </c>
      <c r="E171" s="147">
        <f t="shared" si="10"/>
        <v>17915956</v>
      </c>
      <c r="F171" s="148">
        <f t="shared" si="11"/>
        <v>0.10730019341512261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25054245</v>
      </c>
      <c r="D174" s="146">
        <v>26049248</v>
      </c>
      <c r="E174" s="146">
        <f>D174-C174</f>
        <v>995003</v>
      </c>
      <c r="F174" s="150">
        <f>IF(C174=0,0,E174/C174)</f>
        <v>3.9713948674166791E-2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920001155</v>
      </c>
      <c r="D176" s="147">
        <f>+D174+D171+D155+D118+D109</f>
        <v>963927041</v>
      </c>
      <c r="E176" s="147">
        <f>D176-C176</f>
        <v>43925886</v>
      </c>
      <c r="F176" s="148">
        <f>IF(C176=0,0,E176/C176)</f>
        <v>4.7745468319547922E-2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FILING&amp;RHARTFORD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717211741</v>
      </c>
      <c r="D11" s="164">
        <v>794806049</v>
      </c>
      <c r="E11" s="51">
        <v>853959278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112328640</v>
      </c>
      <c r="D12" s="49">
        <v>137793737</v>
      </c>
      <c r="E12" s="49">
        <v>130806848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829540381</v>
      </c>
      <c r="D13" s="51">
        <f>+D11+D12</f>
        <v>932599786</v>
      </c>
      <c r="E13" s="51">
        <f>+E11+E12</f>
        <v>984766126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824454105</v>
      </c>
      <c r="D14" s="49">
        <v>920001155</v>
      </c>
      <c r="E14" s="49">
        <v>963927041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5086276</v>
      </c>
      <c r="D15" s="51">
        <f>+D13-D14</f>
        <v>12598631</v>
      </c>
      <c r="E15" s="51">
        <f>+E13-E14</f>
        <v>20839085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-9327083</v>
      </c>
      <c r="D16" s="49">
        <v>20981787</v>
      </c>
      <c r="E16" s="49">
        <v>-1519601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-4240807</v>
      </c>
      <c r="D17" s="51">
        <f>D15+D16</f>
        <v>33580418</v>
      </c>
      <c r="E17" s="51">
        <f>E15+E16</f>
        <v>19319484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6.20116256637429E-3</v>
      </c>
      <c r="D20" s="169">
        <f>IF(+D27=0,0,+D24/+D27)</f>
        <v>1.3211906937719318E-2</v>
      </c>
      <c r="E20" s="169">
        <f>IF(+E27=0,0,+E24/+E27)</f>
        <v>2.1194160843843308E-2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-1.1371533505666229E-2</v>
      </c>
      <c r="D21" s="169">
        <f>IF(D27=0,0,+D26/D27)</f>
        <v>2.200313805770238E-2</v>
      </c>
      <c r="E21" s="169">
        <f>IF(E27=0,0,+E26/E27)</f>
        <v>-1.5454933847846551E-3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-5.1703709392919399E-3</v>
      </c>
      <c r="D22" s="169">
        <f>IF(D27=0,0,+D28/D27)</f>
        <v>3.5215044995421697E-2</v>
      </c>
      <c r="E22" s="169">
        <f>IF(E27=0,0,+E28/E27)</f>
        <v>1.9648667459058654E-2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5086276</v>
      </c>
      <c r="D24" s="51">
        <f>+D15</f>
        <v>12598631</v>
      </c>
      <c r="E24" s="51">
        <f>+E15</f>
        <v>20839085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829540381</v>
      </c>
      <c r="D25" s="51">
        <f>+D13</f>
        <v>932599786</v>
      </c>
      <c r="E25" s="51">
        <f>+E13</f>
        <v>984766126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-9327083</v>
      </c>
      <c r="D26" s="51">
        <f>+D16</f>
        <v>20981787</v>
      </c>
      <c r="E26" s="51">
        <f>+E16</f>
        <v>-1519601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820213298</v>
      </c>
      <c r="D27" s="51">
        <f>+D25+D26</f>
        <v>953581573</v>
      </c>
      <c r="E27" s="51">
        <f>+E25+E26</f>
        <v>983246525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-4240807</v>
      </c>
      <c r="D28" s="51">
        <f>+D17</f>
        <v>33580418</v>
      </c>
      <c r="E28" s="51">
        <f>+E17</f>
        <v>19319484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164603489</v>
      </c>
      <c r="D31" s="51">
        <v>178313676</v>
      </c>
      <c r="E31" s="51">
        <v>163006762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403988398</v>
      </c>
      <c r="D32" s="51">
        <v>427719774</v>
      </c>
      <c r="E32" s="51">
        <v>402492184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-244147084</v>
      </c>
      <c r="D33" s="51">
        <f>+D32-C32</f>
        <v>23731376</v>
      </c>
      <c r="E33" s="51">
        <f>+E32-D32</f>
        <v>-25227590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0.62329999999999997</v>
      </c>
      <c r="D34" s="171">
        <f>IF(C32=0,0,+D33/C32)</f>
        <v>5.874271666583851E-2</v>
      </c>
      <c r="E34" s="171">
        <f>IF(D32=0,0,+E33/D32)</f>
        <v>-5.8981584517530397E-2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0.44880889974585786</v>
      </c>
      <c r="D38" s="172">
        <f>IF((D40+D41)=0,0,+D39/(D40+D41))</f>
        <v>0.45300403259547428</v>
      </c>
      <c r="E38" s="172">
        <f>IF((E40+E41)=0,0,+E39/(E40+E41))</f>
        <v>0.44400854904965747</v>
      </c>
      <c r="F38" s="5"/>
    </row>
    <row r="39" spans="1:6" ht="24" customHeight="1" x14ac:dyDescent="0.2">
      <c r="A39" s="21">
        <v>2</v>
      </c>
      <c r="B39" s="48" t="s">
        <v>324</v>
      </c>
      <c r="C39" s="51">
        <v>824454105</v>
      </c>
      <c r="D39" s="51">
        <v>920001155</v>
      </c>
      <c r="E39" s="23">
        <v>963927041</v>
      </c>
      <c r="F39" s="5"/>
    </row>
    <row r="40" spans="1:6" ht="24" customHeight="1" x14ac:dyDescent="0.2">
      <c r="A40" s="21">
        <v>3</v>
      </c>
      <c r="B40" s="48" t="s">
        <v>325</v>
      </c>
      <c r="C40" s="51">
        <v>1714431648</v>
      </c>
      <c r="D40" s="51">
        <v>1901719123</v>
      </c>
      <c r="E40" s="23">
        <v>2049319284</v>
      </c>
      <c r="F40" s="5"/>
    </row>
    <row r="41" spans="1:6" ht="24" customHeight="1" x14ac:dyDescent="0.2">
      <c r="A41" s="21">
        <v>4</v>
      </c>
      <c r="B41" s="48" t="s">
        <v>326</v>
      </c>
      <c r="C41" s="51">
        <v>122550875</v>
      </c>
      <c r="D41" s="51">
        <v>129170425</v>
      </c>
      <c r="E41" s="23">
        <v>121645764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1.1408190576017732</v>
      </c>
      <c r="D43" s="173">
        <f>IF(D38=0,0,IF((D46-D47)=0,0,((+D44-D45)/(D46-D47)/D38)))</f>
        <v>1.14398666295353</v>
      </c>
      <c r="E43" s="173">
        <f>IF(E38=0,0,IF((E46-E47)=0,0,((+E44-E45)/(E46-E47)/E38)))</f>
        <v>1.2369121942351191</v>
      </c>
      <c r="F43" s="5"/>
    </row>
    <row r="44" spans="1:6" ht="24" customHeight="1" x14ac:dyDescent="0.2">
      <c r="A44" s="21">
        <v>6</v>
      </c>
      <c r="B44" s="48" t="s">
        <v>328</v>
      </c>
      <c r="C44" s="51">
        <v>319383248</v>
      </c>
      <c r="D44" s="51">
        <v>351061602</v>
      </c>
      <c r="E44" s="23">
        <v>405815169</v>
      </c>
      <c r="F44" s="5"/>
    </row>
    <row r="45" spans="1:6" ht="24" customHeight="1" x14ac:dyDescent="0.2">
      <c r="A45" s="21">
        <v>7</v>
      </c>
      <c r="B45" s="48" t="s">
        <v>329</v>
      </c>
      <c r="C45" s="51">
        <v>3031188</v>
      </c>
      <c r="D45" s="51">
        <v>2515949</v>
      </c>
      <c r="E45" s="23">
        <v>9841115</v>
      </c>
      <c r="F45" s="5"/>
    </row>
    <row r="46" spans="1:6" ht="24" customHeight="1" x14ac:dyDescent="0.2">
      <c r="A46" s="21">
        <v>8</v>
      </c>
      <c r="B46" s="48" t="s">
        <v>330</v>
      </c>
      <c r="C46" s="51">
        <v>663586443</v>
      </c>
      <c r="D46" s="51">
        <v>719699462</v>
      </c>
      <c r="E46" s="23">
        <v>759827770</v>
      </c>
      <c r="F46" s="5"/>
    </row>
    <row r="47" spans="1:6" ht="24" customHeight="1" x14ac:dyDescent="0.2">
      <c r="A47" s="21">
        <v>9</v>
      </c>
      <c r="B47" s="48" t="s">
        <v>331</v>
      </c>
      <c r="C47" s="51">
        <v>45723087</v>
      </c>
      <c r="D47" s="51">
        <v>47130779</v>
      </c>
      <c r="E47" s="174">
        <v>38825675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0.8420500773203502</v>
      </c>
      <c r="D49" s="175">
        <f>IF(D38=0,0,IF(D51=0,0,(D50/D51)/D38))</f>
        <v>0.84434498728045082</v>
      </c>
      <c r="E49" s="175">
        <f>IF(E38=0,0,IF(E51=0,0,(E50/E51)/E38))</f>
        <v>0.85019094808466134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283035628</v>
      </c>
      <c r="D50" s="176">
        <v>322002492</v>
      </c>
      <c r="E50" s="176">
        <v>339435385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748930861</v>
      </c>
      <c r="D51" s="176">
        <v>841854883</v>
      </c>
      <c r="E51" s="176">
        <v>899185521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0.71718372699058319</v>
      </c>
      <c r="D53" s="175">
        <f>IF(D38=0,0,IF(D55=0,0,(D54/D55)/D38))</f>
        <v>0.67575709817415641</v>
      </c>
      <c r="E53" s="175">
        <f>IF(E38=0,0,IF(E55=0,0,(E54/E55)/E38))</f>
        <v>0.67729233012328138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71808003</v>
      </c>
      <c r="D54" s="176">
        <v>89927522</v>
      </c>
      <c r="E54" s="176">
        <v>114157797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223090441</v>
      </c>
      <c r="D55" s="176">
        <v>293764926</v>
      </c>
      <c r="E55" s="176">
        <v>379610389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21468857.646607362</v>
      </c>
      <c r="D57" s="53">
        <f>+D60*D38</f>
        <v>29595622.764200885</v>
      </c>
      <c r="E57" s="53">
        <f>+E60*E38</f>
        <v>13838055.689323042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23984656</v>
      </c>
      <c r="D58" s="51">
        <v>27507152</v>
      </c>
      <c r="E58" s="52">
        <v>18246408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23850531</v>
      </c>
      <c r="D59" s="51">
        <v>37824767</v>
      </c>
      <c r="E59" s="52">
        <v>12919784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47835187</v>
      </c>
      <c r="D60" s="51">
        <v>65331919</v>
      </c>
      <c r="E60" s="52">
        <v>31166192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2.604008824312587E-2</v>
      </c>
      <c r="D62" s="178">
        <f>IF(D63=0,0,+D57/D63)</f>
        <v>3.2169114792253588E-2</v>
      </c>
      <c r="E62" s="178">
        <f>IF(E63=0,0,+E57/E63)</f>
        <v>1.4355916060791412E-2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824454105</v>
      </c>
      <c r="D63" s="176">
        <v>920001155</v>
      </c>
      <c r="E63" s="176">
        <v>963927041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1.3534429401210681</v>
      </c>
      <c r="D67" s="179">
        <f>IF(D69=0,0,D68/D69)</f>
        <v>1.5215206897625015</v>
      </c>
      <c r="E67" s="179">
        <f>IF(E69=0,0,E68/E69)</f>
        <v>2.0109683223212591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175407526</v>
      </c>
      <c r="D68" s="180">
        <v>203306509</v>
      </c>
      <c r="E68" s="180">
        <v>239973268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129600976</v>
      </c>
      <c r="D69" s="180">
        <v>133620601</v>
      </c>
      <c r="E69" s="180">
        <v>119332197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6.4998020005470583</v>
      </c>
      <c r="D71" s="181">
        <f>IF((D77/365)=0,0,+D74/(D77/365))</f>
        <v>13.946552672642092</v>
      </c>
      <c r="E71" s="181">
        <f>IF((E77/365)=0,0,+E74/(E77/365))</f>
        <v>23.981481748754501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13957075</v>
      </c>
      <c r="D72" s="182">
        <v>33536251</v>
      </c>
      <c r="E72" s="182">
        <v>60477778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13957075</v>
      </c>
      <c r="D74" s="180">
        <f>+D72+D73</f>
        <v>33536251</v>
      </c>
      <c r="E74" s="180">
        <f>+E72+E73</f>
        <v>60477778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824454105</v>
      </c>
      <c r="D75" s="180">
        <f>+D14</f>
        <v>920001155</v>
      </c>
      <c r="E75" s="180">
        <f>+E14</f>
        <v>963927041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40686788</v>
      </c>
      <c r="D76" s="180">
        <v>42312460</v>
      </c>
      <c r="E76" s="180">
        <v>43450600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783767317</v>
      </c>
      <c r="D77" s="180">
        <f>+D75-D76</f>
        <v>877688695</v>
      </c>
      <c r="E77" s="180">
        <f>+E75-E76</f>
        <v>920476441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63.067283452349393</v>
      </c>
      <c r="D79" s="179">
        <f>IF((D84/365)=0,0,+D83/(D84/365))</f>
        <v>52.56324628198697</v>
      </c>
      <c r="E79" s="179">
        <f>IF((E84/365)=0,0,+E83/(E84/365))</f>
        <v>49.945781231971111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116952445</v>
      </c>
      <c r="D80" s="189">
        <v>116439803</v>
      </c>
      <c r="E80" s="189">
        <v>123703917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6972476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1980663</v>
      </c>
      <c r="E82" s="190">
        <v>6850045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123924921</v>
      </c>
      <c r="D83" s="191">
        <f>+D80+D81-D82</f>
        <v>114459140</v>
      </c>
      <c r="E83" s="191">
        <f>+E80+E81-E82</f>
        <v>116853872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717211741</v>
      </c>
      <c r="D84" s="191">
        <f>+D11</f>
        <v>794806049</v>
      </c>
      <c r="E84" s="191">
        <f>+E11</f>
        <v>853959278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60.355101844595033</v>
      </c>
      <c r="D86" s="179">
        <f>IF((D90/365)=0,0,+D87/(D90/365))</f>
        <v>55.56812984243804</v>
      </c>
      <c r="E86" s="179">
        <f>IF((E90/365)=0,0,+E87/(E90/365))</f>
        <v>47.319246821440373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129600976</v>
      </c>
      <c r="D87" s="51">
        <f>+D69</f>
        <v>133620601</v>
      </c>
      <c r="E87" s="51">
        <f>+E69</f>
        <v>119332197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824454105</v>
      </c>
      <c r="D88" s="51">
        <f t="shared" si="0"/>
        <v>920001155</v>
      </c>
      <c r="E88" s="51">
        <f t="shared" si="0"/>
        <v>963927041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40686788</v>
      </c>
      <c r="D89" s="52">
        <f t="shared" si="0"/>
        <v>42312460</v>
      </c>
      <c r="E89" s="52">
        <f t="shared" si="0"/>
        <v>43450600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783767317</v>
      </c>
      <c r="D90" s="51">
        <f>+D88-D89</f>
        <v>877688695</v>
      </c>
      <c r="E90" s="51">
        <f>+E88-E89</f>
        <v>920476441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49.277458817080856</v>
      </c>
      <c r="D94" s="192">
        <f>IF(D96=0,0,(D95/D96)*100)</f>
        <v>46.968341979986164</v>
      </c>
      <c r="E94" s="192">
        <f>IF(E96=0,0,(E95/E96)*100)</f>
        <v>37.944551418523183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403988398</v>
      </c>
      <c r="D95" s="51">
        <f>+D32</f>
        <v>427719774</v>
      </c>
      <c r="E95" s="51">
        <f>+E32</f>
        <v>402492184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819823927</v>
      </c>
      <c r="D96" s="51">
        <v>910655467</v>
      </c>
      <c r="E96" s="51">
        <v>1060737758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20.762093176467243</v>
      </c>
      <c r="D98" s="192">
        <f>IF(D104=0,0,(D101/D104)*100)</f>
        <v>39.001933305296923</v>
      </c>
      <c r="E98" s="192">
        <f>IF(E104=0,0,(E101/E104)*100)</f>
        <v>20.188434809596959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-4240807</v>
      </c>
      <c r="D99" s="51">
        <f>+D28</f>
        <v>33580418</v>
      </c>
      <c r="E99" s="51">
        <f>+E28</f>
        <v>19319484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40686788</v>
      </c>
      <c r="D100" s="52">
        <f>+D76</f>
        <v>42312460</v>
      </c>
      <c r="E100" s="52">
        <f>+E76</f>
        <v>43450600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36445981</v>
      </c>
      <c r="D101" s="51">
        <f>+D99+D100</f>
        <v>75892878</v>
      </c>
      <c r="E101" s="51">
        <f>+E99+E100</f>
        <v>62770084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129600976</v>
      </c>
      <c r="D102" s="180">
        <f>+D69</f>
        <v>133620601</v>
      </c>
      <c r="E102" s="180">
        <f>+E69</f>
        <v>119332197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45940000</v>
      </c>
      <c r="D103" s="194">
        <v>60966876</v>
      </c>
      <c r="E103" s="194">
        <v>191588806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175540976</v>
      </c>
      <c r="D104" s="180">
        <f>+D102+D103</f>
        <v>194587477</v>
      </c>
      <c r="E104" s="180">
        <f>+E102+E103</f>
        <v>310921003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10.210513540423381</v>
      </c>
      <c r="D106" s="197">
        <f>IF(D109=0,0,(D107/D109)*100)</f>
        <v>12.475658174824297</v>
      </c>
      <c r="E106" s="197">
        <f>IF(E109=0,0,(E107/E109)*100)</f>
        <v>32.249610612856003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45940000</v>
      </c>
      <c r="D107" s="180">
        <f>+D103</f>
        <v>60966876</v>
      </c>
      <c r="E107" s="180">
        <f>+E103</f>
        <v>191588806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403988398</v>
      </c>
      <c r="D108" s="180">
        <f>+D32</f>
        <v>427719774</v>
      </c>
      <c r="E108" s="180">
        <f>+E32</f>
        <v>402492184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449928398</v>
      </c>
      <c r="D109" s="180">
        <f>+D107+D108</f>
        <v>488686650</v>
      </c>
      <c r="E109" s="180">
        <f>+E107+E108</f>
        <v>594080990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12.474570051412368</v>
      </c>
      <c r="D111" s="197">
        <f>IF((+D113+D115)=0,0,((+D112+D113+D114)/(+D113+D115)))</f>
        <v>25.694451170630675</v>
      </c>
      <c r="E111" s="197">
        <f>IF((+E113+E115)=0,0,((+E112+E113+E114)/(+E113+E115)))</f>
        <v>0.63387824418446759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-4240807</v>
      </c>
      <c r="D112" s="180">
        <f>+D17</f>
        <v>33580418</v>
      </c>
      <c r="E112" s="180">
        <f>+E17</f>
        <v>19319484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607197</v>
      </c>
      <c r="D113" s="180">
        <v>614483</v>
      </c>
      <c r="E113" s="180">
        <v>1556400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40686788</v>
      </c>
      <c r="D114" s="180">
        <v>42312460</v>
      </c>
      <c r="E114" s="180">
        <v>43450600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2363100</v>
      </c>
      <c r="D115" s="180">
        <v>2363100</v>
      </c>
      <c r="E115" s="180">
        <v>99924420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12.591850135724648</v>
      </c>
      <c r="D119" s="197">
        <f>IF(+D121=0,0,(+D120)/(+D121))</f>
        <v>13.067241564305171</v>
      </c>
      <c r="E119" s="197">
        <f>IF(+E121=0,0,(+E120)/(+E121))</f>
        <v>13.646106935232195</v>
      </c>
    </row>
    <row r="120" spans="1:8" ht="24" customHeight="1" x14ac:dyDescent="0.25">
      <c r="A120" s="17">
        <v>21</v>
      </c>
      <c r="B120" s="48" t="s">
        <v>369</v>
      </c>
      <c r="C120" s="180">
        <v>512321937</v>
      </c>
      <c r="D120" s="180">
        <v>552907136</v>
      </c>
      <c r="E120" s="180">
        <v>592931534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40686788</v>
      </c>
      <c r="D121" s="180">
        <v>42312460</v>
      </c>
      <c r="E121" s="180">
        <v>43450600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215958</v>
      </c>
      <c r="D124" s="198">
        <v>220114</v>
      </c>
      <c r="E124" s="198">
        <v>223555</v>
      </c>
    </row>
    <row r="125" spans="1:8" ht="24" customHeight="1" x14ac:dyDescent="0.2">
      <c r="A125" s="44">
        <v>2</v>
      </c>
      <c r="B125" s="48" t="s">
        <v>373</v>
      </c>
      <c r="C125" s="198">
        <v>41188</v>
      </c>
      <c r="D125" s="198">
        <v>41265</v>
      </c>
      <c r="E125" s="198">
        <v>40674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5.2432261823832187</v>
      </c>
      <c r="D126" s="199">
        <f>IF(D125=0,0,D124/D125)</f>
        <v>5.3341572761420091</v>
      </c>
      <c r="E126" s="199">
        <f>IF(E125=0,0,E124/E125)</f>
        <v>5.4962629689728084</v>
      </c>
    </row>
    <row r="127" spans="1:8" ht="24" customHeight="1" x14ac:dyDescent="0.2">
      <c r="A127" s="44">
        <v>4</v>
      </c>
      <c r="B127" s="48" t="s">
        <v>375</v>
      </c>
      <c r="C127" s="198">
        <v>595</v>
      </c>
      <c r="D127" s="198">
        <v>630</v>
      </c>
      <c r="E127" s="198">
        <v>640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760</v>
      </c>
      <c r="E128" s="198">
        <v>796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867</v>
      </c>
      <c r="D129" s="198">
        <v>867</v>
      </c>
      <c r="E129" s="198">
        <v>867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0.99429999999999996</v>
      </c>
      <c r="D130" s="171">
        <v>0.95720000000000005</v>
      </c>
      <c r="E130" s="171">
        <v>0.95689999999999997</v>
      </c>
    </row>
    <row r="131" spans="1:8" ht="24" customHeight="1" x14ac:dyDescent="0.2">
      <c r="A131" s="44">
        <v>7</v>
      </c>
      <c r="B131" s="48" t="s">
        <v>379</v>
      </c>
      <c r="C131" s="171">
        <v>0.78669999999999995</v>
      </c>
      <c r="D131" s="171">
        <v>0.79339999999999999</v>
      </c>
      <c r="E131" s="171">
        <v>0.76939999999999997</v>
      </c>
    </row>
    <row r="132" spans="1:8" ht="24" customHeight="1" x14ac:dyDescent="0.2">
      <c r="A132" s="44">
        <v>8</v>
      </c>
      <c r="B132" s="48" t="s">
        <v>380</v>
      </c>
      <c r="C132" s="199">
        <v>5396.3</v>
      </c>
      <c r="D132" s="199">
        <v>5648</v>
      </c>
      <c r="E132" s="199">
        <v>5838.3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0.36038961175313067</v>
      </c>
      <c r="D135" s="203">
        <f>IF(D149=0,0,D143/D149)</f>
        <v>0.35366352205524937</v>
      </c>
      <c r="E135" s="203">
        <f>IF(E149=0,0,E143/E149)</f>
        <v>0.35182516488728849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0.4368391483403134</v>
      </c>
      <c r="D136" s="203">
        <f>IF(D149=0,0,D144/D149)</f>
        <v>0.44268097891972452</v>
      </c>
      <c r="E136" s="203">
        <f>IF(E149=0,0,E144/E149)</f>
        <v>0.43877278080598003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0.13012501330120102</v>
      </c>
      <c r="D137" s="203">
        <f>IF(D149=0,0,D145/D149)</f>
        <v>0.15447335121528355</v>
      </c>
      <c r="E137" s="203">
        <f>IF(E149=0,0,E145/E149)</f>
        <v>0.18523730878043113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4.1155370108986698E-2</v>
      </c>
      <c r="D138" s="203">
        <f>IF(D149=0,0,D146/D149)</f>
        <v>2.066095961532801E-2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2.6669530426213877E-2</v>
      </c>
      <c r="D139" s="203">
        <f>IF(D149=0,0,D147/D149)</f>
        <v>2.4783249234855594E-2</v>
      </c>
      <c r="E139" s="203">
        <f>IF(E149=0,0,E147/E149)</f>
        <v>1.8945644684618113E-2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4.8213260701542998E-3</v>
      </c>
      <c r="D140" s="203">
        <f>IF(D149=0,0,D148/D149)</f>
        <v>3.737938959558961E-3</v>
      </c>
      <c r="E140" s="203">
        <f>IF(E149=0,0,E148/E149)</f>
        <v>5.2191008416822178E-3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617863356</v>
      </c>
      <c r="D143" s="205">
        <f>+D46-D147</f>
        <v>672568683</v>
      </c>
      <c r="E143" s="205">
        <f>+E46-E147</f>
        <v>721002095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748930861</v>
      </c>
      <c r="D144" s="205">
        <f>+D51</f>
        <v>841854883</v>
      </c>
      <c r="E144" s="205">
        <f>+E51</f>
        <v>899185521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223090441</v>
      </c>
      <c r="D145" s="205">
        <f>+D55</f>
        <v>293764926</v>
      </c>
      <c r="E145" s="205">
        <f>+E55</f>
        <v>379610389</v>
      </c>
    </row>
    <row r="146" spans="1:7" ht="20.100000000000001" customHeight="1" x14ac:dyDescent="0.2">
      <c r="A146" s="202">
        <v>11</v>
      </c>
      <c r="B146" s="201" t="s">
        <v>392</v>
      </c>
      <c r="C146" s="204">
        <v>70558069</v>
      </c>
      <c r="D146" s="205">
        <v>39291342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45723087</v>
      </c>
      <c r="D147" s="205">
        <f>+D47</f>
        <v>47130779</v>
      </c>
      <c r="E147" s="205">
        <f>+E47</f>
        <v>38825675</v>
      </c>
    </row>
    <row r="148" spans="1:7" ht="20.100000000000001" customHeight="1" x14ac:dyDescent="0.2">
      <c r="A148" s="202">
        <v>13</v>
      </c>
      <c r="B148" s="201" t="s">
        <v>394</v>
      </c>
      <c r="C148" s="206">
        <v>8265834</v>
      </c>
      <c r="D148" s="205">
        <v>7108510</v>
      </c>
      <c r="E148" s="205">
        <v>10695604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1714431648</v>
      </c>
      <c r="D149" s="205">
        <f>SUM(D143:D148)</f>
        <v>1901719123</v>
      </c>
      <c r="E149" s="205">
        <f>SUM(E143:E148)</f>
        <v>2049319284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0.45946738524428715</v>
      </c>
      <c r="D152" s="203">
        <f>IF(D166=0,0,D160/D166)</f>
        <v>0.44979870047269654</v>
      </c>
      <c r="E152" s="203">
        <f>IF(E166=0,0,E160/E166)</f>
        <v>0.4586749961511345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0.41107884654879362</v>
      </c>
      <c r="D153" s="203">
        <f>IF(D166=0,0,D161/D166)</f>
        <v>0.41554471043874947</v>
      </c>
      <c r="E153" s="203">
        <f>IF(E166=0,0,E161/E166)</f>
        <v>0.39318365012984879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0.10429341088540384</v>
      </c>
      <c r="D154" s="203">
        <f>IF(D166=0,0,D162/D166)</f>
        <v>0.11605160524647205</v>
      </c>
      <c r="E154" s="203">
        <f>IF(E166=0,0,E162/E166)</f>
        <v>0.13223423749778562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1.7214809866481013E-2</v>
      </c>
      <c r="D155" s="203">
        <f>IF(D166=0,0,D163/D166)</f>
        <v>1.2790200726286522E-2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4.402474965846153E-3</v>
      </c>
      <c r="D156" s="203">
        <f>IF(D166=0,0,D164/D166)</f>
        <v>3.2468360483485369E-3</v>
      </c>
      <c r="E156" s="203">
        <f>IF(E166=0,0,E164/E166)</f>
        <v>1.1399417055613124E-2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3.5430724891882697E-3</v>
      </c>
      <c r="D157" s="203">
        <f>IF(D166=0,0,D165/D166)</f>
        <v>2.5679470674468885E-3</v>
      </c>
      <c r="E157" s="203">
        <f>IF(E166=0,0,E165/E166)</f>
        <v>4.5076991656179451E-3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316352060</v>
      </c>
      <c r="D160" s="208">
        <f>+D44-D164</f>
        <v>348545653</v>
      </c>
      <c r="E160" s="208">
        <f>+E44-E164</f>
        <v>395974054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283035628</v>
      </c>
      <c r="D161" s="208">
        <f>+D50</f>
        <v>322002492</v>
      </c>
      <c r="E161" s="208">
        <f>+E50</f>
        <v>339435385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71808003</v>
      </c>
      <c r="D162" s="208">
        <f>+D54</f>
        <v>89927522</v>
      </c>
      <c r="E162" s="208">
        <f>+E54</f>
        <v>114157797</v>
      </c>
    </row>
    <row r="163" spans="1:6" ht="20.100000000000001" customHeight="1" x14ac:dyDescent="0.2">
      <c r="A163" s="202">
        <v>11</v>
      </c>
      <c r="B163" s="201" t="s">
        <v>408</v>
      </c>
      <c r="C163" s="207">
        <v>11852725</v>
      </c>
      <c r="D163" s="208">
        <v>9911031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3031188</v>
      </c>
      <c r="D164" s="208">
        <f>+D45</f>
        <v>2515949</v>
      </c>
      <c r="E164" s="208">
        <f>+E45</f>
        <v>9841115</v>
      </c>
    </row>
    <row r="165" spans="1:6" ht="20.100000000000001" customHeight="1" x14ac:dyDescent="0.2">
      <c r="A165" s="202">
        <v>13</v>
      </c>
      <c r="B165" s="201" t="s">
        <v>410</v>
      </c>
      <c r="C165" s="209">
        <v>2439473</v>
      </c>
      <c r="D165" s="208">
        <v>1989883</v>
      </c>
      <c r="E165" s="208">
        <v>3891496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688519077</v>
      </c>
      <c r="D166" s="208">
        <f>SUM(D160:D165)</f>
        <v>774892530</v>
      </c>
      <c r="E166" s="208">
        <f>SUM(E160:E165)</f>
        <v>863299847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16639</v>
      </c>
      <c r="D169" s="198">
        <v>16050</v>
      </c>
      <c r="E169" s="198">
        <v>15149</v>
      </c>
    </row>
    <row r="170" spans="1:6" ht="20.100000000000001" customHeight="1" x14ac:dyDescent="0.2">
      <c r="A170" s="202">
        <v>2</v>
      </c>
      <c r="B170" s="201" t="s">
        <v>414</v>
      </c>
      <c r="C170" s="198">
        <v>15533</v>
      </c>
      <c r="D170" s="198">
        <v>15819</v>
      </c>
      <c r="E170" s="198">
        <v>15795</v>
      </c>
    </row>
    <row r="171" spans="1:6" ht="20.100000000000001" customHeight="1" x14ac:dyDescent="0.2">
      <c r="A171" s="202">
        <v>3</v>
      </c>
      <c r="B171" s="201" t="s">
        <v>415</v>
      </c>
      <c r="C171" s="198">
        <v>8830</v>
      </c>
      <c r="D171" s="198">
        <v>9230</v>
      </c>
      <c r="E171" s="198">
        <v>9492</v>
      </c>
    </row>
    <row r="172" spans="1:6" ht="20.100000000000001" customHeight="1" x14ac:dyDescent="0.2">
      <c r="A172" s="202">
        <v>4</v>
      </c>
      <c r="B172" s="201" t="s">
        <v>416</v>
      </c>
      <c r="C172" s="198">
        <v>6942</v>
      </c>
      <c r="D172" s="198">
        <v>7923</v>
      </c>
      <c r="E172" s="198">
        <v>9492</v>
      </c>
    </row>
    <row r="173" spans="1:6" ht="20.100000000000001" customHeight="1" x14ac:dyDescent="0.2">
      <c r="A173" s="202">
        <v>5</v>
      </c>
      <c r="B173" s="201" t="s">
        <v>417</v>
      </c>
      <c r="C173" s="198">
        <v>1888</v>
      </c>
      <c r="D173" s="198">
        <v>1307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186</v>
      </c>
      <c r="D174" s="198">
        <v>166</v>
      </c>
      <c r="E174" s="198">
        <v>238</v>
      </c>
    </row>
    <row r="175" spans="1:6" ht="20.100000000000001" customHeight="1" x14ac:dyDescent="0.2">
      <c r="A175" s="202">
        <v>7</v>
      </c>
      <c r="B175" s="201" t="s">
        <v>419</v>
      </c>
      <c r="C175" s="198">
        <v>694</v>
      </c>
      <c r="D175" s="198">
        <v>690</v>
      </c>
      <c r="E175" s="198">
        <v>359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41188</v>
      </c>
      <c r="D176" s="198">
        <f>+D169+D170+D171+D174</f>
        <v>41265</v>
      </c>
      <c r="E176" s="198">
        <f>+E169+E170+E171+E174</f>
        <v>40674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1.3378000000000001</v>
      </c>
      <c r="D179" s="210">
        <v>1.3722000000000001</v>
      </c>
      <c r="E179" s="210">
        <v>1.4201999999999999</v>
      </c>
    </row>
    <row r="180" spans="1:6" ht="20.100000000000001" customHeight="1" x14ac:dyDescent="0.2">
      <c r="A180" s="202">
        <v>2</v>
      </c>
      <c r="B180" s="201" t="s">
        <v>414</v>
      </c>
      <c r="C180" s="210">
        <v>1.6591</v>
      </c>
      <c r="D180" s="210">
        <v>1.8172999999999999</v>
      </c>
      <c r="E180" s="210">
        <v>1.8613</v>
      </c>
    </row>
    <row r="181" spans="1:6" ht="20.100000000000001" customHeight="1" x14ac:dyDescent="0.2">
      <c r="A181" s="202">
        <v>3</v>
      </c>
      <c r="B181" s="201" t="s">
        <v>415</v>
      </c>
      <c r="C181" s="210">
        <v>1.1078939999999999</v>
      </c>
      <c r="D181" s="210">
        <v>1.1258999999999999</v>
      </c>
      <c r="E181" s="210">
        <v>1.206</v>
      </c>
    </row>
    <row r="182" spans="1:6" ht="20.100000000000001" customHeight="1" x14ac:dyDescent="0.2">
      <c r="A182" s="202">
        <v>4</v>
      </c>
      <c r="B182" s="201" t="s">
        <v>416</v>
      </c>
      <c r="C182" s="210">
        <v>1.0791999999999999</v>
      </c>
      <c r="D182" s="210">
        <v>1.1066</v>
      </c>
      <c r="E182" s="210">
        <v>1.206</v>
      </c>
    </row>
    <row r="183" spans="1:6" ht="20.100000000000001" customHeight="1" x14ac:dyDescent="0.2">
      <c r="A183" s="202">
        <v>5</v>
      </c>
      <c r="B183" s="201" t="s">
        <v>417</v>
      </c>
      <c r="C183" s="210">
        <v>1.2134</v>
      </c>
      <c r="D183" s="210">
        <v>1.2428999999999999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1.24</v>
      </c>
      <c r="D184" s="210">
        <v>1.0678000000000001</v>
      </c>
      <c r="E184" s="210">
        <v>1.179</v>
      </c>
    </row>
    <row r="185" spans="1:6" ht="20.100000000000001" customHeight="1" x14ac:dyDescent="0.2">
      <c r="A185" s="202">
        <v>7</v>
      </c>
      <c r="B185" s="201" t="s">
        <v>419</v>
      </c>
      <c r="C185" s="210">
        <v>1.3109</v>
      </c>
      <c r="D185" s="210">
        <v>1.3522000000000001</v>
      </c>
      <c r="E185" s="210">
        <v>1.3913</v>
      </c>
    </row>
    <row r="186" spans="1:6" ht="20.100000000000001" customHeight="1" x14ac:dyDescent="0.2">
      <c r="A186" s="202">
        <v>8</v>
      </c>
      <c r="B186" s="201" t="s">
        <v>423</v>
      </c>
      <c r="C186" s="210">
        <v>1.40924</v>
      </c>
      <c r="D186" s="210">
        <v>1.486513</v>
      </c>
      <c r="E186" s="210">
        <v>1.5400940000000001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16393</v>
      </c>
      <c r="D189" s="198">
        <v>16735</v>
      </c>
      <c r="E189" s="198">
        <v>17014</v>
      </c>
    </row>
    <row r="190" spans="1:6" ht="20.100000000000001" customHeight="1" x14ac:dyDescent="0.2">
      <c r="A190" s="202">
        <v>2</v>
      </c>
      <c r="B190" s="201" t="s">
        <v>427</v>
      </c>
      <c r="C190" s="198">
        <v>73715</v>
      </c>
      <c r="D190" s="198">
        <v>78670</v>
      </c>
      <c r="E190" s="198">
        <v>78553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90108</v>
      </c>
      <c r="D191" s="198">
        <f>+D190+D189</f>
        <v>95405</v>
      </c>
      <c r="E191" s="198">
        <f>+E190+E189</f>
        <v>95567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FILING&amp;RHARTFORD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3451523</v>
      </c>
      <c r="D14" s="237">
        <v>5975230</v>
      </c>
      <c r="E14" s="237">
        <f t="shared" ref="E14:E24" si="0">D14-C14</f>
        <v>2523707</v>
      </c>
      <c r="F14" s="238">
        <f t="shared" ref="F14:F24" si="1">IF(C14=0,0,E14/C14)</f>
        <v>0.73118649361455801</v>
      </c>
    </row>
    <row r="15" spans="1:7" ht="20.25" customHeight="1" x14ac:dyDescent="0.3">
      <c r="A15" s="235">
        <v>2</v>
      </c>
      <c r="B15" s="236" t="s">
        <v>435</v>
      </c>
      <c r="C15" s="237">
        <v>1102810</v>
      </c>
      <c r="D15" s="237">
        <v>2032807</v>
      </c>
      <c r="E15" s="237">
        <f t="shared" si="0"/>
        <v>929997</v>
      </c>
      <c r="F15" s="238">
        <f t="shared" si="1"/>
        <v>0.8432975761917284</v>
      </c>
    </row>
    <row r="16" spans="1:7" ht="20.25" customHeight="1" x14ac:dyDescent="0.3">
      <c r="A16" s="235">
        <v>3</v>
      </c>
      <c r="B16" s="236" t="s">
        <v>436</v>
      </c>
      <c r="C16" s="237">
        <v>1361485</v>
      </c>
      <c r="D16" s="237">
        <v>1433402</v>
      </c>
      <c r="E16" s="237">
        <f t="shared" si="0"/>
        <v>71917</v>
      </c>
      <c r="F16" s="238">
        <f t="shared" si="1"/>
        <v>5.28224695828452E-2</v>
      </c>
    </row>
    <row r="17" spans="1:6" ht="20.25" customHeight="1" x14ac:dyDescent="0.3">
      <c r="A17" s="235">
        <v>4</v>
      </c>
      <c r="B17" s="236" t="s">
        <v>437</v>
      </c>
      <c r="C17" s="237">
        <v>618504</v>
      </c>
      <c r="D17" s="237">
        <v>611341</v>
      </c>
      <c r="E17" s="237">
        <f t="shared" si="0"/>
        <v>-7163</v>
      </c>
      <c r="F17" s="238">
        <f t="shared" si="1"/>
        <v>-1.1581170049021511E-2</v>
      </c>
    </row>
    <row r="18" spans="1:6" ht="20.25" customHeight="1" x14ac:dyDescent="0.3">
      <c r="A18" s="235">
        <v>5</v>
      </c>
      <c r="B18" s="236" t="s">
        <v>373</v>
      </c>
      <c r="C18" s="239">
        <v>81</v>
      </c>
      <c r="D18" s="239">
        <v>103</v>
      </c>
      <c r="E18" s="239">
        <f t="shared" si="0"/>
        <v>22</v>
      </c>
      <c r="F18" s="238">
        <f t="shared" si="1"/>
        <v>0.27160493827160492</v>
      </c>
    </row>
    <row r="19" spans="1:6" ht="20.25" customHeight="1" x14ac:dyDescent="0.3">
      <c r="A19" s="235">
        <v>6</v>
      </c>
      <c r="B19" s="236" t="s">
        <v>372</v>
      </c>
      <c r="C19" s="239">
        <v>478</v>
      </c>
      <c r="D19" s="239">
        <v>640</v>
      </c>
      <c r="E19" s="239">
        <f t="shared" si="0"/>
        <v>162</v>
      </c>
      <c r="F19" s="238">
        <f t="shared" si="1"/>
        <v>0.33891213389121339</v>
      </c>
    </row>
    <row r="20" spans="1:6" ht="20.25" customHeight="1" x14ac:dyDescent="0.3">
      <c r="A20" s="235">
        <v>7</v>
      </c>
      <c r="B20" s="236" t="s">
        <v>438</v>
      </c>
      <c r="C20" s="239">
        <v>376</v>
      </c>
      <c r="D20" s="239">
        <v>200</v>
      </c>
      <c r="E20" s="239">
        <f t="shared" si="0"/>
        <v>-176</v>
      </c>
      <c r="F20" s="238">
        <f t="shared" si="1"/>
        <v>-0.46808510638297873</v>
      </c>
    </row>
    <row r="21" spans="1:6" ht="20.25" customHeight="1" x14ac:dyDescent="0.3">
      <c r="A21" s="235">
        <v>8</v>
      </c>
      <c r="B21" s="236" t="s">
        <v>439</v>
      </c>
      <c r="C21" s="239">
        <v>54</v>
      </c>
      <c r="D21" s="239">
        <v>64</v>
      </c>
      <c r="E21" s="239">
        <f t="shared" si="0"/>
        <v>10</v>
      </c>
      <c r="F21" s="238">
        <f t="shared" si="1"/>
        <v>0.18518518518518517</v>
      </c>
    </row>
    <row r="22" spans="1:6" ht="20.25" customHeight="1" x14ac:dyDescent="0.3">
      <c r="A22" s="235">
        <v>9</v>
      </c>
      <c r="B22" s="236" t="s">
        <v>440</v>
      </c>
      <c r="C22" s="239">
        <v>32</v>
      </c>
      <c r="D22" s="239">
        <v>37</v>
      </c>
      <c r="E22" s="239">
        <f t="shared" si="0"/>
        <v>5</v>
      </c>
      <c r="F22" s="238">
        <f t="shared" si="1"/>
        <v>0.15625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4813008</v>
      </c>
      <c r="D23" s="243">
        <f>+D14+D16</f>
        <v>7408632</v>
      </c>
      <c r="E23" s="243">
        <f t="shared" si="0"/>
        <v>2595624</v>
      </c>
      <c r="F23" s="244">
        <f t="shared" si="1"/>
        <v>0.53929351457550034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1721314</v>
      </c>
      <c r="D24" s="243">
        <f>+D15+D17</f>
        <v>2644148</v>
      </c>
      <c r="E24" s="243">
        <f t="shared" si="0"/>
        <v>922834</v>
      </c>
      <c r="F24" s="244">
        <f t="shared" si="1"/>
        <v>0.53612182321180213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18180742</v>
      </c>
      <c r="D40" s="237">
        <v>31721755</v>
      </c>
      <c r="E40" s="237">
        <f t="shared" ref="E40:E50" si="4">D40-C40</f>
        <v>13541013</v>
      </c>
      <c r="F40" s="238">
        <f t="shared" ref="F40:F50" si="5">IF(C40=0,0,E40/C40)</f>
        <v>0.7447997997001442</v>
      </c>
    </row>
    <row r="41" spans="1:6" ht="20.25" customHeight="1" x14ac:dyDescent="0.3">
      <c r="A41" s="235">
        <v>2</v>
      </c>
      <c r="B41" s="236" t="s">
        <v>435</v>
      </c>
      <c r="C41" s="237">
        <v>7138190</v>
      </c>
      <c r="D41" s="237">
        <v>13351516</v>
      </c>
      <c r="E41" s="237">
        <f t="shared" si="4"/>
        <v>6213326</v>
      </c>
      <c r="F41" s="238">
        <f t="shared" si="5"/>
        <v>0.87043438182508448</v>
      </c>
    </row>
    <row r="42" spans="1:6" ht="20.25" customHeight="1" x14ac:dyDescent="0.3">
      <c r="A42" s="235">
        <v>3</v>
      </c>
      <c r="B42" s="236" t="s">
        <v>436</v>
      </c>
      <c r="C42" s="237">
        <v>5260844</v>
      </c>
      <c r="D42" s="237">
        <v>13015999</v>
      </c>
      <c r="E42" s="237">
        <f t="shared" si="4"/>
        <v>7755155</v>
      </c>
      <c r="F42" s="238">
        <f t="shared" si="5"/>
        <v>1.4741275354296763</v>
      </c>
    </row>
    <row r="43" spans="1:6" ht="20.25" customHeight="1" x14ac:dyDescent="0.3">
      <c r="A43" s="235">
        <v>4</v>
      </c>
      <c r="B43" s="236" t="s">
        <v>437</v>
      </c>
      <c r="C43" s="237">
        <v>1306846</v>
      </c>
      <c r="D43" s="237">
        <v>4457054</v>
      </c>
      <c r="E43" s="237">
        <f t="shared" si="4"/>
        <v>3150208</v>
      </c>
      <c r="F43" s="238">
        <f t="shared" si="5"/>
        <v>2.4105426347098282</v>
      </c>
    </row>
    <row r="44" spans="1:6" ht="20.25" customHeight="1" x14ac:dyDescent="0.3">
      <c r="A44" s="235">
        <v>5</v>
      </c>
      <c r="B44" s="236" t="s">
        <v>373</v>
      </c>
      <c r="C44" s="239">
        <v>404</v>
      </c>
      <c r="D44" s="239">
        <v>671</v>
      </c>
      <c r="E44" s="239">
        <f t="shared" si="4"/>
        <v>267</v>
      </c>
      <c r="F44" s="238">
        <f t="shared" si="5"/>
        <v>0.66089108910891092</v>
      </c>
    </row>
    <row r="45" spans="1:6" ht="20.25" customHeight="1" x14ac:dyDescent="0.3">
      <c r="A45" s="235">
        <v>6</v>
      </c>
      <c r="B45" s="236" t="s">
        <v>372</v>
      </c>
      <c r="C45" s="239">
        <v>2297</v>
      </c>
      <c r="D45" s="239">
        <v>4010</v>
      </c>
      <c r="E45" s="239">
        <f t="shared" si="4"/>
        <v>1713</v>
      </c>
      <c r="F45" s="238">
        <f t="shared" si="5"/>
        <v>0.74575533304309971</v>
      </c>
    </row>
    <row r="46" spans="1:6" ht="20.25" customHeight="1" x14ac:dyDescent="0.3">
      <c r="A46" s="235">
        <v>7</v>
      </c>
      <c r="B46" s="236" t="s">
        <v>438</v>
      </c>
      <c r="C46" s="239">
        <v>993</v>
      </c>
      <c r="D46" s="239">
        <v>2282</v>
      </c>
      <c r="E46" s="239">
        <f t="shared" si="4"/>
        <v>1289</v>
      </c>
      <c r="F46" s="238">
        <f t="shared" si="5"/>
        <v>1.298086606243706</v>
      </c>
    </row>
    <row r="47" spans="1:6" ht="20.25" customHeight="1" x14ac:dyDescent="0.3">
      <c r="A47" s="235">
        <v>8</v>
      </c>
      <c r="B47" s="236" t="s">
        <v>439</v>
      </c>
      <c r="C47" s="239">
        <v>209</v>
      </c>
      <c r="D47" s="239">
        <v>243</v>
      </c>
      <c r="E47" s="239">
        <f t="shared" si="4"/>
        <v>34</v>
      </c>
      <c r="F47" s="238">
        <f t="shared" si="5"/>
        <v>0.16267942583732056</v>
      </c>
    </row>
    <row r="48" spans="1:6" ht="20.25" customHeight="1" x14ac:dyDescent="0.3">
      <c r="A48" s="235">
        <v>9</v>
      </c>
      <c r="B48" s="236" t="s">
        <v>440</v>
      </c>
      <c r="C48" s="239">
        <v>202</v>
      </c>
      <c r="D48" s="239">
        <v>226</v>
      </c>
      <c r="E48" s="239">
        <f t="shared" si="4"/>
        <v>24</v>
      </c>
      <c r="F48" s="238">
        <f t="shared" si="5"/>
        <v>0.11881188118811881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23441586</v>
      </c>
      <c r="D49" s="243">
        <f>+D40+D42</f>
        <v>44737754</v>
      </c>
      <c r="E49" s="243">
        <f t="shared" si="4"/>
        <v>21296168</v>
      </c>
      <c r="F49" s="244">
        <f t="shared" si="5"/>
        <v>0.90847812089164959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8445036</v>
      </c>
      <c r="D50" s="243">
        <f>+D41+D43</f>
        <v>17808570</v>
      </c>
      <c r="E50" s="243">
        <f t="shared" si="4"/>
        <v>9363534</v>
      </c>
      <c r="F50" s="244">
        <f t="shared" si="5"/>
        <v>1.1087618809440245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34172100</v>
      </c>
      <c r="D53" s="237">
        <v>10738675</v>
      </c>
      <c r="E53" s="237">
        <f t="shared" ref="E53:E63" si="6">D53-C53</f>
        <v>-23433425</v>
      </c>
      <c r="F53" s="238">
        <f t="shared" ref="F53:F63" si="7">IF(C53=0,0,E53/C53)</f>
        <v>-0.68574729091861486</v>
      </c>
    </row>
    <row r="54" spans="1:6" ht="20.25" customHeight="1" x14ac:dyDescent="0.3">
      <c r="A54" s="235">
        <v>2</v>
      </c>
      <c r="B54" s="236" t="s">
        <v>435</v>
      </c>
      <c r="C54" s="237">
        <v>12412747</v>
      </c>
      <c r="D54" s="237">
        <v>4082401</v>
      </c>
      <c r="E54" s="237">
        <f t="shared" si="6"/>
        <v>-8330346</v>
      </c>
      <c r="F54" s="238">
        <f t="shared" si="7"/>
        <v>-0.6711122042526122</v>
      </c>
    </row>
    <row r="55" spans="1:6" ht="20.25" customHeight="1" x14ac:dyDescent="0.3">
      <c r="A55" s="235">
        <v>3</v>
      </c>
      <c r="B55" s="236" t="s">
        <v>436</v>
      </c>
      <c r="C55" s="237">
        <v>8824461</v>
      </c>
      <c r="D55" s="237">
        <v>2471988</v>
      </c>
      <c r="E55" s="237">
        <f t="shared" si="6"/>
        <v>-6352473</v>
      </c>
      <c r="F55" s="238">
        <f t="shared" si="7"/>
        <v>-0.71987093602657426</v>
      </c>
    </row>
    <row r="56" spans="1:6" ht="20.25" customHeight="1" x14ac:dyDescent="0.3">
      <c r="A56" s="235">
        <v>4</v>
      </c>
      <c r="B56" s="236" t="s">
        <v>437</v>
      </c>
      <c r="C56" s="237">
        <v>2984167</v>
      </c>
      <c r="D56" s="237">
        <v>133350</v>
      </c>
      <c r="E56" s="237">
        <f t="shared" si="6"/>
        <v>-2850817</v>
      </c>
      <c r="F56" s="238">
        <f t="shared" si="7"/>
        <v>-0.95531416304784555</v>
      </c>
    </row>
    <row r="57" spans="1:6" ht="20.25" customHeight="1" x14ac:dyDescent="0.3">
      <c r="A57" s="235">
        <v>5</v>
      </c>
      <c r="B57" s="236" t="s">
        <v>373</v>
      </c>
      <c r="C57" s="239">
        <v>712</v>
      </c>
      <c r="D57" s="239">
        <v>190</v>
      </c>
      <c r="E57" s="239">
        <f t="shared" si="6"/>
        <v>-522</v>
      </c>
      <c r="F57" s="238">
        <f t="shared" si="7"/>
        <v>-0.7331460674157303</v>
      </c>
    </row>
    <row r="58" spans="1:6" ht="20.25" customHeight="1" x14ac:dyDescent="0.3">
      <c r="A58" s="235">
        <v>6</v>
      </c>
      <c r="B58" s="236" t="s">
        <v>372</v>
      </c>
      <c r="C58" s="239">
        <v>4691</v>
      </c>
      <c r="D58" s="239">
        <v>1332</v>
      </c>
      <c r="E58" s="239">
        <f t="shared" si="6"/>
        <v>-3359</v>
      </c>
      <c r="F58" s="238">
        <f t="shared" si="7"/>
        <v>-0.7160520144958431</v>
      </c>
    </row>
    <row r="59" spans="1:6" ht="20.25" customHeight="1" x14ac:dyDescent="0.3">
      <c r="A59" s="235">
        <v>7</v>
      </c>
      <c r="B59" s="236" t="s">
        <v>438</v>
      </c>
      <c r="C59" s="239">
        <v>1289</v>
      </c>
      <c r="D59" s="239">
        <v>478</v>
      </c>
      <c r="E59" s="239">
        <f t="shared" si="6"/>
        <v>-811</v>
      </c>
      <c r="F59" s="238">
        <f t="shared" si="7"/>
        <v>-0.62916989914662524</v>
      </c>
    </row>
    <row r="60" spans="1:6" ht="20.25" customHeight="1" x14ac:dyDescent="0.3">
      <c r="A60" s="235">
        <v>8</v>
      </c>
      <c r="B60" s="236" t="s">
        <v>439</v>
      </c>
      <c r="C60" s="239">
        <v>330</v>
      </c>
      <c r="D60" s="239">
        <v>384</v>
      </c>
      <c r="E60" s="239">
        <f t="shared" si="6"/>
        <v>54</v>
      </c>
      <c r="F60" s="238">
        <f t="shared" si="7"/>
        <v>0.16363636363636364</v>
      </c>
    </row>
    <row r="61" spans="1:6" ht="20.25" customHeight="1" x14ac:dyDescent="0.3">
      <c r="A61" s="235">
        <v>9</v>
      </c>
      <c r="B61" s="236" t="s">
        <v>440</v>
      </c>
      <c r="C61" s="239">
        <v>339</v>
      </c>
      <c r="D61" s="239">
        <v>380</v>
      </c>
      <c r="E61" s="239">
        <f t="shared" si="6"/>
        <v>41</v>
      </c>
      <c r="F61" s="238">
        <f t="shared" si="7"/>
        <v>0.12094395280235988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42996561</v>
      </c>
      <c r="D62" s="243">
        <f>+D53+D55</f>
        <v>13210663</v>
      </c>
      <c r="E62" s="243">
        <f t="shared" si="6"/>
        <v>-29785898</v>
      </c>
      <c r="F62" s="244">
        <f t="shared" si="7"/>
        <v>-0.69275070627160162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15396914</v>
      </c>
      <c r="D63" s="243">
        <f>+D54+D56</f>
        <v>4215751</v>
      </c>
      <c r="E63" s="243">
        <f t="shared" si="6"/>
        <v>-11181163</v>
      </c>
      <c r="F63" s="244">
        <f t="shared" si="7"/>
        <v>-0.72619506740116879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9832593</v>
      </c>
      <c r="D66" s="237">
        <v>7462055</v>
      </c>
      <c r="E66" s="237">
        <f t="shared" ref="E66:E76" si="8">D66-C66</f>
        <v>-2370538</v>
      </c>
      <c r="F66" s="238">
        <f t="shared" ref="F66:F76" si="9">IF(C66=0,0,E66/C66)</f>
        <v>-0.24108981221942166</v>
      </c>
    </row>
    <row r="67" spans="1:6" ht="20.25" customHeight="1" x14ac:dyDescent="0.3">
      <c r="A67" s="235">
        <v>2</v>
      </c>
      <c r="B67" s="236" t="s">
        <v>435</v>
      </c>
      <c r="C67" s="237">
        <v>4129156</v>
      </c>
      <c r="D67" s="237">
        <v>1794238</v>
      </c>
      <c r="E67" s="237">
        <f t="shared" si="8"/>
        <v>-2334918</v>
      </c>
      <c r="F67" s="238">
        <f t="shared" si="9"/>
        <v>-0.56547100666576899</v>
      </c>
    </row>
    <row r="68" spans="1:6" ht="20.25" customHeight="1" x14ac:dyDescent="0.3">
      <c r="A68" s="235">
        <v>3</v>
      </c>
      <c r="B68" s="236" t="s">
        <v>436</v>
      </c>
      <c r="C68" s="237">
        <v>2282009</v>
      </c>
      <c r="D68" s="237">
        <v>3167690</v>
      </c>
      <c r="E68" s="237">
        <f t="shared" si="8"/>
        <v>885681</v>
      </c>
      <c r="F68" s="238">
        <f t="shared" si="9"/>
        <v>0.38811459551649446</v>
      </c>
    </row>
    <row r="69" spans="1:6" ht="20.25" customHeight="1" x14ac:dyDescent="0.3">
      <c r="A69" s="235">
        <v>4</v>
      </c>
      <c r="B69" s="236" t="s">
        <v>437</v>
      </c>
      <c r="C69" s="237">
        <v>661359</v>
      </c>
      <c r="D69" s="237">
        <v>662271</v>
      </c>
      <c r="E69" s="237">
        <f t="shared" si="8"/>
        <v>912</v>
      </c>
      <c r="F69" s="238">
        <f t="shared" si="9"/>
        <v>1.3789787392323987E-3</v>
      </c>
    </row>
    <row r="70" spans="1:6" ht="20.25" customHeight="1" x14ac:dyDescent="0.3">
      <c r="A70" s="235">
        <v>5</v>
      </c>
      <c r="B70" s="236" t="s">
        <v>373</v>
      </c>
      <c r="C70" s="239">
        <v>200</v>
      </c>
      <c r="D70" s="239">
        <v>202</v>
      </c>
      <c r="E70" s="239">
        <f t="shared" si="8"/>
        <v>2</v>
      </c>
      <c r="F70" s="238">
        <f t="shared" si="9"/>
        <v>0.01</v>
      </c>
    </row>
    <row r="71" spans="1:6" ht="20.25" customHeight="1" x14ac:dyDescent="0.3">
      <c r="A71" s="235">
        <v>6</v>
      </c>
      <c r="B71" s="236" t="s">
        <v>372</v>
      </c>
      <c r="C71" s="239">
        <v>1549</v>
      </c>
      <c r="D71" s="239">
        <v>1035</v>
      </c>
      <c r="E71" s="239">
        <f t="shared" si="8"/>
        <v>-514</v>
      </c>
      <c r="F71" s="238">
        <f t="shared" si="9"/>
        <v>-0.33182698515171077</v>
      </c>
    </row>
    <row r="72" spans="1:6" ht="20.25" customHeight="1" x14ac:dyDescent="0.3">
      <c r="A72" s="235">
        <v>7</v>
      </c>
      <c r="B72" s="236" t="s">
        <v>438</v>
      </c>
      <c r="C72" s="239">
        <v>385</v>
      </c>
      <c r="D72" s="239">
        <v>633</v>
      </c>
      <c r="E72" s="239">
        <f t="shared" si="8"/>
        <v>248</v>
      </c>
      <c r="F72" s="238">
        <f t="shared" si="9"/>
        <v>0.64415584415584415</v>
      </c>
    </row>
    <row r="73" spans="1:6" ht="20.25" customHeight="1" x14ac:dyDescent="0.3">
      <c r="A73" s="235">
        <v>8</v>
      </c>
      <c r="B73" s="236" t="s">
        <v>439</v>
      </c>
      <c r="C73" s="239">
        <v>607</v>
      </c>
      <c r="D73" s="239">
        <v>707</v>
      </c>
      <c r="E73" s="239">
        <f t="shared" si="8"/>
        <v>100</v>
      </c>
      <c r="F73" s="238">
        <f t="shared" si="9"/>
        <v>0.16474464579901152</v>
      </c>
    </row>
    <row r="74" spans="1:6" ht="20.25" customHeight="1" x14ac:dyDescent="0.3">
      <c r="A74" s="235">
        <v>9</v>
      </c>
      <c r="B74" s="236" t="s">
        <v>440</v>
      </c>
      <c r="C74" s="239">
        <v>297</v>
      </c>
      <c r="D74" s="239">
        <v>333</v>
      </c>
      <c r="E74" s="239">
        <f t="shared" si="8"/>
        <v>36</v>
      </c>
      <c r="F74" s="238">
        <f t="shared" si="9"/>
        <v>0.12121212121212122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12114602</v>
      </c>
      <c r="D75" s="243">
        <f>+D66+D68</f>
        <v>10629745</v>
      </c>
      <c r="E75" s="243">
        <f t="shared" si="8"/>
        <v>-1484857</v>
      </c>
      <c r="F75" s="244">
        <f t="shared" si="9"/>
        <v>-0.12256754287099156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4790515</v>
      </c>
      <c r="D76" s="243">
        <f>+D67+D69</f>
        <v>2456509</v>
      </c>
      <c r="E76" s="243">
        <f t="shared" si="8"/>
        <v>-2334006</v>
      </c>
      <c r="F76" s="244">
        <f t="shared" si="9"/>
        <v>-0.48721400517480895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18850085</v>
      </c>
      <c r="D92" s="237">
        <v>41998848</v>
      </c>
      <c r="E92" s="237">
        <f t="shared" ref="E92:E102" si="12">D92-C92</f>
        <v>23148763</v>
      </c>
      <c r="F92" s="238">
        <f t="shared" ref="F92:F102" si="13">IF(C92=0,0,E92/C92)</f>
        <v>1.2280455499272285</v>
      </c>
    </row>
    <row r="93" spans="1:6" ht="20.25" customHeight="1" x14ac:dyDescent="0.3">
      <c r="A93" s="235">
        <v>2</v>
      </c>
      <c r="B93" s="236" t="s">
        <v>435</v>
      </c>
      <c r="C93" s="237">
        <v>6796969</v>
      </c>
      <c r="D93" s="237">
        <v>16434328</v>
      </c>
      <c r="E93" s="237">
        <f t="shared" si="12"/>
        <v>9637359</v>
      </c>
      <c r="F93" s="238">
        <f t="shared" si="13"/>
        <v>1.4178906803900386</v>
      </c>
    </row>
    <row r="94" spans="1:6" ht="20.25" customHeight="1" x14ac:dyDescent="0.3">
      <c r="A94" s="235">
        <v>3</v>
      </c>
      <c r="B94" s="236" t="s">
        <v>436</v>
      </c>
      <c r="C94" s="237">
        <v>5856722</v>
      </c>
      <c r="D94" s="237">
        <v>16642215</v>
      </c>
      <c r="E94" s="237">
        <f t="shared" si="12"/>
        <v>10785493</v>
      </c>
      <c r="F94" s="238">
        <f t="shared" si="13"/>
        <v>1.8415579568229463</v>
      </c>
    </row>
    <row r="95" spans="1:6" ht="20.25" customHeight="1" x14ac:dyDescent="0.3">
      <c r="A95" s="235">
        <v>4</v>
      </c>
      <c r="B95" s="236" t="s">
        <v>437</v>
      </c>
      <c r="C95" s="237">
        <v>1371517</v>
      </c>
      <c r="D95" s="237">
        <v>5455224</v>
      </c>
      <c r="E95" s="237">
        <f t="shared" si="12"/>
        <v>4083707</v>
      </c>
      <c r="F95" s="238">
        <f t="shared" si="13"/>
        <v>2.9775110334031587</v>
      </c>
    </row>
    <row r="96" spans="1:6" ht="20.25" customHeight="1" x14ac:dyDescent="0.3">
      <c r="A96" s="235">
        <v>5</v>
      </c>
      <c r="B96" s="236" t="s">
        <v>373</v>
      </c>
      <c r="C96" s="239">
        <v>505</v>
      </c>
      <c r="D96" s="239">
        <v>975</v>
      </c>
      <c r="E96" s="239">
        <f t="shared" si="12"/>
        <v>470</v>
      </c>
      <c r="F96" s="238">
        <f t="shared" si="13"/>
        <v>0.93069306930693074</v>
      </c>
    </row>
    <row r="97" spans="1:6" ht="20.25" customHeight="1" x14ac:dyDescent="0.3">
      <c r="A97" s="235">
        <v>6</v>
      </c>
      <c r="B97" s="236" t="s">
        <v>372</v>
      </c>
      <c r="C97" s="239">
        <v>2920</v>
      </c>
      <c r="D97" s="239">
        <v>6275</v>
      </c>
      <c r="E97" s="239">
        <f t="shared" si="12"/>
        <v>3355</v>
      </c>
      <c r="F97" s="238">
        <f t="shared" si="13"/>
        <v>1.148972602739726</v>
      </c>
    </row>
    <row r="98" spans="1:6" ht="20.25" customHeight="1" x14ac:dyDescent="0.3">
      <c r="A98" s="235">
        <v>7</v>
      </c>
      <c r="B98" s="236" t="s">
        <v>438</v>
      </c>
      <c r="C98" s="239">
        <v>2707</v>
      </c>
      <c r="D98" s="239">
        <v>4585</v>
      </c>
      <c r="E98" s="239">
        <f t="shared" si="12"/>
        <v>1878</v>
      </c>
      <c r="F98" s="238">
        <f t="shared" si="13"/>
        <v>0.69375692648688581</v>
      </c>
    </row>
    <row r="99" spans="1:6" ht="20.25" customHeight="1" x14ac:dyDescent="0.3">
      <c r="A99" s="235">
        <v>8</v>
      </c>
      <c r="B99" s="236" t="s">
        <v>439</v>
      </c>
      <c r="C99" s="239">
        <v>837</v>
      </c>
      <c r="D99" s="239">
        <v>976</v>
      </c>
      <c r="E99" s="239">
        <f t="shared" si="12"/>
        <v>139</v>
      </c>
      <c r="F99" s="238">
        <f t="shared" si="13"/>
        <v>0.16606929510155316</v>
      </c>
    </row>
    <row r="100" spans="1:6" ht="20.25" customHeight="1" x14ac:dyDescent="0.3">
      <c r="A100" s="235">
        <v>9</v>
      </c>
      <c r="B100" s="236" t="s">
        <v>440</v>
      </c>
      <c r="C100" s="239">
        <v>299</v>
      </c>
      <c r="D100" s="239">
        <v>335</v>
      </c>
      <c r="E100" s="239">
        <f t="shared" si="12"/>
        <v>36</v>
      </c>
      <c r="F100" s="238">
        <f t="shared" si="13"/>
        <v>0.12040133779264214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24706807</v>
      </c>
      <c r="D101" s="243">
        <f>+D92+D94</f>
        <v>58641063</v>
      </c>
      <c r="E101" s="243">
        <f t="shared" si="12"/>
        <v>33934256</v>
      </c>
      <c r="F101" s="244">
        <f t="shared" si="13"/>
        <v>1.3734780054743618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8168486</v>
      </c>
      <c r="D102" s="243">
        <f>+D93+D95</f>
        <v>21889552</v>
      </c>
      <c r="E102" s="243">
        <f t="shared" si="12"/>
        <v>13721066</v>
      </c>
      <c r="F102" s="244">
        <f t="shared" si="13"/>
        <v>1.6797563220405838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15138435</v>
      </c>
      <c r="D118" s="237">
        <v>12734402</v>
      </c>
      <c r="E118" s="237">
        <f t="shared" ref="E118:E128" si="16">D118-C118</f>
        <v>-2404033</v>
      </c>
      <c r="F118" s="238">
        <f t="shared" ref="F118:F128" si="17">IF(C118=0,0,E118/C118)</f>
        <v>-0.15880327127605992</v>
      </c>
    </row>
    <row r="119" spans="1:6" ht="20.25" customHeight="1" x14ac:dyDescent="0.3">
      <c r="A119" s="235">
        <v>2</v>
      </c>
      <c r="B119" s="236" t="s">
        <v>435</v>
      </c>
      <c r="C119" s="237">
        <v>6160092</v>
      </c>
      <c r="D119" s="237">
        <v>4883152</v>
      </c>
      <c r="E119" s="237">
        <f t="shared" si="16"/>
        <v>-1276940</v>
      </c>
      <c r="F119" s="238">
        <f t="shared" si="17"/>
        <v>-0.20729235862061801</v>
      </c>
    </row>
    <row r="120" spans="1:6" ht="20.25" customHeight="1" x14ac:dyDescent="0.3">
      <c r="A120" s="235">
        <v>3</v>
      </c>
      <c r="B120" s="236" t="s">
        <v>436</v>
      </c>
      <c r="C120" s="237">
        <v>4904040</v>
      </c>
      <c r="D120" s="237">
        <v>5251036</v>
      </c>
      <c r="E120" s="237">
        <f t="shared" si="16"/>
        <v>346996</v>
      </c>
      <c r="F120" s="238">
        <f t="shared" si="17"/>
        <v>7.0757171638077987E-2</v>
      </c>
    </row>
    <row r="121" spans="1:6" ht="20.25" customHeight="1" x14ac:dyDescent="0.3">
      <c r="A121" s="235">
        <v>4</v>
      </c>
      <c r="B121" s="236" t="s">
        <v>437</v>
      </c>
      <c r="C121" s="237">
        <v>1798630</v>
      </c>
      <c r="D121" s="237">
        <v>1408950</v>
      </c>
      <c r="E121" s="237">
        <f t="shared" si="16"/>
        <v>-389680</v>
      </c>
      <c r="F121" s="238">
        <f t="shared" si="17"/>
        <v>-0.21665378649305306</v>
      </c>
    </row>
    <row r="122" spans="1:6" ht="20.25" customHeight="1" x14ac:dyDescent="0.3">
      <c r="A122" s="235">
        <v>5</v>
      </c>
      <c r="B122" s="236" t="s">
        <v>373</v>
      </c>
      <c r="C122" s="239">
        <v>375</v>
      </c>
      <c r="D122" s="239">
        <v>333</v>
      </c>
      <c r="E122" s="239">
        <f t="shared" si="16"/>
        <v>-42</v>
      </c>
      <c r="F122" s="238">
        <f t="shared" si="17"/>
        <v>-0.112</v>
      </c>
    </row>
    <row r="123" spans="1:6" ht="20.25" customHeight="1" x14ac:dyDescent="0.3">
      <c r="A123" s="235">
        <v>6</v>
      </c>
      <c r="B123" s="236" t="s">
        <v>372</v>
      </c>
      <c r="C123" s="239">
        <v>2287</v>
      </c>
      <c r="D123" s="239">
        <v>2017</v>
      </c>
      <c r="E123" s="239">
        <f t="shared" si="16"/>
        <v>-270</v>
      </c>
      <c r="F123" s="238">
        <f t="shared" si="17"/>
        <v>-0.11805859204197638</v>
      </c>
    </row>
    <row r="124" spans="1:6" ht="20.25" customHeight="1" x14ac:dyDescent="0.3">
      <c r="A124" s="235">
        <v>7</v>
      </c>
      <c r="B124" s="236" t="s">
        <v>438</v>
      </c>
      <c r="C124" s="239">
        <v>908</v>
      </c>
      <c r="D124" s="239">
        <v>823</v>
      </c>
      <c r="E124" s="239">
        <f t="shared" si="16"/>
        <v>-85</v>
      </c>
      <c r="F124" s="238">
        <f t="shared" si="17"/>
        <v>-9.361233480176212E-2</v>
      </c>
    </row>
    <row r="125" spans="1:6" ht="20.25" customHeight="1" x14ac:dyDescent="0.3">
      <c r="A125" s="235">
        <v>8</v>
      </c>
      <c r="B125" s="236" t="s">
        <v>439</v>
      </c>
      <c r="C125" s="239">
        <v>264</v>
      </c>
      <c r="D125" s="239">
        <v>308</v>
      </c>
      <c r="E125" s="239">
        <f t="shared" si="16"/>
        <v>44</v>
      </c>
      <c r="F125" s="238">
        <f t="shared" si="17"/>
        <v>0.16666666666666666</v>
      </c>
    </row>
    <row r="126" spans="1:6" ht="20.25" customHeight="1" x14ac:dyDescent="0.3">
      <c r="A126" s="235">
        <v>9</v>
      </c>
      <c r="B126" s="236" t="s">
        <v>440</v>
      </c>
      <c r="C126" s="239">
        <v>225</v>
      </c>
      <c r="D126" s="239">
        <v>252</v>
      </c>
      <c r="E126" s="239">
        <f t="shared" si="16"/>
        <v>27</v>
      </c>
      <c r="F126" s="238">
        <f t="shared" si="17"/>
        <v>0.12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20042475</v>
      </c>
      <c r="D127" s="243">
        <f>+D118+D120</f>
        <v>17985438</v>
      </c>
      <c r="E127" s="243">
        <f t="shared" si="16"/>
        <v>-2057037</v>
      </c>
      <c r="F127" s="244">
        <f t="shared" si="17"/>
        <v>-0.10263388129460059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7958722</v>
      </c>
      <c r="D128" s="243">
        <f>+D119+D121</f>
        <v>6292102</v>
      </c>
      <c r="E128" s="243">
        <f t="shared" si="16"/>
        <v>-1666620</v>
      </c>
      <c r="F128" s="244">
        <f t="shared" si="17"/>
        <v>-0.209407992891321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99625478</v>
      </c>
      <c r="D198" s="243">
        <f t="shared" si="28"/>
        <v>110630965</v>
      </c>
      <c r="E198" s="243">
        <f t="shared" ref="E198:E208" si="29">D198-C198</f>
        <v>11005487</v>
      </c>
      <c r="F198" s="251">
        <f t="shared" ref="F198:F208" si="30">IF(C198=0,0,E198/C198)</f>
        <v>0.1104685992071225</v>
      </c>
    </row>
    <row r="199" spans="1:9" ht="20.25" customHeight="1" x14ac:dyDescent="0.3">
      <c r="A199" s="249"/>
      <c r="B199" s="250" t="s">
        <v>461</v>
      </c>
      <c r="C199" s="243">
        <f t="shared" si="28"/>
        <v>37739964</v>
      </c>
      <c r="D199" s="243">
        <f t="shared" si="28"/>
        <v>42578442</v>
      </c>
      <c r="E199" s="243">
        <f t="shared" si="29"/>
        <v>4838478</v>
      </c>
      <c r="F199" s="251">
        <f t="shared" si="30"/>
        <v>0.12820568668269</v>
      </c>
    </row>
    <row r="200" spans="1:9" ht="20.25" customHeight="1" x14ac:dyDescent="0.3">
      <c r="A200" s="249"/>
      <c r="B200" s="250" t="s">
        <v>462</v>
      </c>
      <c r="C200" s="243">
        <f t="shared" si="28"/>
        <v>28489561</v>
      </c>
      <c r="D200" s="243">
        <f t="shared" si="28"/>
        <v>41982330</v>
      </c>
      <c r="E200" s="243">
        <f t="shared" si="29"/>
        <v>13492769</v>
      </c>
      <c r="F200" s="251">
        <f t="shared" si="30"/>
        <v>0.47360396322007209</v>
      </c>
    </row>
    <row r="201" spans="1:9" ht="20.25" customHeight="1" x14ac:dyDescent="0.3">
      <c r="A201" s="249"/>
      <c r="B201" s="250" t="s">
        <v>463</v>
      </c>
      <c r="C201" s="243">
        <f t="shared" si="28"/>
        <v>8741023</v>
      </c>
      <c r="D201" s="243">
        <f t="shared" si="28"/>
        <v>12728190</v>
      </c>
      <c r="E201" s="243">
        <f t="shared" si="29"/>
        <v>3987167</v>
      </c>
      <c r="F201" s="251">
        <f t="shared" si="30"/>
        <v>0.45614420646187526</v>
      </c>
    </row>
    <row r="202" spans="1:9" ht="20.25" customHeight="1" x14ac:dyDescent="0.3">
      <c r="A202" s="249"/>
      <c r="B202" s="250" t="s">
        <v>464</v>
      </c>
      <c r="C202" s="252">
        <f t="shared" si="28"/>
        <v>2277</v>
      </c>
      <c r="D202" s="252">
        <f t="shared" si="28"/>
        <v>2474</v>
      </c>
      <c r="E202" s="252">
        <f t="shared" si="29"/>
        <v>197</v>
      </c>
      <c r="F202" s="251">
        <f t="shared" si="30"/>
        <v>8.6517347386912608E-2</v>
      </c>
    </row>
    <row r="203" spans="1:9" ht="20.25" customHeight="1" x14ac:dyDescent="0.3">
      <c r="A203" s="249"/>
      <c r="B203" s="250" t="s">
        <v>465</v>
      </c>
      <c r="C203" s="252">
        <f t="shared" si="28"/>
        <v>14222</v>
      </c>
      <c r="D203" s="252">
        <f t="shared" si="28"/>
        <v>15309</v>
      </c>
      <c r="E203" s="252">
        <f t="shared" si="29"/>
        <v>1087</v>
      </c>
      <c r="F203" s="251">
        <f t="shared" si="30"/>
        <v>7.6430881732527073E-2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6658</v>
      </c>
      <c r="D204" s="252">
        <f t="shared" si="28"/>
        <v>9001</v>
      </c>
      <c r="E204" s="252">
        <f t="shared" si="29"/>
        <v>2343</v>
      </c>
      <c r="F204" s="251">
        <f t="shared" si="30"/>
        <v>0.35190747972364073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2301</v>
      </c>
      <c r="D205" s="252">
        <f t="shared" si="28"/>
        <v>2682</v>
      </c>
      <c r="E205" s="252">
        <f t="shared" si="29"/>
        <v>381</v>
      </c>
      <c r="F205" s="251">
        <f t="shared" si="30"/>
        <v>0.16558018252933507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1394</v>
      </c>
      <c r="D206" s="252">
        <f t="shared" si="28"/>
        <v>1563</v>
      </c>
      <c r="E206" s="252">
        <f t="shared" si="29"/>
        <v>169</v>
      </c>
      <c r="F206" s="251">
        <f t="shared" si="30"/>
        <v>0.1212338593974175</v>
      </c>
    </row>
    <row r="207" spans="1:9" ht="20.25" customHeight="1" x14ac:dyDescent="0.3">
      <c r="A207" s="249"/>
      <c r="B207" s="242" t="s">
        <v>469</v>
      </c>
      <c r="C207" s="243">
        <f>+C198+C200</f>
        <v>128115039</v>
      </c>
      <c r="D207" s="243">
        <f>+D198+D200</f>
        <v>152613295</v>
      </c>
      <c r="E207" s="243">
        <f t="shared" si="29"/>
        <v>24498256</v>
      </c>
      <c r="F207" s="251">
        <f t="shared" si="30"/>
        <v>0.19122076682972403</v>
      </c>
    </row>
    <row r="208" spans="1:9" ht="20.25" customHeight="1" x14ac:dyDescent="0.3">
      <c r="A208" s="249"/>
      <c r="B208" s="242" t="s">
        <v>470</v>
      </c>
      <c r="C208" s="243">
        <f>+C199+C201</f>
        <v>46480987</v>
      </c>
      <c r="D208" s="243">
        <f>+D199+D201</f>
        <v>55306632</v>
      </c>
      <c r="E208" s="243">
        <f t="shared" si="29"/>
        <v>8825645</v>
      </c>
      <c r="F208" s="251">
        <f t="shared" si="30"/>
        <v>0.1898764542155699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FILING&amp;RHARTFORD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24454088</v>
      </c>
      <c r="D26" s="237">
        <v>27196435</v>
      </c>
      <c r="E26" s="237">
        <f t="shared" ref="E26:E36" si="2">D26-C26</f>
        <v>2742347</v>
      </c>
      <c r="F26" s="238">
        <f t="shared" ref="F26:F36" si="3">IF(C26=0,0,E26/C26)</f>
        <v>0.11214268141997362</v>
      </c>
    </row>
    <row r="27" spans="1:6" ht="20.25" customHeight="1" x14ac:dyDescent="0.3">
      <c r="A27" s="235">
        <v>2</v>
      </c>
      <c r="B27" s="236" t="s">
        <v>435</v>
      </c>
      <c r="C27" s="237">
        <v>9698271</v>
      </c>
      <c r="D27" s="237">
        <v>7406664</v>
      </c>
      <c r="E27" s="237">
        <f t="shared" si="2"/>
        <v>-2291607</v>
      </c>
      <c r="F27" s="238">
        <f t="shared" si="3"/>
        <v>-0.23629026246018492</v>
      </c>
    </row>
    <row r="28" spans="1:6" ht="20.25" customHeight="1" x14ac:dyDescent="0.3">
      <c r="A28" s="235">
        <v>3</v>
      </c>
      <c r="B28" s="236" t="s">
        <v>436</v>
      </c>
      <c r="C28" s="237">
        <v>21017953</v>
      </c>
      <c r="D28" s="237">
        <v>21744971</v>
      </c>
      <c r="E28" s="237">
        <f t="shared" si="2"/>
        <v>727018</v>
      </c>
      <c r="F28" s="238">
        <f t="shared" si="3"/>
        <v>3.4590333321232569E-2</v>
      </c>
    </row>
    <row r="29" spans="1:6" ht="20.25" customHeight="1" x14ac:dyDescent="0.3">
      <c r="A29" s="235">
        <v>4</v>
      </c>
      <c r="B29" s="236" t="s">
        <v>437</v>
      </c>
      <c r="C29" s="237">
        <v>6380219</v>
      </c>
      <c r="D29" s="237">
        <v>6986241</v>
      </c>
      <c r="E29" s="237">
        <f t="shared" si="2"/>
        <v>606022</v>
      </c>
      <c r="F29" s="238">
        <f t="shared" si="3"/>
        <v>9.498451385446173E-2</v>
      </c>
    </row>
    <row r="30" spans="1:6" ht="20.25" customHeight="1" x14ac:dyDescent="0.3">
      <c r="A30" s="235">
        <v>5</v>
      </c>
      <c r="B30" s="236" t="s">
        <v>373</v>
      </c>
      <c r="C30" s="239">
        <v>1712</v>
      </c>
      <c r="D30" s="239">
        <v>1716</v>
      </c>
      <c r="E30" s="239">
        <f t="shared" si="2"/>
        <v>4</v>
      </c>
      <c r="F30" s="238">
        <f t="shared" si="3"/>
        <v>2.3364485981308409E-3</v>
      </c>
    </row>
    <row r="31" spans="1:6" ht="20.25" customHeight="1" x14ac:dyDescent="0.3">
      <c r="A31" s="235">
        <v>6</v>
      </c>
      <c r="B31" s="236" t="s">
        <v>372</v>
      </c>
      <c r="C31" s="239">
        <v>5387</v>
      </c>
      <c r="D31" s="239">
        <v>5302</v>
      </c>
      <c r="E31" s="239">
        <f t="shared" si="2"/>
        <v>-85</v>
      </c>
      <c r="F31" s="238">
        <f t="shared" si="3"/>
        <v>-1.5778726563950251E-2</v>
      </c>
    </row>
    <row r="32" spans="1:6" ht="20.25" customHeight="1" x14ac:dyDescent="0.3">
      <c r="A32" s="235">
        <v>7</v>
      </c>
      <c r="B32" s="236" t="s">
        <v>438</v>
      </c>
      <c r="C32" s="239">
        <v>27117</v>
      </c>
      <c r="D32" s="239">
        <v>20544</v>
      </c>
      <c r="E32" s="239">
        <f t="shared" si="2"/>
        <v>-6573</v>
      </c>
      <c r="F32" s="238">
        <f t="shared" si="3"/>
        <v>-0.24239407014050227</v>
      </c>
    </row>
    <row r="33" spans="1:6" ht="20.25" customHeight="1" x14ac:dyDescent="0.3">
      <c r="A33" s="235">
        <v>8</v>
      </c>
      <c r="B33" s="236" t="s">
        <v>439</v>
      </c>
      <c r="C33" s="239">
        <v>7106</v>
      </c>
      <c r="D33" s="239">
        <v>6464</v>
      </c>
      <c r="E33" s="239">
        <f t="shared" si="2"/>
        <v>-642</v>
      </c>
      <c r="F33" s="238">
        <f t="shared" si="3"/>
        <v>-9.0346186321418526E-2</v>
      </c>
    </row>
    <row r="34" spans="1:6" ht="20.25" customHeight="1" x14ac:dyDescent="0.3">
      <c r="A34" s="235">
        <v>9</v>
      </c>
      <c r="B34" s="236" t="s">
        <v>440</v>
      </c>
      <c r="C34" s="239">
        <v>302</v>
      </c>
      <c r="D34" s="239">
        <v>262</v>
      </c>
      <c r="E34" s="239">
        <f t="shared" si="2"/>
        <v>-40</v>
      </c>
      <c r="F34" s="238">
        <f t="shared" si="3"/>
        <v>-0.13245033112582782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45472041</v>
      </c>
      <c r="D35" s="243">
        <f>+D26+D28</f>
        <v>48941406</v>
      </c>
      <c r="E35" s="243">
        <f t="shared" si="2"/>
        <v>3469365</v>
      </c>
      <c r="F35" s="244">
        <f t="shared" si="3"/>
        <v>7.6296663261717232E-2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16078490</v>
      </c>
      <c r="D36" s="243">
        <f>+D27+D29</f>
        <v>14392905</v>
      </c>
      <c r="E36" s="243">
        <f t="shared" si="2"/>
        <v>-1685585</v>
      </c>
      <c r="F36" s="244">
        <f t="shared" si="3"/>
        <v>-0.10483478237073257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171070</v>
      </c>
      <c r="D50" s="237">
        <v>0</v>
      </c>
      <c r="E50" s="237">
        <f t="shared" ref="E50:E60" si="6">D50-C50</f>
        <v>-171070</v>
      </c>
      <c r="F50" s="238">
        <f t="shared" ref="F50:F60" si="7">IF(C50=0,0,E50/C50)</f>
        <v>-1</v>
      </c>
    </row>
    <row r="51" spans="1:6" ht="20.25" customHeight="1" x14ac:dyDescent="0.3">
      <c r="A51" s="235">
        <v>2</v>
      </c>
      <c r="B51" s="236" t="s">
        <v>435</v>
      </c>
      <c r="C51" s="237">
        <v>165927</v>
      </c>
      <c r="D51" s="237">
        <v>0</v>
      </c>
      <c r="E51" s="237">
        <f t="shared" si="6"/>
        <v>-165927</v>
      </c>
      <c r="F51" s="238">
        <f t="shared" si="7"/>
        <v>-1</v>
      </c>
    </row>
    <row r="52" spans="1:6" ht="20.25" customHeight="1" x14ac:dyDescent="0.3">
      <c r="A52" s="235">
        <v>3</v>
      </c>
      <c r="B52" s="236" t="s">
        <v>436</v>
      </c>
      <c r="C52" s="237">
        <v>38337</v>
      </c>
      <c r="D52" s="237">
        <v>0</v>
      </c>
      <c r="E52" s="237">
        <f t="shared" si="6"/>
        <v>-38337</v>
      </c>
      <c r="F52" s="238">
        <f t="shared" si="7"/>
        <v>-1</v>
      </c>
    </row>
    <row r="53" spans="1:6" ht="20.25" customHeight="1" x14ac:dyDescent="0.3">
      <c r="A53" s="235">
        <v>4</v>
      </c>
      <c r="B53" s="236" t="s">
        <v>437</v>
      </c>
      <c r="C53" s="237">
        <v>31110</v>
      </c>
      <c r="D53" s="237">
        <v>0</v>
      </c>
      <c r="E53" s="237">
        <f t="shared" si="6"/>
        <v>-31110</v>
      </c>
      <c r="F53" s="238">
        <f t="shared" si="7"/>
        <v>-1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190</v>
      </c>
      <c r="D55" s="239">
        <v>0</v>
      </c>
      <c r="E55" s="239">
        <f t="shared" si="6"/>
        <v>-190</v>
      </c>
      <c r="F55" s="238">
        <f t="shared" si="7"/>
        <v>-1</v>
      </c>
    </row>
    <row r="56" spans="1:6" ht="20.25" customHeight="1" x14ac:dyDescent="0.3">
      <c r="A56" s="235">
        <v>7</v>
      </c>
      <c r="B56" s="236" t="s">
        <v>438</v>
      </c>
      <c r="C56" s="239">
        <v>10</v>
      </c>
      <c r="D56" s="239">
        <v>0</v>
      </c>
      <c r="E56" s="239">
        <f t="shared" si="6"/>
        <v>-10</v>
      </c>
      <c r="F56" s="238">
        <f t="shared" si="7"/>
        <v>-1</v>
      </c>
    </row>
    <row r="57" spans="1:6" ht="20.25" customHeight="1" x14ac:dyDescent="0.3">
      <c r="A57" s="235">
        <v>8</v>
      </c>
      <c r="B57" s="236" t="s">
        <v>439</v>
      </c>
      <c r="C57" s="239">
        <v>17</v>
      </c>
      <c r="D57" s="239">
        <v>0</v>
      </c>
      <c r="E57" s="239">
        <f t="shared" si="6"/>
        <v>-17</v>
      </c>
      <c r="F57" s="238">
        <f t="shared" si="7"/>
        <v>-1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209407</v>
      </c>
      <c r="D59" s="243">
        <f>+D50+D52</f>
        <v>0</v>
      </c>
      <c r="E59" s="243">
        <f t="shared" si="6"/>
        <v>-209407</v>
      </c>
      <c r="F59" s="244">
        <f t="shared" si="7"/>
        <v>-1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197037</v>
      </c>
      <c r="D60" s="243">
        <f>+D51+D53</f>
        <v>0</v>
      </c>
      <c r="E60" s="243">
        <f t="shared" si="6"/>
        <v>-197037</v>
      </c>
      <c r="F60" s="244">
        <f t="shared" si="7"/>
        <v>-1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6212249</v>
      </c>
      <c r="D86" s="237">
        <v>7694578</v>
      </c>
      <c r="E86" s="237">
        <f t="shared" ref="E86:E96" si="12">D86-C86</f>
        <v>1482329</v>
      </c>
      <c r="F86" s="238">
        <f t="shared" ref="F86:F96" si="13">IF(C86=0,0,E86/C86)</f>
        <v>0.23861390617150086</v>
      </c>
    </row>
    <row r="87" spans="1:6" ht="20.25" customHeight="1" x14ac:dyDescent="0.3">
      <c r="A87" s="235">
        <v>2</v>
      </c>
      <c r="B87" s="236" t="s">
        <v>435</v>
      </c>
      <c r="C87" s="237">
        <v>2735907</v>
      </c>
      <c r="D87" s="237">
        <v>3512597</v>
      </c>
      <c r="E87" s="237">
        <f t="shared" si="12"/>
        <v>776690</v>
      </c>
      <c r="F87" s="238">
        <f t="shared" si="13"/>
        <v>0.28388757366387091</v>
      </c>
    </row>
    <row r="88" spans="1:6" ht="20.25" customHeight="1" x14ac:dyDescent="0.3">
      <c r="A88" s="235">
        <v>3</v>
      </c>
      <c r="B88" s="236" t="s">
        <v>436</v>
      </c>
      <c r="C88" s="237">
        <v>5567336</v>
      </c>
      <c r="D88" s="237">
        <v>6021112</v>
      </c>
      <c r="E88" s="237">
        <f t="shared" si="12"/>
        <v>453776</v>
      </c>
      <c r="F88" s="238">
        <f t="shared" si="13"/>
        <v>8.1506846362425403E-2</v>
      </c>
    </row>
    <row r="89" spans="1:6" ht="20.25" customHeight="1" x14ac:dyDescent="0.3">
      <c r="A89" s="235">
        <v>4</v>
      </c>
      <c r="B89" s="236" t="s">
        <v>437</v>
      </c>
      <c r="C89" s="237">
        <v>1551703</v>
      </c>
      <c r="D89" s="237">
        <v>1837407</v>
      </c>
      <c r="E89" s="237">
        <f t="shared" si="12"/>
        <v>285704</v>
      </c>
      <c r="F89" s="238">
        <f t="shared" si="13"/>
        <v>0.18412286371812131</v>
      </c>
    </row>
    <row r="90" spans="1:6" ht="20.25" customHeight="1" x14ac:dyDescent="0.3">
      <c r="A90" s="235">
        <v>5</v>
      </c>
      <c r="B90" s="236" t="s">
        <v>373</v>
      </c>
      <c r="C90" s="239">
        <v>554</v>
      </c>
      <c r="D90" s="239">
        <v>535</v>
      </c>
      <c r="E90" s="239">
        <f t="shared" si="12"/>
        <v>-19</v>
      </c>
      <c r="F90" s="238">
        <f t="shared" si="13"/>
        <v>-3.4296028880866428E-2</v>
      </c>
    </row>
    <row r="91" spans="1:6" ht="20.25" customHeight="1" x14ac:dyDescent="0.3">
      <c r="A91" s="235">
        <v>6</v>
      </c>
      <c r="B91" s="236" t="s">
        <v>372</v>
      </c>
      <c r="C91" s="239">
        <v>1651</v>
      </c>
      <c r="D91" s="239">
        <v>1617</v>
      </c>
      <c r="E91" s="239">
        <f t="shared" si="12"/>
        <v>-34</v>
      </c>
      <c r="F91" s="238">
        <f t="shared" si="13"/>
        <v>-2.0593579648697759E-2</v>
      </c>
    </row>
    <row r="92" spans="1:6" ht="20.25" customHeight="1" x14ac:dyDescent="0.3">
      <c r="A92" s="235">
        <v>7</v>
      </c>
      <c r="B92" s="236" t="s">
        <v>438</v>
      </c>
      <c r="C92" s="239">
        <v>7807</v>
      </c>
      <c r="D92" s="239">
        <v>6319</v>
      </c>
      <c r="E92" s="239">
        <f t="shared" si="12"/>
        <v>-1488</v>
      </c>
      <c r="F92" s="238">
        <f t="shared" si="13"/>
        <v>-0.19059818111950813</v>
      </c>
    </row>
    <row r="93" spans="1:6" ht="20.25" customHeight="1" x14ac:dyDescent="0.3">
      <c r="A93" s="235">
        <v>8</v>
      </c>
      <c r="B93" s="236" t="s">
        <v>439</v>
      </c>
      <c r="C93" s="239">
        <v>2240</v>
      </c>
      <c r="D93" s="239">
        <v>2033</v>
      </c>
      <c r="E93" s="239">
        <f t="shared" si="12"/>
        <v>-207</v>
      </c>
      <c r="F93" s="238">
        <f t="shared" si="13"/>
        <v>-9.241071428571429E-2</v>
      </c>
    </row>
    <row r="94" spans="1:6" ht="20.25" customHeight="1" x14ac:dyDescent="0.3">
      <c r="A94" s="235">
        <v>9</v>
      </c>
      <c r="B94" s="236" t="s">
        <v>440</v>
      </c>
      <c r="C94" s="239">
        <v>78</v>
      </c>
      <c r="D94" s="239">
        <v>82</v>
      </c>
      <c r="E94" s="239">
        <f t="shared" si="12"/>
        <v>4</v>
      </c>
      <c r="F94" s="238">
        <f t="shared" si="13"/>
        <v>5.128205128205128E-2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11779585</v>
      </c>
      <c r="D95" s="243">
        <f>+D86+D88</f>
        <v>13715690</v>
      </c>
      <c r="E95" s="243">
        <f t="shared" si="12"/>
        <v>1936105</v>
      </c>
      <c r="F95" s="244">
        <f t="shared" si="13"/>
        <v>0.16436105346665439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4287610</v>
      </c>
      <c r="D96" s="243">
        <f>+D87+D89</f>
        <v>5350004</v>
      </c>
      <c r="E96" s="243">
        <f t="shared" si="12"/>
        <v>1062394</v>
      </c>
      <c r="F96" s="244">
        <f t="shared" si="13"/>
        <v>0.24778233094894359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14060159</v>
      </c>
      <c r="D98" s="237">
        <v>14366512</v>
      </c>
      <c r="E98" s="237">
        <f t="shared" ref="E98:E108" si="14">D98-C98</f>
        <v>306353</v>
      </c>
      <c r="F98" s="238">
        <f t="shared" ref="F98:F108" si="15">IF(C98=0,0,E98/C98)</f>
        <v>2.1788729416217838E-2</v>
      </c>
    </row>
    <row r="99" spans="1:7" ht="20.25" customHeight="1" x14ac:dyDescent="0.3">
      <c r="A99" s="235">
        <v>2</v>
      </c>
      <c r="B99" s="236" t="s">
        <v>435</v>
      </c>
      <c r="C99" s="237">
        <v>5769767</v>
      </c>
      <c r="D99" s="237">
        <v>6422512</v>
      </c>
      <c r="E99" s="237">
        <f t="shared" si="14"/>
        <v>652745</v>
      </c>
      <c r="F99" s="238">
        <f t="shared" si="15"/>
        <v>0.11313195142888785</v>
      </c>
    </row>
    <row r="100" spans="1:7" ht="20.25" customHeight="1" x14ac:dyDescent="0.3">
      <c r="A100" s="235">
        <v>3</v>
      </c>
      <c r="B100" s="236" t="s">
        <v>436</v>
      </c>
      <c r="C100" s="237">
        <v>11567172</v>
      </c>
      <c r="D100" s="237">
        <v>12006371</v>
      </c>
      <c r="E100" s="237">
        <f t="shared" si="14"/>
        <v>439199</v>
      </c>
      <c r="F100" s="238">
        <f t="shared" si="15"/>
        <v>3.7969436263245677E-2</v>
      </c>
    </row>
    <row r="101" spans="1:7" ht="20.25" customHeight="1" x14ac:dyDescent="0.3">
      <c r="A101" s="235">
        <v>4</v>
      </c>
      <c r="B101" s="236" t="s">
        <v>437</v>
      </c>
      <c r="C101" s="237">
        <v>3261385</v>
      </c>
      <c r="D101" s="237">
        <v>3596568</v>
      </c>
      <c r="E101" s="237">
        <f t="shared" si="14"/>
        <v>335183</v>
      </c>
      <c r="F101" s="238">
        <f t="shared" si="15"/>
        <v>0.10277320831487237</v>
      </c>
    </row>
    <row r="102" spans="1:7" ht="20.25" customHeight="1" x14ac:dyDescent="0.3">
      <c r="A102" s="235">
        <v>5</v>
      </c>
      <c r="B102" s="236" t="s">
        <v>373</v>
      </c>
      <c r="C102" s="239">
        <v>1075</v>
      </c>
      <c r="D102" s="239">
        <v>990</v>
      </c>
      <c r="E102" s="239">
        <f t="shared" si="14"/>
        <v>-85</v>
      </c>
      <c r="F102" s="238">
        <f t="shared" si="15"/>
        <v>-7.9069767441860464E-2</v>
      </c>
    </row>
    <row r="103" spans="1:7" ht="20.25" customHeight="1" x14ac:dyDescent="0.3">
      <c r="A103" s="235">
        <v>6</v>
      </c>
      <c r="B103" s="236" t="s">
        <v>372</v>
      </c>
      <c r="C103" s="239">
        <v>3344</v>
      </c>
      <c r="D103" s="239">
        <v>3062</v>
      </c>
      <c r="E103" s="239">
        <f t="shared" si="14"/>
        <v>-282</v>
      </c>
      <c r="F103" s="238">
        <f t="shared" si="15"/>
        <v>-8.4330143540669852E-2</v>
      </c>
    </row>
    <row r="104" spans="1:7" ht="20.25" customHeight="1" x14ac:dyDescent="0.3">
      <c r="A104" s="235">
        <v>7</v>
      </c>
      <c r="B104" s="236" t="s">
        <v>438</v>
      </c>
      <c r="C104" s="239">
        <v>14125</v>
      </c>
      <c r="D104" s="239">
        <v>12141</v>
      </c>
      <c r="E104" s="239">
        <f t="shared" si="14"/>
        <v>-1984</v>
      </c>
      <c r="F104" s="238">
        <f t="shared" si="15"/>
        <v>-0.14046017699115043</v>
      </c>
    </row>
    <row r="105" spans="1:7" ht="20.25" customHeight="1" x14ac:dyDescent="0.3">
      <c r="A105" s="235">
        <v>8</v>
      </c>
      <c r="B105" s="236" t="s">
        <v>439</v>
      </c>
      <c r="C105" s="239">
        <v>4229</v>
      </c>
      <c r="D105" s="239">
        <v>3837</v>
      </c>
      <c r="E105" s="239">
        <f t="shared" si="14"/>
        <v>-392</v>
      </c>
      <c r="F105" s="238">
        <f t="shared" si="15"/>
        <v>-9.2693308110664466E-2</v>
      </c>
    </row>
    <row r="106" spans="1:7" ht="20.25" customHeight="1" x14ac:dyDescent="0.3">
      <c r="A106" s="235">
        <v>9</v>
      </c>
      <c r="B106" s="236" t="s">
        <v>440</v>
      </c>
      <c r="C106" s="239">
        <v>207</v>
      </c>
      <c r="D106" s="239">
        <v>156</v>
      </c>
      <c r="E106" s="239">
        <f t="shared" si="14"/>
        <v>-51</v>
      </c>
      <c r="F106" s="238">
        <f t="shared" si="15"/>
        <v>-0.24637681159420291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25627331</v>
      </c>
      <c r="D107" s="243">
        <f>+D98+D100</f>
        <v>26372883</v>
      </c>
      <c r="E107" s="243">
        <f t="shared" si="14"/>
        <v>745552</v>
      </c>
      <c r="F107" s="244">
        <f t="shared" si="15"/>
        <v>2.9092065810520807E-2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9031152</v>
      </c>
      <c r="D108" s="243">
        <f>+D99+D101</f>
        <v>10019080</v>
      </c>
      <c r="E108" s="243">
        <f t="shared" si="14"/>
        <v>987928</v>
      </c>
      <c r="F108" s="244">
        <f t="shared" si="15"/>
        <v>0.10939113858342768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44897566</v>
      </c>
      <c r="D112" s="243">
        <f t="shared" si="16"/>
        <v>49257525</v>
      </c>
      <c r="E112" s="243">
        <f t="shared" ref="E112:E122" si="17">D112-C112</f>
        <v>4359959</v>
      </c>
      <c r="F112" s="244">
        <f t="shared" ref="F112:F122" si="18">IF(C112=0,0,E112/C112)</f>
        <v>9.7109028137516401E-2</v>
      </c>
    </row>
    <row r="113" spans="1:6" ht="20.25" customHeight="1" x14ac:dyDescent="0.3">
      <c r="A113" s="249"/>
      <c r="B113" s="250" t="s">
        <v>461</v>
      </c>
      <c r="C113" s="243">
        <f t="shared" si="16"/>
        <v>18369872</v>
      </c>
      <c r="D113" s="243">
        <f t="shared" si="16"/>
        <v>17341773</v>
      </c>
      <c r="E113" s="243">
        <f t="shared" si="17"/>
        <v>-1028099</v>
      </c>
      <c r="F113" s="244">
        <f t="shared" si="18"/>
        <v>-5.5966584851543877E-2</v>
      </c>
    </row>
    <row r="114" spans="1:6" ht="20.25" customHeight="1" x14ac:dyDescent="0.3">
      <c r="A114" s="249"/>
      <c r="B114" s="250" t="s">
        <v>462</v>
      </c>
      <c r="C114" s="243">
        <f t="shared" si="16"/>
        <v>38190798</v>
      </c>
      <c r="D114" s="243">
        <f t="shared" si="16"/>
        <v>39772454</v>
      </c>
      <c r="E114" s="243">
        <f t="shared" si="17"/>
        <v>1581656</v>
      </c>
      <c r="F114" s="244">
        <f t="shared" si="18"/>
        <v>4.1414583691076576E-2</v>
      </c>
    </row>
    <row r="115" spans="1:6" ht="20.25" customHeight="1" x14ac:dyDescent="0.3">
      <c r="A115" s="249"/>
      <c r="B115" s="250" t="s">
        <v>463</v>
      </c>
      <c r="C115" s="243">
        <f t="shared" si="16"/>
        <v>11224417</v>
      </c>
      <c r="D115" s="243">
        <f t="shared" si="16"/>
        <v>12420216</v>
      </c>
      <c r="E115" s="243">
        <f t="shared" si="17"/>
        <v>1195799</v>
      </c>
      <c r="F115" s="244">
        <f t="shared" si="18"/>
        <v>0.10653551093121362</v>
      </c>
    </row>
    <row r="116" spans="1:6" ht="20.25" customHeight="1" x14ac:dyDescent="0.3">
      <c r="A116" s="249"/>
      <c r="B116" s="250" t="s">
        <v>464</v>
      </c>
      <c r="C116" s="252">
        <f t="shared" si="16"/>
        <v>3341</v>
      </c>
      <c r="D116" s="252">
        <f t="shared" si="16"/>
        <v>3241</v>
      </c>
      <c r="E116" s="252">
        <f t="shared" si="17"/>
        <v>-100</v>
      </c>
      <c r="F116" s="244">
        <f t="shared" si="18"/>
        <v>-2.9931158335827598E-2</v>
      </c>
    </row>
    <row r="117" spans="1:6" ht="20.25" customHeight="1" x14ac:dyDescent="0.3">
      <c r="A117" s="249"/>
      <c r="B117" s="250" t="s">
        <v>465</v>
      </c>
      <c r="C117" s="252">
        <f t="shared" si="16"/>
        <v>10572</v>
      </c>
      <c r="D117" s="252">
        <f t="shared" si="16"/>
        <v>9981</v>
      </c>
      <c r="E117" s="252">
        <f t="shared" si="17"/>
        <v>-591</v>
      </c>
      <c r="F117" s="244">
        <f t="shared" si="18"/>
        <v>-5.5902383654937569E-2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49059</v>
      </c>
      <c r="D118" s="252">
        <f t="shared" si="16"/>
        <v>39004</v>
      </c>
      <c r="E118" s="252">
        <f t="shared" si="17"/>
        <v>-10055</v>
      </c>
      <c r="F118" s="244">
        <f t="shared" si="18"/>
        <v>-0.20495729631667992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13592</v>
      </c>
      <c r="D119" s="252">
        <f t="shared" si="16"/>
        <v>12334</v>
      </c>
      <c r="E119" s="252">
        <f t="shared" si="17"/>
        <v>-1258</v>
      </c>
      <c r="F119" s="244">
        <f t="shared" si="18"/>
        <v>-9.2554443790464985E-2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587</v>
      </c>
      <c r="D120" s="252">
        <f t="shared" si="16"/>
        <v>500</v>
      </c>
      <c r="E120" s="252">
        <f t="shared" si="17"/>
        <v>-87</v>
      </c>
      <c r="F120" s="244">
        <f t="shared" si="18"/>
        <v>-0.14821124361158433</v>
      </c>
    </row>
    <row r="121" spans="1:6" ht="39.950000000000003" customHeight="1" x14ac:dyDescent="0.3">
      <c r="A121" s="249"/>
      <c r="B121" s="242" t="s">
        <v>441</v>
      </c>
      <c r="C121" s="243">
        <f>+C112+C114</f>
        <v>83088364</v>
      </c>
      <c r="D121" s="243">
        <f>+D112+D114</f>
        <v>89029979</v>
      </c>
      <c r="E121" s="243">
        <f t="shared" si="17"/>
        <v>5941615</v>
      </c>
      <c r="F121" s="244">
        <f t="shared" si="18"/>
        <v>7.1509591884610937E-2</v>
      </c>
    </row>
    <row r="122" spans="1:6" ht="39.950000000000003" customHeight="1" x14ac:dyDescent="0.3">
      <c r="A122" s="249"/>
      <c r="B122" s="242" t="s">
        <v>470</v>
      </c>
      <c r="C122" s="243">
        <f>+C113+C115</f>
        <v>29594289</v>
      </c>
      <c r="D122" s="243">
        <f>+D113+D115</f>
        <v>29761989</v>
      </c>
      <c r="E122" s="243">
        <f t="shared" si="17"/>
        <v>167700</v>
      </c>
      <c r="F122" s="244">
        <f t="shared" si="18"/>
        <v>5.6666338562822039E-3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FILING&amp;RHARTFORD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90044000</v>
      </c>
      <c r="D13" s="23">
        <v>139631000</v>
      </c>
      <c r="E13" s="23">
        <f t="shared" ref="E13:E22" si="0">D13-C13</f>
        <v>49587000</v>
      </c>
      <c r="F13" s="24">
        <f t="shared" ref="F13:F22" si="1">IF(C13=0,0,E13/C13)</f>
        <v>0.55069743680867134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177076000</v>
      </c>
      <c r="D15" s="23">
        <v>241722000</v>
      </c>
      <c r="E15" s="23">
        <f t="shared" si="0"/>
        <v>64646000</v>
      </c>
      <c r="F15" s="24">
        <f t="shared" si="1"/>
        <v>0.36507488310104136</v>
      </c>
    </row>
    <row r="16" spans="1:8" ht="35.1" customHeight="1" x14ac:dyDescent="0.2">
      <c r="A16" s="21">
        <v>4</v>
      </c>
      <c r="B16" s="22" t="s">
        <v>19</v>
      </c>
      <c r="C16" s="23">
        <v>4305000</v>
      </c>
      <c r="D16" s="23">
        <v>5903000</v>
      </c>
      <c r="E16" s="23">
        <f t="shared" si="0"/>
        <v>1598000</v>
      </c>
      <c r="F16" s="24">
        <f t="shared" si="1"/>
        <v>0.37119628339140537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15055000</v>
      </c>
      <c r="D19" s="23">
        <v>21927000</v>
      </c>
      <c r="E19" s="23">
        <f t="shared" si="0"/>
        <v>6872000</v>
      </c>
      <c r="F19" s="24">
        <f t="shared" si="1"/>
        <v>0.45645964795748922</v>
      </c>
    </row>
    <row r="20" spans="1:11" ht="24" customHeight="1" x14ac:dyDescent="0.2">
      <c r="A20" s="21">
        <v>8</v>
      </c>
      <c r="B20" s="22" t="s">
        <v>23</v>
      </c>
      <c r="C20" s="23">
        <v>17543000</v>
      </c>
      <c r="D20" s="23">
        <v>22667000</v>
      </c>
      <c r="E20" s="23">
        <f t="shared" si="0"/>
        <v>5124000</v>
      </c>
      <c r="F20" s="24">
        <f t="shared" si="1"/>
        <v>0.2920823120332896</v>
      </c>
    </row>
    <row r="21" spans="1:11" ht="24" customHeight="1" x14ac:dyDescent="0.2">
      <c r="A21" s="21">
        <v>9</v>
      </c>
      <c r="B21" s="22" t="s">
        <v>24</v>
      </c>
      <c r="C21" s="23">
        <v>29897000</v>
      </c>
      <c r="D21" s="23">
        <v>30390000</v>
      </c>
      <c r="E21" s="23">
        <f t="shared" si="0"/>
        <v>493000</v>
      </c>
      <c r="F21" s="24">
        <f t="shared" si="1"/>
        <v>1.6489948824296753E-2</v>
      </c>
    </row>
    <row r="22" spans="1:11" ht="24" customHeight="1" x14ac:dyDescent="0.25">
      <c r="A22" s="25"/>
      <c r="B22" s="26" t="s">
        <v>25</v>
      </c>
      <c r="C22" s="27">
        <f>SUM(C13:C21)</f>
        <v>333920000</v>
      </c>
      <c r="D22" s="27">
        <f>SUM(D13:D21)</f>
        <v>462240000</v>
      </c>
      <c r="E22" s="27">
        <f t="shared" si="0"/>
        <v>128320000</v>
      </c>
      <c r="F22" s="28">
        <f t="shared" si="1"/>
        <v>0.38428366075706755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139270000</v>
      </c>
      <c r="D25" s="23">
        <v>148185000</v>
      </c>
      <c r="E25" s="23">
        <f>D25-C25</f>
        <v>8915000</v>
      </c>
      <c r="F25" s="24">
        <f>IF(C25=0,0,E25/C25)</f>
        <v>6.4012350111294608E-2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87044000</v>
      </c>
      <c r="E27" s="23">
        <f>D27-C27</f>
        <v>87044000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416021000</v>
      </c>
      <c r="D28" s="23">
        <v>571651000</v>
      </c>
      <c r="E28" s="23">
        <f>D28-C28</f>
        <v>155630000</v>
      </c>
      <c r="F28" s="24">
        <f>IF(C28=0,0,E28/C28)</f>
        <v>0.37409169248667734</v>
      </c>
    </row>
    <row r="29" spans="1:11" ht="35.1" customHeight="1" x14ac:dyDescent="0.25">
      <c r="A29" s="25"/>
      <c r="B29" s="26" t="s">
        <v>32</v>
      </c>
      <c r="C29" s="27">
        <f>SUM(C25:C28)</f>
        <v>555291000</v>
      </c>
      <c r="D29" s="27">
        <f>SUM(D25:D28)</f>
        <v>806880000</v>
      </c>
      <c r="E29" s="27">
        <f>D29-C29</f>
        <v>251589000</v>
      </c>
      <c r="F29" s="28">
        <f>IF(C29=0,0,E29/C29)</f>
        <v>0.45307595476966134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74274000</v>
      </c>
      <c r="D33" s="23">
        <v>122878000</v>
      </c>
      <c r="E33" s="23">
        <f>D33-C33</f>
        <v>48604000</v>
      </c>
      <c r="F33" s="24">
        <f>IF(C33=0,0,E33/C33)</f>
        <v>0.65438780730807555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1311929000</v>
      </c>
      <c r="D36" s="23">
        <v>1854571000</v>
      </c>
      <c r="E36" s="23">
        <f>D36-C36</f>
        <v>542642000</v>
      </c>
      <c r="F36" s="24">
        <f>IF(C36=0,0,E36/C36)</f>
        <v>0.41362146884473167</v>
      </c>
    </row>
    <row r="37" spans="1:8" ht="24" customHeight="1" x14ac:dyDescent="0.2">
      <c r="A37" s="21">
        <v>2</v>
      </c>
      <c r="B37" s="22" t="s">
        <v>39</v>
      </c>
      <c r="C37" s="23">
        <v>825327000</v>
      </c>
      <c r="D37" s="23">
        <v>1160721000</v>
      </c>
      <c r="E37" s="23">
        <f>D37-C37</f>
        <v>335394000</v>
      </c>
      <c r="F37" s="23">
        <f>IF(C37=0,0,E37/C37)</f>
        <v>0.40637710870963872</v>
      </c>
    </row>
    <row r="38" spans="1:8" ht="24" customHeight="1" x14ac:dyDescent="0.25">
      <c r="A38" s="25"/>
      <c r="B38" s="26" t="s">
        <v>40</v>
      </c>
      <c r="C38" s="27">
        <f>C36-C37</f>
        <v>486602000</v>
      </c>
      <c r="D38" s="27">
        <f>D36-D37</f>
        <v>693850000</v>
      </c>
      <c r="E38" s="27">
        <f>D38-C38</f>
        <v>207248000</v>
      </c>
      <c r="F38" s="28">
        <f>IF(C38=0,0,E38/C38)</f>
        <v>0.42590864813543716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45615000</v>
      </c>
      <c r="D40" s="23">
        <v>37713000</v>
      </c>
      <c r="E40" s="23">
        <f>D40-C40</f>
        <v>-7902000</v>
      </c>
      <c r="F40" s="24">
        <f>IF(C40=0,0,E40/C40)</f>
        <v>-0.17323248931272608</v>
      </c>
    </row>
    <row r="41" spans="1:8" ht="24" customHeight="1" x14ac:dyDescent="0.25">
      <c r="A41" s="25"/>
      <c r="B41" s="26" t="s">
        <v>42</v>
      </c>
      <c r="C41" s="27">
        <f>+C38+C40</f>
        <v>532217000</v>
      </c>
      <c r="D41" s="27">
        <f>+D38+D40</f>
        <v>731563000</v>
      </c>
      <c r="E41" s="27">
        <f>D41-C41</f>
        <v>199346000</v>
      </c>
      <c r="F41" s="28">
        <f>IF(C41=0,0,E41/C41)</f>
        <v>0.37455774618247822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1495702000</v>
      </c>
      <c r="D43" s="27">
        <f>D22+D29+D31+D32+D33+D41</f>
        <v>2123561000</v>
      </c>
      <c r="E43" s="27">
        <f>D43-C43</f>
        <v>627859000</v>
      </c>
      <c r="F43" s="28">
        <f>IF(C43=0,0,E43/C43)</f>
        <v>0.41977546329415888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60856000</v>
      </c>
      <c r="D49" s="23">
        <v>51242000</v>
      </c>
      <c r="E49" s="23">
        <f t="shared" ref="E49:E56" si="2">D49-C49</f>
        <v>-9614000</v>
      </c>
      <c r="F49" s="24">
        <f t="shared" ref="F49:F56" si="3">IF(C49=0,0,E49/C49)</f>
        <v>-0.15797949257263047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41733000</v>
      </c>
      <c r="D50" s="23">
        <v>50662000</v>
      </c>
      <c r="E50" s="23">
        <f t="shared" si="2"/>
        <v>8929000</v>
      </c>
      <c r="F50" s="24">
        <f t="shared" si="3"/>
        <v>0.21395538303021588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2610000</v>
      </c>
      <c r="D51" s="23">
        <v>34065000</v>
      </c>
      <c r="E51" s="23">
        <f t="shared" si="2"/>
        <v>31455000</v>
      </c>
      <c r="F51" s="24">
        <f t="shared" si="3"/>
        <v>12.051724137931034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44621000</v>
      </c>
      <c r="D54" s="23">
        <v>25230000</v>
      </c>
      <c r="E54" s="23">
        <f t="shared" si="2"/>
        <v>-19391000</v>
      </c>
      <c r="F54" s="24">
        <f t="shared" si="3"/>
        <v>-0.43457116604289459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61301000</v>
      </c>
      <c r="D55" s="23">
        <v>114112000</v>
      </c>
      <c r="E55" s="23">
        <f t="shared" si="2"/>
        <v>52811000</v>
      </c>
      <c r="F55" s="24">
        <f t="shared" si="3"/>
        <v>0.86150307499062007</v>
      </c>
    </row>
    <row r="56" spans="1:6" ht="24" customHeight="1" x14ac:dyDescent="0.25">
      <c r="A56" s="25"/>
      <c r="B56" s="26" t="s">
        <v>54</v>
      </c>
      <c r="C56" s="27">
        <f>SUM(C49:C55)</f>
        <v>211121000</v>
      </c>
      <c r="D56" s="27">
        <f>SUM(D49:D55)</f>
        <v>275311000</v>
      </c>
      <c r="E56" s="27">
        <f t="shared" si="2"/>
        <v>64190000</v>
      </c>
      <c r="F56" s="28">
        <f t="shared" si="3"/>
        <v>0.30404365269205813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130790000</v>
      </c>
      <c r="D59" s="23">
        <v>375815000</v>
      </c>
      <c r="E59" s="23">
        <f>D59-C59</f>
        <v>245025000</v>
      </c>
      <c r="F59" s="24">
        <f>IF(C59=0,0,E59/C59)</f>
        <v>1.8734230445752733</v>
      </c>
    </row>
    <row r="60" spans="1:6" ht="24" customHeight="1" x14ac:dyDescent="0.2">
      <c r="A60" s="21">
        <v>2</v>
      </c>
      <c r="B60" s="22" t="s">
        <v>57</v>
      </c>
      <c r="C60" s="23">
        <v>37742000</v>
      </c>
      <c r="D60" s="23">
        <v>37512000</v>
      </c>
      <c r="E60" s="23">
        <f>D60-C60</f>
        <v>-230000</v>
      </c>
      <c r="F60" s="24">
        <f>IF(C60=0,0,E60/C60)</f>
        <v>-6.0940066769116638E-3</v>
      </c>
    </row>
    <row r="61" spans="1:6" ht="24" customHeight="1" x14ac:dyDescent="0.25">
      <c r="A61" s="25"/>
      <c r="B61" s="26" t="s">
        <v>58</v>
      </c>
      <c r="C61" s="27">
        <f>SUM(C59:C60)</f>
        <v>168532000</v>
      </c>
      <c r="D61" s="27">
        <f>SUM(D59:D60)</f>
        <v>413327000</v>
      </c>
      <c r="E61" s="27">
        <f>D61-C61</f>
        <v>244795000</v>
      </c>
      <c r="F61" s="28">
        <f>IF(C61=0,0,E61/C61)</f>
        <v>1.4525134692521302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390628000</v>
      </c>
      <c r="D63" s="23">
        <v>544500000</v>
      </c>
      <c r="E63" s="23">
        <f>D63-C63</f>
        <v>153872000</v>
      </c>
      <c r="F63" s="24">
        <f>IF(C63=0,0,E63/C63)</f>
        <v>0.39390929477661613</v>
      </c>
    </row>
    <row r="64" spans="1:6" ht="24" customHeight="1" x14ac:dyDescent="0.2">
      <c r="A64" s="21">
        <v>4</v>
      </c>
      <c r="B64" s="22" t="s">
        <v>60</v>
      </c>
      <c r="C64" s="23">
        <v>16272000</v>
      </c>
      <c r="D64" s="23">
        <v>42466000</v>
      </c>
      <c r="E64" s="23">
        <f>D64-C64</f>
        <v>26194000</v>
      </c>
      <c r="F64" s="24">
        <f>IF(C64=0,0,E64/C64)</f>
        <v>1.6097590953785643</v>
      </c>
    </row>
    <row r="65" spans="1:6" ht="24" customHeight="1" x14ac:dyDescent="0.25">
      <c r="A65" s="25"/>
      <c r="B65" s="26" t="s">
        <v>61</v>
      </c>
      <c r="C65" s="27">
        <f>SUM(C61:C64)</f>
        <v>575432000</v>
      </c>
      <c r="D65" s="27">
        <f>SUM(D61:D64)</f>
        <v>1000293000</v>
      </c>
      <c r="E65" s="27">
        <f>D65-C65</f>
        <v>424861000</v>
      </c>
      <c r="F65" s="28">
        <f>IF(C65=0,0,E65/C65)</f>
        <v>0.73833398212125845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376306000</v>
      </c>
      <c r="D70" s="23">
        <v>491087000</v>
      </c>
      <c r="E70" s="23">
        <f>D70-C70</f>
        <v>114781000</v>
      </c>
      <c r="F70" s="24">
        <f>IF(C70=0,0,E70/C70)</f>
        <v>0.30502038234840795</v>
      </c>
    </row>
    <row r="71" spans="1:6" ht="24" customHeight="1" x14ac:dyDescent="0.2">
      <c r="A71" s="21">
        <v>2</v>
      </c>
      <c r="B71" s="22" t="s">
        <v>65</v>
      </c>
      <c r="C71" s="23">
        <v>113708000</v>
      </c>
      <c r="D71" s="23">
        <v>121465000</v>
      </c>
      <c r="E71" s="23">
        <f>D71-C71</f>
        <v>7757000</v>
      </c>
      <c r="F71" s="24">
        <f>IF(C71=0,0,E71/C71)</f>
        <v>6.8218594997713447E-2</v>
      </c>
    </row>
    <row r="72" spans="1:6" ht="24" customHeight="1" x14ac:dyDescent="0.2">
      <c r="A72" s="21">
        <v>3</v>
      </c>
      <c r="B72" s="22" t="s">
        <v>66</v>
      </c>
      <c r="C72" s="23">
        <v>219135000</v>
      </c>
      <c r="D72" s="23">
        <v>235405000</v>
      </c>
      <c r="E72" s="23">
        <f>D72-C72</f>
        <v>16270000</v>
      </c>
      <c r="F72" s="24">
        <f>IF(C72=0,0,E72/C72)</f>
        <v>7.4246469071576879E-2</v>
      </c>
    </row>
    <row r="73" spans="1:6" ht="24" customHeight="1" x14ac:dyDescent="0.25">
      <c r="A73" s="21"/>
      <c r="B73" s="26" t="s">
        <v>67</v>
      </c>
      <c r="C73" s="27">
        <f>SUM(C70:C72)</f>
        <v>709149000</v>
      </c>
      <c r="D73" s="27">
        <f>SUM(D70:D72)</f>
        <v>847957000</v>
      </c>
      <c r="E73" s="27">
        <f>D73-C73</f>
        <v>138808000</v>
      </c>
      <c r="F73" s="28">
        <f>IF(C73=0,0,E73/C73)</f>
        <v>0.19573883626713146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1495702000</v>
      </c>
      <c r="D75" s="27">
        <f>D56+D65+D67+D73</f>
        <v>2123561000</v>
      </c>
      <c r="E75" s="27">
        <f>D75-C75</f>
        <v>627859000</v>
      </c>
      <c r="F75" s="28">
        <f>IF(C75=0,0,E75/C75)</f>
        <v>0.41977546329415888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FILING&amp;RHARTFORD HEALTH CARE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2779860000</v>
      </c>
      <c r="D12" s="51">
        <v>3624354000</v>
      </c>
      <c r="E12" s="51">
        <f t="shared" ref="E12:E19" si="0">D12-C12</f>
        <v>844494000</v>
      </c>
      <c r="F12" s="70">
        <f t="shared" ref="F12:F19" si="1">IF(C12=0,0,E12/C12)</f>
        <v>0.30379011892685243</v>
      </c>
    </row>
    <row r="13" spans="1:8" ht="23.1" customHeight="1" x14ac:dyDescent="0.2">
      <c r="A13" s="25">
        <v>2</v>
      </c>
      <c r="B13" s="48" t="s">
        <v>72</v>
      </c>
      <c r="C13" s="51">
        <v>1498919000</v>
      </c>
      <c r="D13" s="51">
        <v>1965691000</v>
      </c>
      <c r="E13" s="51">
        <f t="shared" si="0"/>
        <v>466772000</v>
      </c>
      <c r="F13" s="70">
        <f t="shared" si="1"/>
        <v>0.31140575307938589</v>
      </c>
    </row>
    <row r="14" spans="1:8" ht="23.1" customHeight="1" x14ac:dyDescent="0.2">
      <c r="A14" s="25">
        <v>3</v>
      </c>
      <c r="B14" s="48" t="s">
        <v>73</v>
      </c>
      <c r="C14" s="51">
        <v>38556000</v>
      </c>
      <c r="D14" s="51">
        <v>42675000</v>
      </c>
      <c r="E14" s="51">
        <f t="shared" si="0"/>
        <v>4119000</v>
      </c>
      <c r="F14" s="70">
        <f t="shared" si="1"/>
        <v>0.10683162153750389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1242385000</v>
      </c>
      <c r="D16" s="27">
        <f>D12-D13-D14-D15</f>
        <v>1615988000</v>
      </c>
      <c r="E16" s="27">
        <f t="shared" si="0"/>
        <v>373603000</v>
      </c>
      <c r="F16" s="28">
        <f t="shared" si="1"/>
        <v>0.30071435183135664</v>
      </c>
    </row>
    <row r="17" spans="1:7" ht="23.1" customHeight="1" x14ac:dyDescent="0.2">
      <c r="A17" s="25">
        <v>5</v>
      </c>
      <c r="B17" s="48" t="s">
        <v>76</v>
      </c>
      <c r="C17" s="51">
        <v>174247000</v>
      </c>
      <c r="D17" s="51">
        <v>177014000</v>
      </c>
      <c r="E17" s="51">
        <f t="shared" si="0"/>
        <v>2767000</v>
      </c>
      <c r="F17" s="70">
        <f t="shared" si="1"/>
        <v>1.5879756896818885E-2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9859000</v>
      </c>
      <c r="D18" s="51">
        <v>10961000</v>
      </c>
      <c r="E18" s="51">
        <f t="shared" si="0"/>
        <v>1102000</v>
      </c>
      <c r="F18" s="70">
        <f t="shared" si="1"/>
        <v>0.11177604219494877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1426491000</v>
      </c>
      <c r="D19" s="27">
        <f>SUM(D16:D18)</f>
        <v>1803963000</v>
      </c>
      <c r="E19" s="27">
        <f t="shared" si="0"/>
        <v>377472000</v>
      </c>
      <c r="F19" s="28">
        <f t="shared" si="1"/>
        <v>0.2646157599311878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630357000</v>
      </c>
      <c r="D22" s="51">
        <v>803824000</v>
      </c>
      <c r="E22" s="51">
        <f t="shared" ref="E22:E31" si="2">D22-C22</f>
        <v>173467000</v>
      </c>
      <c r="F22" s="70">
        <f t="shared" ref="F22:F31" si="3">IF(C22=0,0,E22/C22)</f>
        <v>0.2751885042920123</v>
      </c>
    </row>
    <row r="23" spans="1:7" ht="23.1" customHeight="1" x14ac:dyDescent="0.2">
      <c r="A23" s="25">
        <v>2</v>
      </c>
      <c r="B23" s="48" t="s">
        <v>81</v>
      </c>
      <c r="C23" s="51">
        <v>166567000</v>
      </c>
      <c r="D23" s="51">
        <v>244010000</v>
      </c>
      <c r="E23" s="51">
        <f t="shared" si="2"/>
        <v>77443000</v>
      </c>
      <c r="F23" s="70">
        <f t="shared" si="3"/>
        <v>0.46493603174698472</v>
      </c>
    </row>
    <row r="24" spans="1:7" ht="23.1" customHeight="1" x14ac:dyDescent="0.2">
      <c r="A24" s="25">
        <v>3</v>
      </c>
      <c r="B24" s="48" t="s">
        <v>82</v>
      </c>
      <c r="C24" s="51">
        <v>43233000</v>
      </c>
      <c r="D24" s="51">
        <v>58095000</v>
      </c>
      <c r="E24" s="51">
        <f t="shared" si="2"/>
        <v>14862000</v>
      </c>
      <c r="F24" s="70">
        <f t="shared" si="3"/>
        <v>0.3437651793768649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167158000</v>
      </c>
      <c r="D25" s="51">
        <v>228530000</v>
      </c>
      <c r="E25" s="51">
        <f t="shared" si="2"/>
        <v>61372000</v>
      </c>
      <c r="F25" s="70">
        <f t="shared" si="3"/>
        <v>0.36714964285286972</v>
      </c>
    </row>
    <row r="26" spans="1:7" ht="23.1" customHeight="1" x14ac:dyDescent="0.2">
      <c r="A26" s="25">
        <v>5</v>
      </c>
      <c r="B26" s="48" t="s">
        <v>84</v>
      </c>
      <c r="C26" s="51">
        <v>64992000</v>
      </c>
      <c r="D26" s="51">
        <v>81701000</v>
      </c>
      <c r="E26" s="51">
        <f t="shared" si="2"/>
        <v>16709000</v>
      </c>
      <c r="F26" s="70">
        <f t="shared" si="3"/>
        <v>0.25709318069916298</v>
      </c>
    </row>
    <row r="27" spans="1:7" ht="23.1" customHeight="1" x14ac:dyDescent="0.2">
      <c r="A27" s="25">
        <v>6</v>
      </c>
      <c r="B27" s="48" t="s">
        <v>85</v>
      </c>
      <c r="C27" s="51">
        <v>64021000</v>
      </c>
      <c r="D27" s="51">
        <v>35420000</v>
      </c>
      <c r="E27" s="51">
        <f t="shared" si="2"/>
        <v>-28601000</v>
      </c>
      <c r="F27" s="70">
        <f t="shared" si="3"/>
        <v>-0.44674403711282235</v>
      </c>
    </row>
    <row r="28" spans="1:7" ht="23.1" customHeight="1" x14ac:dyDescent="0.2">
      <c r="A28" s="25">
        <v>7</v>
      </c>
      <c r="B28" s="48" t="s">
        <v>86</v>
      </c>
      <c r="C28" s="51">
        <v>4462000</v>
      </c>
      <c r="D28" s="51">
        <v>6487000</v>
      </c>
      <c r="E28" s="51">
        <f t="shared" si="2"/>
        <v>2025000</v>
      </c>
      <c r="F28" s="70">
        <f t="shared" si="3"/>
        <v>0.45383236216943074</v>
      </c>
    </row>
    <row r="29" spans="1:7" ht="23.1" customHeight="1" x14ac:dyDescent="0.2">
      <c r="A29" s="25">
        <v>8</v>
      </c>
      <c r="B29" s="48" t="s">
        <v>87</v>
      </c>
      <c r="C29" s="51">
        <v>21810242</v>
      </c>
      <c r="D29" s="51">
        <v>27495000</v>
      </c>
      <c r="E29" s="51">
        <f t="shared" si="2"/>
        <v>5684758</v>
      </c>
      <c r="F29" s="70">
        <f t="shared" si="3"/>
        <v>0.26064625967928279</v>
      </c>
    </row>
    <row r="30" spans="1:7" ht="23.1" customHeight="1" x14ac:dyDescent="0.2">
      <c r="A30" s="25">
        <v>9</v>
      </c>
      <c r="B30" s="48" t="s">
        <v>88</v>
      </c>
      <c r="C30" s="51">
        <v>245748758</v>
      </c>
      <c r="D30" s="51">
        <v>274868000</v>
      </c>
      <c r="E30" s="51">
        <f t="shared" si="2"/>
        <v>29119242</v>
      </c>
      <c r="F30" s="70">
        <f t="shared" si="3"/>
        <v>0.11849191929588511</v>
      </c>
    </row>
    <row r="31" spans="1:7" ht="23.1" customHeight="1" x14ac:dyDescent="0.25">
      <c r="A31" s="29"/>
      <c r="B31" s="71" t="s">
        <v>89</v>
      </c>
      <c r="C31" s="27">
        <f>SUM(C22:C30)</f>
        <v>1408349000</v>
      </c>
      <c r="D31" s="27">
        <f>SUM(D22:D30)</f>
        <v>1760430000</v>
      </c>
      <c r="E31" s="27">
        <f t="shared" si="2"/>
        <v>352081000</v>
      </c>
      <c r="F31" s="28">
        <f t="shared" si="3"/>
        <v>0.24999556217954499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18142000</v>
      </c>
      <c r="D33" s="27">
        <f>+D19-D31</f>
        <v>43533000</v>
      </c>
      <c r="E33" s="27">
        <f>D33-C33</f>
        <v>25391000</v>
      </c>
      <c r="F33" s="28">
        <f>IF(C33=0,0,E33/C33)</f>
        <v>1.3995700584279571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5713000</v>
      </c>
      <c r="D36" s="51">
        <v>5348000</v>
      </c>
      <c r="E36" s="51">
        <f>D36-C36</f>
        <v>-365000</v>
      </c>
      <c r="F36" s="70">
        <f>IF(C36=0,0,E36/C36)</f>
        <v>-6.3889375109399613E-2</v>
      </c>
    </row>
    <row r="37" spans="1:6" ht="23.1" customHeight="1" x14ac:dyDescent="0.2">
      <c r="A37" s="44">
        <v>2</v>
      </c>
      <c r="B37" s="48" t="s">
        <v>93</v>
      </c>
      <c r="C37" s="51">
        <v>1274000</v>
      </c>
      <c r="D37" s="51">
        <v>1368000</v>
      </c>
      <c r="E37" s="51">
        <f>D37-C37</f>
        <v>94000</v>
      </c>
      <c r="F37" s="70">
        <f>IF(C37=0,0,E37/C37)</f>
        <v>7.378335949764521E-2</v>
      </c>
    </row>
    <row r="38" spans="1:6" ht="23.1" customHeight="1" x14ac:dyDescent="0.2">
      <c r="A38" s="44">
        <v>3</v>
      </c>
      <c r="B38" s="48" t="s">
        <v>94</v>
      </c>
      <c r="C38" s="51">
        <v>-427000</v>
      </c>
      <c r="D38" s="51">
        <v>4352000</v>
      </c>
      <c r="E38" s="51">
        <f>D38-C38</f>
        <v>4779000</v>
      </c>
      <c r="F38" s="70">
        <f>IF(C38=0,0,E38/C38)</f>
        <v>-11.192037470725996</v>
      </c>
    </row>
    <row r="39" spans="1:6" ht="23.1" customHeight="1" x14ac:dyDescent="0.25">
      <c r="A39" s="20"/>
      <c r="B39" s="71" t="s">
        <v>95</v>
      </c>
      <c r="C39" s="27">
        <f>SUM(C36:C38)</f>
        <v>6560000</v>
      </c>
      <c r="D39" s="27">
        <f>SUM(D36:D38)</f>
        <v>11068000</v>
      </c>
      <c r="E39" s="27">
        <f>D39-C39</f>
        <v>4508000</v>
      </c>
      <c r="F39" s="28">
        <f>IF(C39=0,0,E39/C39)</f>
        <v>0.68719512195121957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24702000</v>
      </c>
      <c r="D41" s="27">
        <f>D33+D39</f>
        <v>54601000</v>
      </c>
      <c r="E41" s="27">
        <f>D41-C41</f>
        <v>29899000</v>
      </c>
      <c r="F41" s="28">
        <f>IF(C41=0,0,E41/C41)</f>
        <v>1.2103878228483524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25285000</v>
      </c>
      <c r="D44" s="51">
        <v>-18574000</v>
      </c>
      <c r="E44" s="51">
        <f>D44-C44</f>
        <v>-43859000</v>
      </c>
      <c r="F44" s="70">
        <f>IF(C44=0,0,E44/C44)</f>
        <v>-1.7345857227605299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184862000</v>
      </c>
      <c r="E45" s="51">
        <f>D45-C45</f>
        <v>184862000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25285000</v>
      </c>
      <c r="D46" s="27">
        <f>SUM(D44:D45)</f>
        <v>166288000</v>
      </c>
      <c r="E46" s="27">
        <f>D46-C46</f>
        <v>141003000</v>
      </c>
      <c r="F46" s="28">
        <f>IF(C46=0,0,E46/C46)</f>
        <v>5.576547360094918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49987000</v>
      </c>
      <c r="D48" s="27">
        <f>D41+D46</f>
        <v>220889000</v>
      </c>
      <c r="E48" s="27">
        <f>D48-C48</f>
        <v>170902000</v>
      </c>
      <c r="F48" s="28">
        <f>IF(C48=0,0,E48/C48)</f>
        <v>3.418928921519595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FILING&amp;R&amp;8HARTFORD HEALTH CARE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2012-07-02T13:38:21Z</cp:lastPrinted>
  <dcterms:created xsi:type="dcterms:W3CDTF">2006-08-03T13:49:12Z</dcterms:created>
  <dcterms:modified xsi:type="dcterms:W3CDTF">2012-07-02T13:39:15Z</dcterms:modified>
</cp:coreProperties>
</file>