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267" i="14"/>
  <c r="D198" i="14"/>
  <c r="D290" i="14"/>
  <c r="D191" i="14"/>
  <c r="D280" i="14"/>
  <c r="D189" i="14"/>
  <c r="D262" i="14"/>
  <c r="D278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208" i="14"/>
  <c r="D135" i="14"/>
  <c r="D130" i="14"/>
  <c r="D129" i="14"/>
  <c r="D124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7" i="14"/>
  <c r="D76" i="14"/>
  <c r="D67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1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E33" i="19"/>
  <c r="D12" i="19"/>
  <c r="D33" i="19"/>
  <c r="C12" i="19"/>
  <c r="C34" i="19"/>
  <c r="C33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E24" i="17"/>
  <c r="F24" i="17"/>
  <c r="E23" i="17"/>
  <c r="F23" i="17"/>
  <c r="E22" i="17"/>
  <c r="F22" i="17"/>
  <c r="D19" i="17"/>
  <c r="C19" i="17"/>
  <c r="E19" i="17"/>
  <c r="F18" i="17"/>
  <c r="E18" i="17"/>
  <c r="D16" i="17"/>
  <c r="E16" i="17"/>
  <c r="C16" i="17"/>
  <c r="F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36" i="16"/>
  <c r="C32" i="16"/>
  <c r="C33" i="16"/>
  <c r="C21" i="16"/>
  <c r="E328" i="15"/>
  <c r="E325" i="15"/>
  <c r="D324" i="15"/>
  <c r="D326" i="15"/>
  <c r="E324" i="15"/>
  <c r="C324" i="15"/>
  <c r="C326" i="15"/>
  <c r="C330" i="15"/>
  <c r="E318" i="15"/>
  <c r="E315" i="15"/>
  <c r="D314" i="15"/>
  <c r="D316" i="15"/>
  <c r="D320" i="15"/>
  <c r="C314" i="15"/>
  <c r="E314" i="15"/>
  <c r="E308" i="15"/>
  <c r="E305" i="15"/>
  <c r="D301" i="15"/>
  <c r="D303" i="15"/>
  <c r="D306" i="15"/>
  <c r="D310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C265" i="15"/>
  <c r="C302" i="15"/>
  <c r="C303" i="15"/>
  <c r="C306" i="15"/>
  <c r="C310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E228" i="15"/>
  <c r="C228" i="15"/>
  <c r="D227" i="15"/>
  <c r="E227" i="15"/>
  <c r="C227" i="15"/>
  <c r="D221" i="15"/>
  <c r="E221" i="15"/>
  <c r="C221" i="15"/>
  <c r="C245" i="15"/>
  <c r="D220" i="15"/>
  <c r="E220" i="15"/>
  <c r="C220" i="15"/>
  <c r="C244" i="15"/>
  <c r="D219" i="15"/>
  <c r="D243" i="15"/>
  <c r="C219" i="15"/>
  <c r="C243" i="15"/>
  <c r="D218" i="15"/>
  <c r="C218" i="15"/>
  <c r="C217" i="15"/>
  <c r="D216" i="15"/>
  <c r="D240" i="15"/>
  <c r="E216" i="15"/>
  <c r="C216" i="15"/>
  <c r="C240" i="15"/>
  <c r="D215" i="15"/>
  <c r="C215" i="15"/>
  <c r="C210" i="15"/>
  <c r="C211" i="15"/>
  <c r="E209" i="15"/>
  <c r="E208" i="15"/>
  <c r="E207" i="15"/>
  <c r="E206" i="15"/>
  <c r="D205" i="15"/>
  <c r="C205" i="15"/>
  <c r="C229" i="15"/>
  <c r="E204" i="15"/>
  <c r="E203" i="15"/>
  <c r="E197" i="15"/>
  <c r="E196" i="15"/>
  <c r="D195" i="15"/>
  <c r="D260" i="15"/>
  <c r="E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9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C37" i="15"/>
  <c r="E37" i="15"/>
  <c r="D36" i="15"/>
  <c r="E36" i="15"/>
  <c r="C36" i="15"/>
  <c r="D32" i="15"/>
  <c r="C32" i="15"/>
  <c r="C33" i="15"/>
  <c r="E31" i="15"/>
  <c r="E30" i="15"/>
  <c r="E29" i="15"/>
  <c r="E28" i="15"/>
  <c r="E27" i="15"/>
  <c r="E26" i="15"/>
  <c r="E25" i="15"/>
  <c r="D21" i="15"/>
  <c r="E21" i="15"/>
  <c r="C21" i="15"/>
  <c r="C22" i="15"/>
  <c r="C284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F311" i="14"/>
  <c r="E308" i="14"/>
  <c r="F308" i="14"/>
  <c r="C307" i="14"/>
  <c r="E307" i="14"/>
  <c r="F307" i="14"/>
  <c r="E299" i="14"/>
  <c r="C299" i="14"/>
  <c r="C298" i="14"/>
  <c r="E298" i="14"/>
  <c r="F298" i="14"/>
  <c r="C297" i="14"/>
  <c r="E297" i="14"/>
  <c r="F297" i="14"/>
  <c r="C296" i="14"/>
  <c r="E296" i="14"/>
  <c r="F296" i="14"/>
  <c r="C295" i="14"/>
  <c r="E295" i="14"/>
  <c r="C294" i="14"/>
  <c r="E294" i="14"/>
  <c r="F294" i="14"/>
  <c r="C250" i="14"/>
  <c r="E250" i="14"/>
  <c r="F249" i="14"/>
  <c r="E249" i="14"/>
  <c r="F248" i="14"/>
  <c r="E248" i="14"/>
  <c r="F245" i="14"/>
  <c r="E245" i="14"/>
  <c r="F244" i="14"/>
  <c r="E244" i="14"/>
  <c r="F243" i="14"/>
  <c r="E243" i="14"/>
  <c r="E238" i="14"/>
  <c r="C238" i="14"/>
  <c r="C237" i="14"/>
  <c r="E237" i="14"/>
  <c r="E234" i="14"/>
  <c r="F234" i="14"/>
  <c r="E233" i="14"/>
  <c r="F233" i="14"/>
  <c r="C230" i="14"/>
  <c r="E230" i="14"/>
  <c r="C229" i="14"/>
  <c r="E229" i="14"/>
  <c r="E228" i="14"/>
  <c r="F228" i="14"/>
  <c r="C226" i="14"/>
  <c r="C227" i="14"/>
  <c r="E227" i="14"/>
  <c r="E225" i="14"/>
  <c r="F225" i="14"/>
  <c r="E224" i="14"/>
  <c r="F224" i="14"/>
  <c r="E223" i="14"/>
  <c r="C223" i="14"/>
  <c r="E222" i="14"/>
  <c r="F222" i="14"/>
  <c r="E221" i="14"/>
  <c r="F221" i="14"/>
  <c r="C204" i="14"/>
  <c r="E204" i="14"/>
  <c r="C203" i="14"/>
  <c r="E203" i="14"/>
  <c r="C198" i="14"/>
  <c r="C290" i="14"/>
  <c r="C191" i="14"/>
  <c r="C264" i="14"/>
  <c r="C189" i="14"/>
  <c r="C255" i="14"/>
  <c r="C188" i="14"/>
  <c r="C206" i="14"/>
  <c r="E180" i="14"/>
  <c r="C180" i="14"/>
  <c r="C179" i="14"/>
  <c r="E179" i="14"/>
  <c r="F179" i="14"/>
  <c r="C171" i="14"/>
  <c r="E171" i="14"/>
  <c r="F171" i="14"/>
  <c r="C172" i="14"/>
  <c r="E172" i="14"/>
  <c r="E170" i="14"/>
  <c r="C170" i="14"/>
  <c r="F169" i="14"/>
  <c r="E169" i="14"/>
  <c r="F168" i="14"/>
  <c r="E168" i="14"/>
  <c r="C165" i="14"/>
  <c r="E165" i="14"/>
  <c r="F165" i="14"/>
  <c r="E164" i="14"/>
  <c r="C164" i="14"/>
  <c r="F164" i="14"/>
  <c r="E163" i="14"/>
  <c r="F163" i="14"/>
  <c r="C158" i="14"/>
  <c r="C159" i="14"/>
  <c r="E159" i="14"/>
  <c r="E158" i="14"/>
  <c r="F158" i="14"/>
  <c r="E157" i="14"/>
  <c r="F157" i="14"/>
  <c r="E156" i="14"/>
  <c r="F156" i="14"/>
  <c r="C155" i="14"/>
  <c r="E155" i="14"/>
  <c r="F155" i="14"/>
  <c r="E154" i="14"/>
  <c r="F154" i="14"/>
  <c r="F153" i="14"/>
  <c r="E153" i="14"/>
  <c r="C145" i="14"/>
  <c r="E145" i="14"/>
  <c r="C144" i="14"/>
  <c r="E144" i="14"/>
  <c r="C136" i="14"/>
  <c r="E136" i="14"/>
  <c r="C135" i="14"/>
  <c r="F134" i="14"/>
  <c r="E134" i="14"/>
  <c r="E133" i="14"/>
  <c r="F133" i="14"/>
  <c r="C130" i="14"/>
  <c r="E130" i="14"/>
  <c r="C129" i="14"/>
  <c r="E129" i="14"/>
  <c r="E128" i="14"/>
  <c r="F128" i="14"/>
  <c r="C123" i="14"/>
  <c r="C192" i="14"/>
  <c r="F122" i="14"/>
  <c r="E122" i="14"/>
  <c r="F121" i="14"/>
  <c r="E121" i="14"/>
  <c r="C120" i="14"/>
  <c r="E120" i="14"/>
  <c r="E119" i="14"/>
  <c r="F119" i="14"/>
  <c r="F118" i="14"/>
  <c r="E118" i="14"/>
  <c r="C110" i="14"/>
  <c r="C109" i="14"/>
  <c r="E109" i="14"/>
  <c r="C101" i="14"/>
  <c r="E101" i="14"/>
  <c r="C100" i="14"/>
  <c r="E100" i="14"/>
  <c r="E99" i="14"/>
  <c r="F99" i="14"/>
  <c r="E98" i="14"/>
  <c r="F98" i="14"/>
  <c r="C95" i="14"/>
  <c r="E95" i="14"/>
  <c r="C94" i="14"/>
  <c r="E94" i="14"/>
  <c r="E93" i="14"/>
  <c r="F93" i="14"/>
  <c r="C88" i="14"/>
  <c r="E87" i="14"/>
  <c r="F87" i="14"/>
  <c r="E86" i="14"/>
  <c r="F86" i="14"/>
  <c r="E85" i="14"/>
  <c r="C85" i="14"/>
  <c r="F85" i="14"/>
  <c r="E84" i="14"/>
  <c r="F84" i="14"/>
  <c r="E83" i="14"/>
  <c r="F83" i="14"/>
  <c r="C76" i="14"/>
  <c r="E74" i="14"/>
  <c r="F74" i="14"/>
  <c r="E73" i="14"/>
  <c r="F73" i="14"/>
  <c r="C67" i="14"/>
  <c r="E67" i="14"/>
  <c r="C66" i="14"/>
  <c r="C68" i="14"/>
  <c r="E59" i="14"/>
  <c r="C59" i="14"/>
  <c r="C60" i="14"/>
  <c r="C58" i="14"/>
  <c r="E58" i="14"/>
  <c r="E57" i="14"/>
  <c r="F57" i="14"/>
  <c r="E56" i="14"/>
  <c r="F56" i="14"/>
  <c r="E53" i="14"/>
  <c r="C53" i="14"/>
  <c r="C52" i="14"/>
  <c r="E51" i="14"/>
  <c r="F51" i="14"/>
  <c r="C47" i="14"/>
  <c r="E47" i="14"/>
  <c r="E46" i="14"/>
  <c r="F46" i="14"/>
  <c r="E45" i="14"/>
  <c r="F45" i="14"/>
  <c r="C44" i="14"/>
  <c r="E43" i="14"/>
  <c r="F43" i="14"/>
  <c r="E42" i="14"/>
  <c r="F42" i="14"/>
  <c r="C36" i="14"/>
  <c r="E36" i="14"/>
  <c r="C35" i="14"/>
  <c r="E35" i="14"/>
  <c r="C30" i="14"/>
  <c r="C31" i="14"/>
  <c r="C32" i="14"/>
  <c r="C29" i="14"/>
  <c r="E29" i="14"/>
  <c r="E28" i="14"/>
  <c r="F28" i="14"/>
  <c r="E27" i="14"/>
  <c r="F27" i="14"/>
  <c r="C24" i="14"/>
  <c r="E24" i="14"/>
  <c r="F24" i="14"/>
  <c r="C23" i="14"/>
  <c r="E23" i="14"/>
  <c r="F23" i="14"/>
  <c r="E22" i="14"/>
  <c r="F22" i="14"/>
  <c r="C20" i="14"/>
  <c r="E19" i="14"/>
  <c r="F19" i="14"/>
  <c r="E18" i="14"/>
  <c r="F18" i="14"/>
  <c r="C17" i="14"/>
  <c r="E17" i="14"/>
  <c r="E16" i="14"/>
  <c r="F16" i="14"/>
  <c r="E15" i="14"/>
  <c r="F15" i="14"/>
  <c r="D23" i="13"/>
  <c r="C23" i="13"/>
  <c r="E22" i="13"/>
  <c r="F22" i="13"/>
  <c r="D19" i="13"/>
  <c r="E19" i="13"/>
  <c r="C19" i="13"/>
  <c r="E18" i="13"/>
  <c r="F18" i="13"/>
  <c r="E17" i="13"/>
  <c r="F17" i="13"/>
  <c r="D14" i="13"/>
  <c r="E14" i="13"/>
  <c r="C14" i="13"/>
  <c r="E13" i="13"/>
  <c r="F13" i="13"/>
  <c r="F12" i="13"/>
  <c r="E12" i="13"/>
  <c r="D99" i="12"/>
  <c r="E99" i="12"/>
  <c r="C99" i="12"/>
  <c r="F99" i="12"/>
  <c r="E98" i="12"/>
  <c r="F98" i="12"/>
  <c r="F97" i="12"/>
  <c r="E97" i="12"/>
  <c r="F96" i="12"/>
  <c r="E96" i="12"/>
  <c r="D92" i="12"/>
  <c r="E92" i="12"/>
  <c r="F92" i="12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/>
  <c r="F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F75" i="12"/>
  <c r="D70" i="12"/>
  <c r="E70" i="12"/>
  <c r="F70" i="12"/>
  <c r="C70" i="12"/>
  <c r="F69" i="12"/>
  <c r="E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59" i="12"/>
  <c r="E59" i="12"/>
  <c r="F58" i="12"/>
  <c r="E58" i="12"/>
  <c r="E60" i="12"/>
  <c r="F60" i="12"/>
  <c r="D55" i="12"/>
  <c r="E55" i="12"/>
  <c r="F55" i="12"/>
  <c r="C55" i="12"/>
  <c r="F54" i="12"/>
  <c r="E54" i="12"/>
  <c r="F53" i="12"/>
  <c r="E53" i="12"/>
  <c r="D50" i="12"/>
  <c r="E50" i="12"/>
  <c r="F50" i="12"/>
  <c r="C50" i="12"/>
  <c r="F49" i="12"/>
  <c r="E49" i="12"/>
  <c r="F48" i="12"/>
  <c r="E48" i="12"/>
  <c r="D45" i="12"/>
  <c r="E45" i="12"/>
  <c r="F45" i="12"/>
  <c r="C45" i="12"/>
  <c r="F44" i="12"/>
  <c r="E44" i="12"/>
  <c r="F43" i="12"/>
  <c r="E43" i="12"/>
  <c r="D37" i="12"/>
  <c r="E37" i="12"/>
  <c r="F37" i="12"/>
  <c r="C37" i="12"/>
  <c r="F36" i="12"/>
  <c r="E36" i="12"/>
  <c r="F35" i="12"/>
  <c r="E35" i="12"/>
  <c r="F34" i="12"/>
  <c r="E34" i="12"/>
  <c r="F33" i="12"/>
  <c r="E33" i="12"/>
  <c r="D30" i="12"/>
  <c r="E30" i="12"/>
  <c r="F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1" i="11"/>
  <c r="G31" i="11"/>
  <c r="D17" i="11"/>
  <c r="F17" i="11"/>
  <c r="D31" i="11"/>
  <c r="F31" i="11"/>
  <c r="C17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C48" i="10"/>
  <c r="E46" i="10"/>
  <c r="E59" i="10"/>
  <c r="E61" i="10"/>
  <c r="E57" i="10"/>
  <c r="D46" i="10"/>
  <c r="C46" i="10"/>
  <c r="C59" i="10"/>
  <c r="C61" i="10"/>
  <c r="C57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E13" i="10"/>
  <c r="E15" i="10"/>
  <c r="D13" i="10"/>
  <c r="C13" i="10"/>
  <c r="C25" i="10"/>
  <c r="C27" i="10"/>
  <c r="D46" i="9"/>
  <c r="E46" i="9"/>
  <c r="C46" i="9"/>
  <c r="F46" i="9"/>
  <c r="F45" i="9"/>
  <c r="E45" i="9"/>
  <c r="F44" i="9"/>
  <c r="E44" i="9"/>
  <c r="D39" i="9"/>
  <c r="C39" i="9"/>
  <c r="E38" i="9"/>
  <c r="F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/>
  <c r="F16" i="9"/>
  <c r="C16" i="9"/>
  <c r="C19" i="9"/>
  <c r="C33" i="9"/>
  <c r="C41" i="9"/>
  <c r="C48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E64" i="8"/>
  <c r="F64" i="8"/>
  <c r="F63" i="8"/>
  <c r="E63" i="8"/>
  <c r="D61" i="8"/>
  <c r="E61" i="8"/>
  <c r="C61" i="8"/>
  <c r="F61" i="8"/>
  <c r="F60" i="8"/>
  <c r="E60" i="8"/>
  <c r="F59" i="8"/>
  <c r="E59" i="8"/>
  <c r="D56" i="8"/>
  <c r="E56" i="8"/>
  <c r="F56" i="8"/>
  <c r="C56" i="8"/>
  <c r="F55" i="8"/>
  <c r="E55" i="8"/>
  <c r="E54" i="8"/>
  <c r="F54" i="8"/>
  <c r="F53" i="8"/>
  <c r="E53" i="8"/>
  <c r="F52" i="8"/>
  <c r="E52" i="8"/>
  <c r="F51" i="8"/>
  <c r="E51" i="8"/>
  <c r="E50" i="8"/>
  <c r="F50" i="8"/>
  <c r="A50" i="8"/>
  <c r="A51" i="8"/>
  <c r="A52" i="8"/>
  <c r="A53" i="8"/>
  <c r="A54" i="8"/>
  <c r="A55" i="8"/>
  <c r="F49" i="8"/>
  <c r="E49" i="8"/>
  <c r="E40" i="8"/>
  <c r="F40" i="8"/>
  <c r="D38" i="8"/>
  <c r="C38" i="8"/>
  <c r="E37" i="8"/>
  <c r="F37" i="8"/>
  <c r="E36" i="8"/>
  <c r="F36" i="8"/>
  <c r="E33" i="8"/>
  <c r="F33" i="8"/>
  <c r="F32" i="8"/>
  <c r="E32" i="8"/>
  <c r="F31" i="8"/>
  <c r="E31" i="8"/>
  <c r="D29" i="8"/>
  <c r="E29" i="8"/>
  <c r="C29" i="8"/>
  <c r="F29" i="8"/>
  <c r="E28" i="8"/>
  <c r="F28" i="8"/>
  <c r="F27" i="8"/>
  <c r="E27" i="8"/>
  <c r="F26" i="8"/>
  <c r="E26" i="8"/>
  <c r="E25" i="8"/>
  <c r="F25" i="8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C120" i="7"/>
  <c r="F120" i="7"/>
  <c r="D119" i="7"/>
  <c r="C119" i="7"/>
  <c r="E119" i="7"/>
  <c r="D118" i="7"/>
  <c r="E118" i="7"/>
  <c r="C118" i="7"/>
  <c r="F118" i="7"/>
  <c r="D117" i="7"/>
  <c r="C117" i="7"/>
  <c r="E117" i="7"/>
  <c r="D116" i="7"/>
  <c r="E116" i="7"/>
  <c r="C116" i="7"/>
  <c r="F116" i="7"/>
  <c r="D115" i="7"/>
  <c r="C115" i="7"/>
  <c r="E115" i="7"/>
  <c r="D114" i="7"/>
  <c r="E114" i="7"/>
  <c r="C114" i="7"/>
  <c r="F114" i="7"/>
  <c r="D113" i="7"/>
  <c r="C113" i="7"/>
  <c r="E113" i="7"/>
  <c r="D112" i="7"/>
  <c r="E112" i="7"/>
  <c r="F112" i="7"/>
  <c r="C112" i="7"/>
  <c r="C121" i="7"/>
  <c r="D108" i="7"/>
  <c r="C108" i="7"/>
  <c r="E108" i="7"/>
  <c r="D107" i="7"/>
  <c r="E107" i="7"/>
  <c r="C107" i="7"/>
  <c r="F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E59" i="7"/>
  <c r="C59" i="7"/>
  <c r="F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E23" i="7"/>
  <c r="C23" i="7"/>
  <c r="F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F206" i="6"/>
  <c r="C206" i="6"/>
  <c r="D205" i="6"/>
  <c r="E205" i="6"/>
  <c r="C205" i="6"/>
  <c r="D204" i="6"/>
  <c r="C204" i="6"/>
  <c r="D203" i="6"/>
  <c r="E203" i="6"/>
  <c r="C203" i="6"/>
  <c r="D202" i="6"/>
  <c r="C202" i="6"/>
  <c r="D201" i="6"/>
  <c r="E201" i="6"/>
  <c r="C201" i="6"/>
  <c r="D200" i="6"/>
  <c r="C200" i="6"/>
  <c r="D199" i="6"/>
  <c r="E199" i="6"/>
  <c r="C199" i="6"/>
  <c r="D198" i="6"/>
  <c r="E198" i="6"/>
  <c r="F198" i="6"/>
  <c r="C198" i="6"/>
  <c r="C207" i="6"/>
  <c r="D193" i="6"/>
  <c r="E193" i="6"/>
  <c r="C193" i="6"/>
  <c r="F193" i="6"/>
  <c r="D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1" i="6"/>
  <c r="D141" i="6"/>
  <c r="E141" i="6"/>
  <c r="C141" i="6"/>
  <c r="F140" i="6"/>
  <c r="D140" i="6"/>
  <c r="E140" i="6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F128" i="6"/>
  <c r="C128" i="6"/>
  <c r="D127" i="6"/>
  <c r="E127" i="6"/>
  <c r="F127" i="6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5" i="6"/>
  <c r="D115" i="6"/>
  <c r="E115" i="6"/>
  <c r="C115" i="6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2" i="6"/>
  <c r="D102" i="6"/>
  <c r="E102" i="6"/>
  <c r="C102" i="6"/>
  <c r="F101" i="6"/>
  <c r="D101" i="6"/>
  <c r="E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89" i="6"/>
  <c r="D89" i="6"/>
  <c r="E89" i="6"/>
  <c r="C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F76" i="6"/>
  <c r="C76" i="6"/>
  <c r="D75" i="6"/>
  <c r="E75" i="6"/>
  <c r="F75" i="6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/>
  <c r="F63" i="6"/>
  <c r="C63" i="6"/>
  <c r="D62" i="6"/>
  <c r="E62" i="6"/>
  <c r="F62" i="6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F50" i="6"/>
  <c r="C50" i="6"/>
  <c r="D49" i="6"/>
  <c r="E49" i="6"/>
  <c r="F49" i="6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F24" i="6"/>
  <c r="C24" i="6"/>
  <c r="D23" i="6"/>
  <c r="E23" i="6"/>
  <c r="F23" i="6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C109" i="5"/>
  <c r="C106" i="5"/>
  <c r="E107" i="5"/>
  <c r="E109" i="5"/>
  <c r="E106" i="5"/>
  <c r="D107" i="5"/>
  <c r="D109" i="5"/>
  <c r="D106" i="5"/>
  <c r="C107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8" i="5"/>
  <c r="E90" i="5"/>
  <c r="E86" i="5"/>
  <c r="E87" i="5"/>
  <c r="D87" i="5"/>
  <c r="C87" i="5"/>
  <c r="E84" i="5"/>
  <c r="E79" i="5"/>
  <c r="D84" i="5"/>
  <c r="C84" i="5"/>
  <c r="E83" i="5"/>
  <c r="D83" i="5"/>
  <c r="D79" i="5"/>
  <c r="C83" i="5"/>
  <c r="E77" i="5"/>
  <c r="E71" i="5"/>
  <c r="E75" i="5"/>
  <c r="D75" i="5"/>
  <c r="C75" i="5"/>
  <c r="C77" i="5"/>
  <c r="C71" i="5"/>
  <c r="E74" i="5"/>
  <c r="D74" i="5"/>
  <c r="C74" i="5"/>
  <c r="E67" i="5"/>
  <c r="D67" i="5"/>
  <c r="C67" i="5"/>
  <c r="E38" i="5"/>
  <c r="E43" i="5"/>
  <c r="D38" i="5"/>
  <c r="D53" i="5"/>
  <c r="C38" i="5"/>
  <c r="C57" i="5"/>
  <c r="C62" i="5"/>
  <c r="C53" i="5"/>
  <c r="E33" i="5"/>
  <c r="E34" i="5"/>
  <c r="D33" i="5"/>
  <c r="D34" i="5"/>
  <c r="E26" i="5"/>
  <c r="D26" i="5"/>
  <c r="C26" i="5"/>
  <c r="E25" i="5"/>
  <c r="E27" i="5"/>
  <c r="C15" i="5"/>
  <c r="E13" i="5"/>
  <c r="E15" i="5"/>
  <c r="E24" i="5"/>
  <c r="D13" i="5"/>
  <c r="D25" i="5"/>
  <c r="D27" i="5"/>
  <c r="C13" i="5"/>
  <c r="C25" i="5"/>
  <c r="C27" i="5"/>
  <c r="F174" i="4"/>
  <c r="E174" i="4"/>
  <c r="D171" i="4"/>
  <c r="D176" i="4"/>
  <c r="C171" i="4"/>
  <c r="E170" i="4"/>
  <c r="F170" i="4"/>
  <c r="E169" i="4"/>
  <c r="F169" i="4"/>
  <c r="F168" i="4"/>
  <c r="E168" i="4"/>
  <c r="E167" i="4"/>
  <c r="F167" i="4"/>
  <c r="F166" i="4"/>
  <c r="E166" i="4"/>
  <c r="F165" i="4"/>
  <c r="E165" i="4"/>
  <c r="E164" i="4"/>
  <c r="F164" i="4"/>
  <c r="E163" i="4"/>
  <c r="F163" i="4"/>
  <c r="F162" i="4"/>
  <c r="E162" i="4"/>
  <c r="E161" i="4"/>
  <c r="F161" i="4"/>
  <c r="E160" i="4"/>
  <c r="F160" i="4"/>
  <c r="E159" i="4"/>
  <c r="F159" i="4"/>
  <c r="E158" i="4"/>
  <c r="F158" i="4"/>
  <c r="D155" i="4"/>
  <c r="C155" i="4"/>
  <c r="E154" i="4"/>
  <c r="F154" i="4"/>
  <c r="E153" i="4"/>
  <c r="F153" i="4"/>
  <c r="E152" i="4"/>
  <c r="F152" i="4"/>
  <c r="E151" i="4"/>
  <c r="F151" i="4"/>
  <c r="F150" i="4"/>
  <c r="E150" i="4"/>
  <c r="E149" i="4"/>
  <c r="F149" i="4"/>
  <c r="E148" i="4"/>
  <c r="F148" i="4"/>
  <c r="E147" i="4"/>
  <c r="F147" i="4"/>
  <c r="F146" i="4"/>
  <c r="E146" i="4"/>
  <c r="E145" i="4"/>
  <c r="F145" i="4"/>
  <c r="E144" i="4"/>
  <c r="F144" i="4"/>
  <c r="E143" i="4"/>
  <c r="F143" i="4"/>
  <c r="E142" i="4"/>
  <c r="F142" i="4"/>
  <c r="E141" i="4"/>
  <c r="F141" i="4"/>
  <c r="E140" i="4"/>
  <c r="F140" i="4"/>
  <c r="F139" i="4"/>
  <c r="E139" i="4"/>
  <c r="E138" i="4"/>
  <c r="F138" i="4"/>
  <c r="E137" i="4"/>
  <c r="F137" i="4"/>
  <c r="E136" i="4"/>
  <c r="F136" i="4"/>
  <c r="F135" i="4"/>
  <c r="E135" i="4"/>
  <c r="E134" i="4"/>
  <c r="F134" i="4"/>
  <c r="E133" i="4"/>
  <c r="F133" i="4"/>
  <c r="E132" i="4"/>
  <c r="F132" i="4"/>
  <c r="E131" i="4"/>
  <c r="F131" i="4"/>
  <c r="E130" i="4"/>
  <c r="F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E123" i="4"/>
  <c r="F123" i="4"/>
  <c r="E122" i="4"/>
  <c r="F122" i="4"/>
  <c r="E121" i="4"/>
  <c r="F121" i="4"/>
  <c r="D118" i="4"/>
  <c r="C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D109" i="4"/>
  <c r="C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102" i="4"/>
  <c r="F102" i="4"/>
  <c r="E101" i="4"/>
  <c r="F101" i="4"/>
  <c r="E100" i="4"/>
  <c r="F100" i="4"/>
  <c r="E99" i="4"/>
  <c r="F99" i="4"/>
  <c r="E98" i="4"/>
  <c r="F98" i="4"/>
  <c r="E97" i="4"/>
  <c r="F97" i="4"/>
  <c r="E96" i="4"/>
  <c r="F96" i="4"/>
  <c r="E95" i="4"/>
  <c r="F95" i="4"/>
  <c r="E94" i="4"/>
  <c r="F94" i="4"/>
  <c r="E93" i="4"/>
  <c r="F93" i="4"/>
  <c r="E92" i="4"/>
  <c r="F92" i="4"/>
  <c r="E91" i="4"/>
  <c r="F91" i="4"/>
  <c r="E81" i="4"/>
  <c r="F81" i="4"/>
  <c r="D78" i="4"/>
  <c r="E78" i="4"/>
  <c r="C78" i="4"/>
  <c r="E77" i="4"/>
  <c r="F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E40" i="4"/>
  <c r="F40" i="4"/>
  <c r="E39" i="4"/>
  <c r="F39" i="4"/>
  <c r="E38" i="4"/>
  <c r="F38" i="4"/>
  <c r="D35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F178" i="3"/>
  <c r="E178" i="3"/>
  <c r="E177" i="3"/>
  <c r="F177" i="3"/>
  <c r="E176" i="3"/>
  <c r="F176" i="3"/>
  <c r="F175" i="3"/>
  <c r="E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F165" i="3"/>
  <c r="E165" i="3"/>
  <c r="E164" i="3"/>
  <c r="F164" i="3"/>
  <c r="E163" i="3"/>
  <c r="F163" i="3"/>
  <c r="F162" i="3"/>
  <c r="E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F152" i="3"/>
  <c r="E152" i="3"/>
  <c r="E151" i="3"/>
  <c r="F151" i="3"/>
  <c r="E150" i="3"/>
  <c r="F150" i="3"/>
  <c r="F149" i="3"/>
  <c r="E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F133" i="3"/>
  <c r="E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F123" i="3"/>
  <c r="E123" i="3"/>
  <c r="E122" i="3"/>
  <c r="F122" i="3"/>
  <c r="E121" i="3"/>
  <c r="F121" i="3"/>
  <c r="F120" i="3"/>
  <c r="E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E109" i="3"/>
  <c r="F109" i="3"/>
  <c r="E108" i="3"/>
  <c r="F108" i="3"/>
  <c r="F107" i="3"/>
  <c r="E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C93" i="3"/>
  <c r="D92" i="3"/>
  <c r="C92" i="3"/>
  <c r="D91" i="3"/>
  <c r="C91" i="3"/>
  <c r="F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D95" i="3"/>
  <c r="C84" i="3"/>
  <c r="D81" i="3"/>
  <c r="C81" i="3"/>
  <c r="F80" i="3"/>
  <c r="E80" i="3"/>
  <c r="E79" i="3"/>
  <c r="F79" i="3"/>
  <c r="E78" i="3"/>
  <c r="F78" i="3"/>
  <c r="F77" i="3"/>
  <c r="E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E68" i="3"/>
  <c r="F68" i="3"/>
  <c r="C68" i="3"/>
  <c r="F67" i="3"/>
  <c r="E67" i="3"/>
  <c r="E66" i="3"/>
  <c r="F66" i="3"/>
  <c r="E65" i="3"/>
  <c r="F65" i="3"/>
  <c r="F64" i="3"/>
  <c r="E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D49" i="3"/>
  <c r="C49" i="3"/>
  <c r="D48" i="3"/>
  <c r="C48" i="3"/>
  <c r="F48" i="3"/>
  <c r="D47" i="3"/>
  <c r="C47" i="3"/>
  <c r="D46" i="3"/>
  <c r="C46" i="3"/>
  <c r="D45" i="3"/>
  <c r="C45" i="3"/>
  <c r="D44" i="3"/>
  <c r="C44" i="3"/>
  <c r="D43" i="3"/>
  <c r="C43" i="3"/>
  <c r="E43" i="3"/>
  <c r="D42" i="3"/>
  <c r="C42" i="3"/>
  <c r="D41" i="3"/>
  <c r="D52" i="3"/>
  <c r="E52" i="3"/>
  <c r="C41" i="3"/>
  <c r="C52" i="3"/>
  <c r="D38" i="3"/>
  <c r="C38" i="3"/>
  <c r="F37" i="3"/>
  <c r="E37" i="3"/>
  <c r="E36" i="3"/>
  <c r="F36" i="3"/>
  <c r="E35" i="3"/>
  <c r="F35" i="3"/>
  <c r="F34" i="3"/>
  <c r="E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F25" i="3"/>
  <c r="C25" i="3"/>
  <c r="F24" i="3"/>
  <c r="E24" i="3"/>
  <c r="E23" i="3"/>
  <c r="F23" i="3"/>
  <c r="E22" i="3"/>
  <c r="F22" i="3"/>
  <c r="F21" i="3"/>
  <c r="E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F46" i="2"/>
  <c r="C46" i="2"/>
  <c r="E45" i="2"/>
  <c r="F45" i="2"/>
  <c r="E44" i="2"/>
  <c r="F44" i="2"/>
  <c r="D39" i="2"/>
  <c r="E39" i="2"/>
  <c r="F39" i="2"/>
  <c r="C39" i="2"/>
  <c r="E38" i="2"/>
  <c r="F38" i="2"/>
  <c r="E37" i="2"/>
  <c r="F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E16" i="2"/>
  <c r="C16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F63" i="1"/>
  <c r="E63" i="1"/>
  <c r="E61" i="1"/>
  <c r="D61" i="1"/>
  <c r="D65" i="1"/>
  <c r="C61" i="1"/>
  <c r="F61" i="1"/>
  <c r="F60" i="1"/>
  <c r="E60" i="1"/>
  <c r="E59" i="1"/>
  <c r="F59" i="1"/>
  <c r="D56" i="1"/>
  <c r="E56" i="1"/>
  <c r="C56" i="1"/>
  <c r="F56" i="1"/>
  <c r="E55" i="1"/>
  <c r="F55" i="1"/>
  <c r="E54" i="1"/>
  <c r="F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E37" i="1"/>
  <c r="F37" i="1"/>
  <c r="E36" i="1"/>
  <c r="F36" i="1"/>
  <c r="E33" i="1"/>
  <c r="F33" i="1"/>
  <c r="F32" i="1"/>
  <c r="E32" i="1"/>
  <c r="F31" i="1"/>
  <c r="E31" i="1"/>
  <c r="D29" i="1"/>
  <c r="E29" i="1"/>
  <c r="F29" i="1"/>
  <c r="C29" i="1"/>
  <c r="E28" i="1"/>
  <c r="F28" i="1"/>
  <c r="F27" i="1"/>
  <c r="E27" i="1"/>
  <c r="F26" i="1"/>
  <c r="E26" i="1"/>
  <c r="E25" i="1"/>
  <c r="F25" i="1"/>
  <c r="D22" i="1"/>
  <c r="E22" i="1"/>
  <c r="C22" i="1"/>
  <c r="E21" i="1"/>
  <c r="F21" i="1"/>
  <c r="E20" i="1"/>
  <c r="F20" i="1"/>
  <c r="E19" i="1"/>
  <c r="F19" i="1"/>
  <c r="E18" i="1"/>
  <c r="F18" i="1"/>
  <c r="E17" i="1"/>
  <c r="F17" i="1"/>
  <c r="F16" i="1"/>
  <c r="E16" i="1"/>
  <c r="E15" i="1"/>
  <c r="F15" i="1"/>
  <c r="F14" i="1"/>
  <c r="E14" i="1"/>
  <c r="E13" i="1"/>
  <c r="F13" i="1"/>
  <c r="F17" i="14"/>
  <c r="F36" i="14"/>
  <c r="D126" i="14"/>
  <c r="D127" i="14"/>
  <c r="D68" i="14"/>
  <c r="E68" i="14"/>
  <c r="F68" i="14"/>
  <c r="D181" i="14"/>
  <c r="D193" i="14"/>
  <c r="F59" i="14"/>
  <c r="E192" i="14"/>
  <c r="F238" i="14"/>
  <c r="D37" i="14"/>
  <c r="D200" i="14"/>
  <c r="D264" i="14"/>
  <c r="E264" i="14"/>
  <c r="F264" i="14"/>
  <c r="C21" i="10"/>
  <c r="D75" i="1"/>
  <c r="F52" i="3"/>
  <c r="D21" i="5"/>
  <c r="C21" i="5"/>
  <c r="E139" i="5"/>
  <c r="E135" i="5"/>
  <c r="E137" i="5"/>
  <c r="E140" i="5"/>
  <c r="E138" i="5"/>
  <c r="E136" i="5"/>
  <c r="C154" i="5"/>
  <c r="C156" i="5"/>
  <c r="C152" i="5"/>
  <c r="C153" i="5"/>
  <c r="C157" i="5"/>
  <c r="C155" i="5"/>
  <c r="C24" i="5"/>
  <c r="C20" i="5"/>
  <c r="C17" i="5"/>
  <c r="D77" i="5"/>
  <c r="D71" i="5"/>
  <c r="D88" i="5"/>
  <c r="D90" i="5"/>
  <c r="D86" i="5"/>
  <c r="E38" i="1"/>
  <c r="F38" i="1"/>
  <c r="C41" i="1"/>
  <c r="C65" i="1"/>
  <c r="C75" i="1"/>
  <c r="C19" i="2"/>
  <c r="E31" i="2"/>
  <c r="F31" i="2"/>
  <c r="E38" i="3"/>
  <c r="F38" i="3"/>
  <c r="E41" i="3"/>
  <c r="E42" i="3"/>
  <c r="F42" i="3"/>
  <c r="E44" i="3"/>
  <c r="F44" i="3"/>
  <c r="E45" i="3"/>
  <c r="F45" i="3"/>
  <c r="E46" i="3"/>
  <c r="F46" i="3"/>
  <c r="E47" i="3"/>
  <c r="F47" i="3"/>
  <c r="E48" i="3"/>
  <c r="E49" i="3"/>
  <c r="F49" i="3"/>
  <c r="E50" i="3"/>
  <c r="F50" i="3"/>
  <c r="E51" i="3"/>
  <c r="E81" i="3"/>
  <c r="F81" i="3"/>
  <c r="E84" i="3"/>
  <c r="F84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E92" i="3"/>
  <c r="F92" i="3"/>
  <c r="E93" i="3"/>
  <c r="F93" i="3"/>
  <c r="E94" i="3"/>
  <c r="E124" i="3"/>
  <c r="F124" i="3"/>
  <c r="E153" i="3"/>
  <c r="F153" i="3"/>
  <c r="E179" i="3"/>
  <c r="F179" i="3"/>
  <c r="E24" i="4"/>
  <c r="F24" i="4"/>
  <c r="E41" i="4"/>
  <c r="F41" i="4"/>
  <c r="E109" i="4"/>
  <c r="F109" i="4"/>
  <c r="E118" i="4"/>
  <c r="F118" i="4"/>
  <c r="E155" i="4"/>
  <c r="F155" i="4"/>
  <c r="E17" i="5"/>
  <c r="D149" i="5"/>
  <c r="C43" i="5"/>
  <c r="E49" i="5"/>
  <c r="E57" i="5"/>
  <c r="E62" i="5"/>
  <c r="C79" i="5"/>
  <c r="C88" i="5"/>
  <c r="C90" i="5"/>
  <c r="C86" i="5"/>
  <c r="D166" i="5"/>
  <c r="D121" i="7"/>
  <c r="E121" i="7"/>
  <c r="F121" i="7"/>
  <c r="D41" i="8"/>
  <c r="D19" i="9"/>
  <c r="E310" i="15"/>
  <c r="C95" i="3"/>
  <c r="E95" i="3"/>
  <c r="C176" i="4"/>
  <c r="C42" i="10"/>
  <c r="C137" i="5"/>
  <c r="C139" i="5"/>
  <c r="C135" i="5"/>
  <c r="E156" i="5"/>
  <c r="E152" i="5"/>
  <c r="E154" i="5"/>
  <c r="D25" i="10"/>
  <c r="D27" i="10"/>
  <c r="D15" i="10"/>
  <c r="C83" i="4"/>
  <c r="F41" i="3"/>
  <c r="F43" i="3"/>
  <c r="D15" i="5"/>
  <c r="C49" i="5"/>
  <c r="E53" i="5"/>
  <c r="C138" i="5"/>
  <c r="E155" i="5"/>
  <c r="D122" i="7"/>
  <c r="D43" i="8"/>
  <c r="E24" i="10"/>
  <c r="E17" i="10"/>
  <c r="E28" i="10"/>
  <c r="D48" i="10"/>
  <c r="D42" i="10"/>
  <c r="D59" i="10"/>
  <c r="D61" i="10"/>
  <c r="D57" i="10"/>
  <c r="E32" i="14"/>
  <c r="F32" i="14"/>
  <c r="C252" i="15"/>
  <c r="E243" i="15"/>
  <c r="D207" i="6"/>
  <c r="E207" i="6"/>
  <c r="F207" i="6"/>
  <c r="D55" i="15"/>
  <c r="E55" i="15"/>
  <c r="E54" i="15"/>
  <c r="D189" i="15"/>
  <c r="D261" i="15"/>
  <c r="E261" i="15"/>
  <c r="E188" i="15"/>
  <c r="E205" i="15"/>
  <c r="D210" i="15"/>
  <c r="E218" i="15"/>
  <c r="D217" i="15"/>
  <c r="D109" i="19"/>
  <c r="D108" i="19"/>
  <c r="D209" i="14"/>
  <c r="D104" i="14"/>
  <c r="D174" i="14"/>
  <c r="D254" i="14"/>
  <c r="G17" i="11"/>
  <c r="E20" i="14"/>
  <c r="F20" i="14"/>
  <c r="E31" i="14"/>
  <c r="F31" i="14"/>
  <c r="C48" i="14"/>
  <c r="E52" i="14"/>
  <c r="F52" i="14"/>
  <c r="E60" i="14"/>
  <c r="F60" i="14"/>
  <c r="E66" i="14"/>
  <c r="E76" i="14"/>
  <c r="F76" i="14"/>
  <c r="E88" i="14"/>
  <c r="F88" i="14"/>
  <c r="F101" i="14"/>
  <c r="F136" i="14"/>
  <c r="F159" i="14"/>
  <c r="F170" i="14"/>
  <c r="C181" i="14"/>
  <c r="E189" i="14"/>
  <c r="F192" i="14"/>
  <c r="C199" i="14"/>
  <c r="E226" i="14"/>
  <c r="F226" i="14"/>
  <c r="F237" i="14"/>
  <c r="C274" i="14"/>
  <c r="C300" i="14"/>
  <c r="C239" i="15"/>
  <c r="C283" i="15"/>
  <c r="C316" i="15"/>
  <c r="C320" i="15"/>
  <c r="E320" i="15"/>
  <c r="E326" i="15"/>
  <c r="E39" i="17"/>
  <c r="E290" i="14"/>
  <c r="F290" i="14"/>
  <c r="D272" i="14"/>
  <c r="C215" i="14"/>
  <c r="F189" i="14"/>
  <c r="C267" i="14"/>
  <c r="C283" i="14"/>
  <c r="C205" i="14"/>
  <c r="F203" i="14"/>
  <c r="E156" i="15"/>
  <c r="D157" i="15"/>
  <c r="E157" i="15"/>
  <c r="D252" i="15"/>
  <c r="E252" i="15"/>
  <c r="E231" i="15"/>
  <c r="C37" i="16"/>
  <c r="C38" i="16"/>
  <c r="C127" i="16"/>
  <c r="C129" i="16"/>
  <c r="C133" i="16"/>
  <c r="C22" i="16"/>
  <c r="C108" i="19"/>
  <c r="C109" i="19"/>
  <c r="D175" i="14"/>
  <c r="D62" i="14"/>
  <c r="D210" i="14"/>
  <c r="D105" i="14"/>
  <c r="D33" i="11"/>
  <c r="F29" i="14"/>
  <c r="F35" i="14"/>
  <c r="C37" i="14"/>
  <c r="F47" i="14"/>
  <c r="F58" i="14"/>
  <c r="F94" i="14"/>
  <c r="F95" i="14"/>
  <c r="F120" i="14"/>
  <c r="F129" i="14"/>
  <c r="C146" i="14"/>
  <c r="F204" i="14"/>
  <c r="C214" i="14"/>
  <c r="F227" i="14"/>
  <c r="C239" i="14"/>
  <c r="C278" i="14"/>
  <c r="C222" i="15"/>
  <c r="E219" i="15"/>
  <c r="E303" i="15"/>
  <c r="D43" i="15"/>
  <c r="D44" i="15"/>
  <c r="E38" i="15"/>
  <c r="D71" i="15"/>
  <c r="D65" i="15"/>
  <c r="D289" i="15"/>
  <c r="E289" i="15"/>
  <c r="E60" i="15"/>
  <c r="D144" i="15"/>
  <c r="D175" i="15"/>
  <c r="E175" i="15"/>
  <c r="E139" i="15"/>
  <c r="E251" i="15"/>
  <c r="D282" i="14"/>
  <c r="D194" i="14"/>
  <c r="D266" i="14"/>
  <c r="C21" i="14"/>
  <c r="C61" i="14"/>
  <c r="C77" i="14"/>
  <c r="E77" i="14"/>
  <c r="C89" i="14"/>
  <c r="F109" i="14"/>
  <c r="C137" i="14"/>
  <c r="F145" i="14"/>
  <c r="F180" i="14"/>
  <c r="F223" i="14"/>
  <c r="F229" i="14"/>
  <c r="C262" i="14"/>
  <c r="F295" i="14"/>
  <c r="F299" i="14"/>
  <c r="D283" i="15"/>
  <c r="E151" i="15"/>
  <c r="E195" i="15"/>
  <c r="E215" i="15"/>
  <c r="D229" i="15"/>
  <c r="E229" i="15"/>
  <c r="D242" i="15"/>
  <c r="D244" i="15"/>
  <c r="E244" i="15"/>
  <c r="D330" i="15"/>
  <c r="E330" i="15"/>
  <c r="D41" i="17"/>
  <c r="D270" i="14"/>
  <c r="C277" i="14"/>
  <c r="C261" i="14"/>
  <c r="C254" i="14"/>
  <c r="E188" i="14"/>
  <c r="F188" i="14"/>
  <c r="C285" i="14"/>
  <c r="C269" i="14"/>
  <c r="D33" i="15"/>
  <c r="E32" i="15"/>
  <c r="F39" i="17"/>
  <c r="C41" i="17"/>
  <c r="E109" i="19"/>
  <c r="E108" i="19"/>
  <c r="C304" i="14"/>
  <c r="F66" i="14"/>
  <c r="C102" i="14"/>
  <c r="C190" i="14"/>
  <c r="C235" i="15"/>
  <c r="D222" i="15"/>
  <c r="D223" i="15"/>
  <c r="C234" i="15"/>
  <c r="E306" i="15"/>
  <c r="E316" i="15"/>
  <c r="D20" i="17"/>
  <c r="F250" i="14"/>
  <c r="D239" i="15"/>
  <c r="E239" i="15"/>
  <c r="C242" i="15"/>
  <c r="E22" i="19"/>
  <c r="D34" i="19"/>
  <c r="D102" i="19"/>
  <c r="D103" i="19"/>
  <c r="D125" i="14"/>
  <c r="D138" i="14"/>
  <c r="D161" i="14"/>
  <c r="D277" i="14"/>
  <c r="D285" i="14"/>
  <c r="D22" i="19"/>
  <c r="D160" i="14"/>
  <c r="D196" i="14"/>
  <c r="D206" i="14"/>
  <c r="E206" i="14"/>
  <c r="F206" i="14"/>
  <c r="D274" i="14"/>
  <c r="E274" i="14"/>
  <c r="F274" i="14"/>
  <c r="E43" i="17"/>
  <c r="D23" i="19"/>
  <c r="E101" i="19"/>
  <c r="E103" i="19"/>
  <c r="D49" i="14"/>
  <c r="D91" i="14"/>
  <c r="D195" i="14"/>
  <c r="D199" i="14"/>
  <c r="E199" i="14"/>
  <c r="D205" i="14"/>
  <c r="E205" i="14"/>
  <c r="D215" i="14"/>
  <c r="D216" i="14"/>
  <c r="D261" i="14"/>
  <c r="D265" i="14"/>
  <c r="D190" i="14"/>
  <c r="E190" i="14"/>
  <c r="E269" i="14"/>
  <c r="F269" i="14"/>
  <c r="C271" i="14"/>
  <c r="C263" i="14"/>
  <c r="C268" i="14"/>
  <c r="E89" i="14"/>
  <c r="F89" i="14"/>
  <c r="D50" i="14"/>
  <c r="D162" i="14"/>
  <c r="C161" i="14"/>
  <c r="C49" i="14"/>
  <c r="E49" i="14"/>
  <c r="F49" i="14"/>
  <c r="E21" i="14"/>
  <c r="F21" i="14"/>
  <c r="C91" i="14"/>
  <c r="D168" i="15"/>
  <c r="D145" i="15"/>
  <c r="D180" i="15"/>
  <c r="D76" i="15"/>
  <c r="E239" i="14"/>
  <c r="F239" i="14"/>
  <c r="E37" i="14"/>
  <c r="F37" i="14"/>
  <c r="D106" i="14"/>
  <c r="D176" i="14"/>
  <c r="C90" i="14"/>
  <c r="E48" i="14"/>
  <c r="F48" i="14"/>
  <c r="C160" i="14"/>
  <c r="D241" i="15"/>
  <c r="E217" i="15"/>
  <c r="D17" i="10"/>
  <c r="D28" i="10"/>
  <c r="D70" i="10"/>
  <c r="D72" i="10"/>
  <c r="D69" i="10"/>
  <c r="D24" i="10"/>
  <c r="F190" i="14"/>
  <c r="E283" i="15"/>
  <c r="D255" i="14"/>
  <c r="E255" i="14"/>
  <c r="F255" i="14"/>
  <c r="E215" i="14"/>
  <c r="F215" i="14"/>
  <c r="D287" i="14"/>
  <c r="D279" i="14"/>
  <c r="D284" i="14"/>
  <c r="E277" i="14"/>
  <c r="E262" i="14"/>
  <c r="C272" i="14"/>
  <c r="F262" i="14"/>
  <c r="C138" i="14"/>
  <c r="E137" i="14"/>
  <c r="C207" i="14"/>
  <c r="F137" i="14"/>
  <c r="C139" i="14"/>
  <c r="E61" i="14"/>
  <c r="F61" i="14"/>
  <c r="D66" i="15"/>
  <c r="D36" i="11"/>
  <c r="D38" i="11"/>
  <c r="D40" i="11"/>
  <c r="C270" i="14"/>
  <c r="E267" i="14"/>
  <c r="F267" i="14"/>
  <c r="E70" i="10"/>
  <c r="E72" i="10"/>
  <c r="E69" i="10"/>
  <c r="C33" i="2"/>
  <c r="F41" i="1"/>
  <c r="E41" i="1"/>
  <c r="C28" i="5"/>
  <c r="C112" i="5"/>
  <c r="C111" i="5"/>
  <c r="E160" i="14"/>
  <c r="E270" i="14"/>
  <c r="D140" i="14"/>
  <c r="C62" i="14"/>
  <c r="D92" i="14"/>
  <c r="E91" i="14"/>
  <c r="E46" i="17"/>
  <c r="F46" i="17"/>
  <c r="F43" i="17"/>
  <c r="E110" i="19"/>
  <c r="E53" i="19"/>
  <c r="E45" i="19"/>
  <c r="E39" i="19"/>
  <c r="E35" i="19"/>
  <c r="E29" i="19"/>
  <c r="E222" i="15"/>
  <c r="D246" i="15"/>
  <c r="D268" i="14"/>
  <c r="E268" i="14"/>
  <c r="D271" i="14"/>
  <c r="D263" i="14"/>
  <c r="E263" i="14"/>
  <c r="F263" i="14"/>
  <c r="E261" i="14"/>
  <c r="F261" i="14"/>
  <c r="D46" i="19"/>
  <c r="D40" i="19"/>
  <c r="D36" i="19"/>
  <c r="D30" i="19"/>
  <c r="D111" i="19"/>
  <c r="D54" i="19"/>
  <c r="D197" i="14"/>
  <c r="D286" i="14"/>
  <c r="D288" i="14"/>
  <c r="E285" i="14"/>
  <c r="E102" i="14"/>
  <c r="F102" i="14"/>
  <c r="C103" i="14"/>
  <c r="C104" i="14"/>
  <c r="D295" i="15"/>
  <c r="E33" i="15"/>
  <c r="C287" i="14"/>
  <c r="C279" i="14"/>
  <c r="F277" i="14"/>
  <c r="C284" i="14"/>
  <c r="D259" i="15"/>
  <c r="E278" i="14"/>
  <c r="F278" i="14"/>
  <c r="C288" i="14"/>
  <c r="C216" i="14"/>
  <c r="E214" i="14"/>
  <c r="F214" i="14"/>
  <c r="D63" i="14"/>
  <c r="E62" i="14"/>
  <c r="C286" i="14"/>
  <c r="E283" i="14"/>
  <c r="F283" i="14"/>
  <c r="D234" i="15"/>
  <c r="E234" i="15"/>
  <c r="E210" i="15"/>
  <c r="D211" i="15"/>
  <c r="E19" i="9"/>
  <c r="F19" i="9"/>
  <c r="D33" i="9"/>
  <c r="D155" i="5"/>
  <c r="D157" i="5"/>
  <c r="D153" i="5"/>
  <c r="D156" i="5"/>
  <c r="D154" i="5"/>
  <c r="D152" i="5"/>
  <c r="E112" i="5"/>
  <c r="E111" i="5"/>
  <c r="E28" i="5"/>
  <c r="F285" i="14"/>
  <c r="E242" i="15"/>
  <c r="E272" i="14"/>
  <c r="F199" i="14"/>
  <c r="D294" i="15"/>
  <c r="C43" i="1"/>
  <c r="E176" i="4"/>
  <c r="F176" i="4"/>
  <c r="C158" i="5"/>
  <c r="D53" i="19"/>
  <c r="D45" i="19"/>
  <c r="D39" i="19"/>
  <c r="D35" i="19"/>
  <c r="D29" i="19"/>
  <c r="D110" i="19"/>
  <c r="E146" i="14"/>
  <c r="F146" i="14"/>
  <c r="D211" i="14"/>
  <c r="E181" i="14"/>
  <c r="F181" i="14"/>
  <c r="E254" i="14"/>
  <c r="F254" i="14"/>
  <c r="D17" i="5"/>
  <c r="D24" i="5"/>
  <c r="D20" i="5"/>
  <c r="D138" i="5"/>
  <c r="D140" i="5"/>
  <c r="D136" i="5"/>
  <c r="D135" i="5"/>
  <c r="D139" i="5"/>
  <c r="D137" i="5"/>
  <c r="D141" i="5"/>
  <c r="D281" i="14"/>
  <c r="F205" i="14"/>
  <c r="D139" i="14"/>
  <c r="E139" i="14"/>
  <c r="F139" i="14"/>
  <c r="C223" i="15"/>
  <c r="F95" i="3"/>
  <c r="E65" i="1"/>
  <c r="F65" i="1"/>
  <c r="E141" i="5"/>
  <c r="D47" i="19"/>
  <c r="D37" i="19"/>
  <c r="D112" i="19"/>
  <c r="D55" i="19"/>
  <c r="D324" i="14"/>
  <c r="D113" i="14"/>
  <c r="C140" i="14"/>
  <c r="E90" i="14"/>
  <c r="F90" i="14"/>
  <c r="D77" i="15"/>
  <c r="D70" i="14"/>
  <c r="E286" i="14"/>
  <c r="F286" i="14"/>
  <c r="E138" i="14"/>
  <c r="F138" i="14"/>
  <c r="D112" i="5"/>
  <c r="D111" i="5"/>
  <c r="D28" i="5"/>
  <c r="E33" i="9"/>
  <c r="F33" i="9"/>
  <c r="D41" i="9"/>
  <c r="D304" i="14"/>
  <c r="D273" i="14"/>
  <c r="E271" i="14"/>
  <c r="E47" i="19"/>
  <c r="E37" i="19"/>
  <c r="E112" i="19"/>
  <c r="E55" i="19"/>
  <c r="F62" i="14"/>
  <c r="C63" i="14"/>
  <c r="D291" i="14"/>
  <c r="D289" i="14"/>
  <c r="E287" i="14"/>
  <c r="D181" i="15"/>
  <c r="D169" i="15"/>
  <c r="C162" i="14"/>
  <c r="E288" i="14"/>
  <c r="F288" i="14"/>
  <c r="F268" i="14"/>
  <c r="E99" i="5"/>
  <c r="E101" i="5"/>
  <c r="E98" i="5"/>
  <c r="E22" i="5"/>
  <c r="D263" i="15"/>
  <c r="C289" i="14"/>
  <c r="F287" i="14"/>
  <c r="C291" i="14"/>
  <c r="D141" i="14"/>
  <c r="E140" i="14"/>
  <c r="F207" i="14"/>
  <c r="E207" i="14"/>
  <c r="C208" i="14"/>
  <c r="F91" i="14"/>
  <c r="C92" i="14"/>
  <c r="E92" i="14"/>
  <c r="F92" i="14"/>
  <c r="D183" i="14"/>
  <c r="D323" i="14"/>
  <c r="E162" i="14"/>
  <c r="C273" i="14"/>
  <c r="F271" i="14"/>
  <c r="F272" i="14"/>
  <c r="E279" i="14"/>
  <c r="F279" i="14"/>
  <c r="F160" i="14"/>
  <c r="E216" i="14"/>
  <c r="F216" i="14"/>
  <c r="E211" i="15"/>
  <c r="D235" i="15"/>
  <c r="E235" i="15"/>
  <c r="E103" i="14"/>
  <c r="F103" i="14"/>
  <c r="C105" i="14"/>
  <c r="D113" i="19"/>
  <c r="D56" i="19"/>
  <c r="D48" i="19"/>
  <c r="D38" i="19"/>
  <c r="C99" i="5"/>
  <c r="C101" i="5"/>
  <c r="C98" i="5"/>
  <c r="C22" i="5"/>
  <c r="C41" i="2"/>
  <c r="C50" i="14"/>
  <c r="E50" i="14"/>
  <c r="F50" i="14"/>
  <c r="D158" i="5"/>
  <c r="E63" i="14"/>
  <c r="F270" i="14"/>
  <c r="E284" i="14"/>
  <c r="F284" i="14"/>
  <c r="E161" i="14"/>
  <c r="F161" i="14"/>
  <c r="E208" i="14"/>
  <c r="F208" i="14"/>
  <c r="C210" i="14"/>
  <c r="C209" i="14"/>
  <c r="D322" i="14"/>
  <c r="E304" i="14"/>
  <c r="F304" i="14"/>
  <c r="E289" i="14"/>
  <c r="F289" i="14"/>
  <c r="F63" i="14"/>
  <c r="D99" i="5"/>
  <c r="D101" i="5"/>
  <c r="D98" i="5"/>
  <c r="D22" i="5"/>
  <c r="E273" i="14"/>
  <c r="F273" i="14"/>
  <c r="F162" i="14"/>
  <c r="D126" i="15"/>
  <c r="D122" i="15"/>
  <c r="D115" i="15"/>
  <c r="D111" i="15"/>
  <c r="D124" i="15"/>
  <c r="D113" i="15"/>
  <c r="D109" i="15"/>
  <c r="D127" i="15"/>
  <c r="D125" i="15"/>
  <c r="D114" i="15"/>
  <c r="D123" i="15"/>
  <c r="D112" i="15"/>
  <c r="D121" i="15"/>
  <c r="D110" i="15"/>
  <c r="F140" i="14"/>
  <c r="C141" i="14"/>
  <c r="E141" i="14"/>
  <c r="F141" i="14"/>
  <c r="D325" i="14"/>
  <c r="C70" i="14"/>
  <c r="C48" i="2"/>
  <c r="C106" i="14"/>
  <c r="C113" i="14"/>
  <c r="E105" i="14"/>
  <c r="F105" i="14"/>
  <c r="C305" i="14"/>
  <c r="D305" i="14"/>
  <c r="D309" i="14"/>
  <c r="E291" i="14"/>
  <c r="F291" i="14"/>
  <c r="E41" i="9"/>
  <c r="F41" i="9"/>
  <c r="D48" i="9"/>
  <c r="E48" i="9"/>
  <c r="F48" i="9"/>
  <c r="E305" i="14"/>
  <c r="F210" i="14"/>
  <c r="E210" i="14"/>
  <c r="C322" i="14"/>
  <c r="F106" i="14"/>
  <c r="E106" i="14"/>
  <c r="D128" i="15"/>
  <c r="D129" i="15"/>
  <c r="E209" i="14"/>
  <c r="F209" i="14"/>
  <c r="E70" i="14"/>
  <c r="F70" i="14"/>
  <c r="F305" i="14"/>
  <c r="D116" i="15"/>
  <c r="C324" i="14"/>
  <c r="F324" i="14"/>
  <c r="E322" i="14"/>
  <c r="E324" i="14"/>
  <c r="D117" i="15"/>
  <c r="F322" i="14"/>
  <c r="D310" i="14"/>
  <c r="E104" i="14"/>
  <c r="F104" i="14"/>
  <c r="D99" i="15"/>
  <c r="D95" i="15"/>
  <c r="D85" i="15"/>
  <c r="D83" i="15"/>
  <c r="D258" i="15"/>
  <c r="D88" i="15"/>
  <c r="D84" i="15"/>
  <c r="D101" i="15"/>
  <c r="D97" i="15"/>
  <c r="D86" i="15"/>
  <c r="D96" i="15"/>
  <c r="D100" i="15"/>
  <c r="D89" i="15"/>
  <c r="D98" i="15"/>
  <c r="D87" i="15"/>
  <c r="D131" i="15"/>
  <c r="E113" i="14"/>
  <c r="F113" i="14"/>
  <c r="D247" i="15"/>
  <c r="E223" i="15"/>
  <c r="D22" i="10"/>
  <c r="D20" i="10"/>
  <c r="D21" i="10"/>
  <c r="F75" i="1"/>
  <c r="E75" i="1"/>
  <c r="D148" i="14"/>
  <c r="F22" i="1"/>
  <c r="D300" i="14"/>
  <c r="E300" i="14"/>
  <c r="F300" i="14"/>
  <c r="D43" i="1"/>
  <c r="E43" i="1"/>
  <c r="F43" i="1"/>
  <c r="E73" i="1"/>
  <c r="F73" i="1"/>
  <c r="F16" i="2"/>
  <c r="F78" i="4"/>
  <c r="C140" i="5"/>
  <c r="C136" i="5"/>
  <c r="C141" i="5"/>
  <c r="E20" i="5"/>
  <c r="E21" i="5"/>
  <c r="E111" i="3"/>
  <c r="F111" i="3"/>
  <c r="E137" i="3"/>
  <c r="F137" i="3"/>
  <c r="E166" i="3"/>
  <c r="F166" i="3"/>
  <c r="E18" i="4"/>
  <c r="F18" i="4"/>
  <c r="E30" i="4"/>
  <c r="F30" i="4"/>
  <c r="E35" i="4"/>
  <c r="F35" i="4"/>
  <c r="E59" i="4"/>
  <c r="F59" i="4"/>
  <c r="E171" i="4"/>
  <c r="F171" i="4"/>
  <c r="D49" i="5"/>
  <c r="E157" i="5"/>
  <c r="E153" i="5"/>
  <c r="E158" i="5"/>
  <c r="D19" i="2"/>
  <c r="D83" i="4"/>
  <c r="E83" i="4"/>
  <c r="F83" i="4"/>
  <c r="D57" i="5"/>
  <c r="D62" i="5"/>
  <c r="D43" i="5"/>
  <c r="F199" i="6"/>
  <c r="F201" i="6"/>
  <c r="F203" i="6"/>
  <c r="F205" i="6"/>
  <c r="F35" i="7"/>
  <c r="F95" i="7"/>
  <c r="F14" i="13"/>
  <c r="F19" i="13"/>
  <c r="E192" i="6"/>
  <c r="F192" i="6"/>
  <c r="E200" i="6"/>
  <c r="F200" i="6"/>
  <c r="E202" i="6"/>
  <c r="F202" i="6"/>
  <c r="E204" i="6"/>
  <c r="F204" i="6"/>
  <c r="D208" i="6"/>
  <c r="F24" i="7"/>
  <c r="F36" i="7"/>
  <c r="F60" i="7"/>
  <c r="F96" i="7"/>
  <c r="F108" i="7"/>
  <c r="C122" i="7"/>
  <c r="F113" i="7"/>
  <c r="F115" i="7"/>
  <c r="F117" i="7"/>
  <c r="F119" i="7"/>
  <c r="E22" i="8"/>
  <c r="F22" i="8"/>
  <c r="E38" i="8"/>
  <c r="F38" i="8"/>
  <c r="C41" i="8"/>
  <c r="D65" i="8"/>
  <c r="E39" i="9"/>
  <c r="F39" i="9"/>
  <c r="C15" i="10"/>
  <c r="E25" i="10"/>
  <c r="E27" i="10"/>
  <c r="E48" i="10"/>
  <c r="E42" i="10"/>
  <c r="C33" i="11"/>
  <c r="E33" i="11"/>
  <c r="E23" i="13"/>
  <c r="F23" i="13"/>
  <c r="E44" i="14"/>
  <c r="F44" i="14"/>
  <c r="F53" i="14"/>
  <c r="C208" i="6"/>
  <c r="C43" i="8"/>
  <c r="C65" i="8"/>
  <c r="E30" i="14"/>
  <c r="F30" i="14"/>
  <c r="F67" i="14"/>
  <c r="F100" i="14"/>
  <c r="C111" i="14"/>
  <c r="E110" i="14"/>
  <c r="F110" i="14"/>
  <c r="E123" i="14"/>
  <c r="F123" i="14"/>
  <c r="C124" i="14"/>
  <c r="F130" i="14"/>
  <c r="E135" i="14"/>
  <c r="F135" i="14"/>
  <c r="F144" i="14"/>
  <c r="F172" i="14"/>
  <c r="C173" i="14"/>
  <c r="E191" i="14"/>
  <c r="F191" i="14"/>
  <c r="C193" i="14"/>
  <c r="E198" i="14"/>
  <c r="F198" i="14"/>
  <c r="F230" i="14"/>
  <c r="C306" i="14"/>
  <c r="C280" i="14"/>
  <c r="D22" i="15"/>
  <c r="C43" i="15"/>
  <c r="C65" i="15"/>
  <c r="C163" i="15"/>
  <c r="E163" i="15"/>
  <c r="E240" i="15"/>
  <c r="C253" i="15"/>
  <c r="C254" i="15"/>
  <c r="E302" i="15"/>
  <c r="C65" i="16"/>
  <c r="C114" i="16"/>
  <c r="C116" i="16"/>
  <c r="C119" i="16"/>
  <c r="C123" i="16"/>
  <c r="E40" i="17"/>
  <c r="F40" i="17"/>
  <c r="F44" i="17"/>
  <c r="F45" i="17"/>
  <c r="C200" i="14"/>
  <c r="C71" i="15"/>
  <c r="C144" i="15"/>
  <c r="E161" i="15"/>
  <c r="C241" i="15"/>
  <c r="E241" i="15"/>
  <c r="C189" i="15"/>
  <c r="E189" i="15"/>
  <c r="D245" i="15"/>
  <c r="E265" i="15"/>
  <c r="C20" i="17"/>
  <c r="F19" i="17"/>
  <c r="E25" i="17"/>
  <c r="F25" i="17"/>
  <c r="C22" i="19"/>
  <c r="C23" i="19"/>
  <c r="E23" i="19"/>
  <c r="C101" i="19"/>
  <c r="C103" i="19"/>
  <c r="E301" i="15"/>
  <c r="C46" i="19"/>
  <c r="C111" i="19"/>
  <c r="C36" i="19"/>
  <c r="C54" i="19"/>
  <c r="C30" i="19"/>
  <c r="C40" i="19"/>
  <c r="F20" i="17"/>
  <c r="E20" i="17"/>
  <c r="E245" i="15"/>
  <c r="D253" i="15"/>
  <c r="C44" i="15"/>
  <c r="E43" i="15"/>
  <c r="E280" i="14"/>
  <c r="F280" i="14"/>
  <c r="C282" i="14"/>
  <c r="C194" i="14"/>
  <c r="C266" i="14"/>
  <c r="C174" i="14"/>
  <c r="C175" i="14"/>
  <c r="E173" i="14"/>
  <c r="F173" i="14"/>
  <c r="E111" i="14"/>
  <c r="F111" i="14"/>
  <c r="C36" i="11"/>
  <c r="C38" i="11"/>
  <c r="C40" i="11"/>
  <c r="F33" i="11"/>
  <c r="F36" i="11"/>
  <c r="F38" i="11"/>
  <c r="F40" i="11"/>
  <c r="E21" i="10"/>
  <c r="E22" i="10"/>
  <c r="E20" i="10"/>
  <c r="E200" i="14"/>
  <c r="F200" i="14"/>
  <c r="E43" i="8"/>
  <c r="F43" i="8"/>
  <c r="D102" i="15"/>
  <c r="D90" i="15"/>
  <c r="D264" i="15"/>
  <c r="D103" i="15"/>
  <c r="C180" i="15"/>
  <c r="E180" i="15"/>
  <c r="C168" i="15"/>
  <c r="E168" i="15"/>
  <c r="E144" i="15"/>
  <c r="C145" i="15"/>
  <c r="E54" i="19"/>
  <c r="E111" i="19"/>
  <c r="E36" i="19"/>
  <c r="E46" i="19"/>
  <c r="E30" i="19"/>
  <c r="E40" i="19"/>
  <c r="C45" i="19"/>
  <c r="C35" i="19"/>
  <c r="C110" i="19"/>
  <c r="C53" i="19"/>
  <c r="C29" i="19"/>
  <c r="C39" i="19"/>
  <c r="C76" i="15"/>
  <c r="E71" i="15"/>
  <c r="C66" i="15"/>
  <c r="E65" i="15"/>
  <c r="C294" i="15"/>
  <c r="E294" i="15"/>
  <c r="C246" i="15"/>
  <c r="E246" i="15"/>
  <c r="E22" i="15"/>
  <c r="D284" i="15"/>
  <c r="E284" i="15"/>
  <c r="C309" i="14"/>
  <c r="E306" i="14"/>
  <c r="E124" i="14"/>
  <c r="F124" i="14"/>
  <c r="C126" i="14"/>
  <c r="C125" i="14"/>
  <c r="C75" i="8"/>
  <c r="E36" i="11"/>
  <c r="E38" i="11"/>
  <c r="E40" i="11"/>
  <c r="G33" i="11"/>
  <c r="G36" i="11"/>
  <c r="G38" i="11"/>
  <c r="G40" i="11"/>
  <c r="C24" i="10"/>
  <c r="C20" i="10"/>
  <c r="C17" i="10"/>
  <c r="C28" i="10"/>
  <c r="E65" i="8"/>
  <c r="F65" i="8"/>
  <c r="D75" i="8"/>
  <c r="E75" i="8"/>
  <c r="E122" i="7"/>
  <c r="F122" i="7"/>
  <c r="E208" i="6"/>
  <c r="F208" i="6"/>
  <c r="D33" i="2"/>
  <c r="E19" i="2"/>
  <c r="F19" i="2"/>
  <c r="E193" i="14"/>
  <c r="F193" i="14"/>
  <c r="E41" i="17"/>
  <c r="F41" i="17"/>
  <c r="E41" i="8"/>
  <c r="F41" i="8"/>
  <c r="D91" i="15"/>
  <c r="D312" i="14"/>
  <c r="D313" i="14"/>
  <c r="E125" i="14"/>
  <c r="F125" i="14"/>
  <c r="C310" i="14"/>
  <c r="E309" i="14"/>
  <c r="F309" i="14"/>
  <c r="E66" i="15"/>
  <c r="C247" i="15"/>
  <c r="E247" i="15"/>
  <c r="C295" i="15"/>
  <c r="E295" i="15"/>
  <c r="C77" i="15"/>
  <c r="E76" i="15"/>
  <c r="C112" i="19"/>
  <c r="C47" i="19"/>
  <c r="C55" i="19"/>
  <c r="C37" i="19"/>
  <c r="E38" i="19"/>
  <c r="E56" i="19"/>
  <c r="E48" i="19"/>
  <c r="E113" i="19"/>
  <c r="D266" i="15"/>
  <c r="C176" i="14"/>
  <c r="E175" i="14"/>
  <c r="F175" i="14"/>
  <c r="E282" i="14"/>
  <c r="F282" i="14"/>
  <c r="C259" i="15"/>
  <c r="C258" i="15"/>
  <c r="C87" i="15"/>
  <c r="E87" i="15"/>
  <c r="C100" i="15"/>
  <c r="E100" i="15"/>
  <c r="C89" i="15"/>
  <c r="E89" i="15"/>
  <c r="C99" i="15"/>
  <c r="E99" i="15"/>
  <c r="C97" i="15"/>
  <c r="E97" i="15"/>
  <c r="C95" i="15"/>
  <c r="C98" i="15"/>
  <c r="E98" i="15"/>
  <c r="C83" i="15"/>
  <c r="C96" i="15"/>
  <c r="C85" i="15"/>
  <c r="E85" i="15"/>
  <c r="C88" i="15"/>
  <c r="E88" i="15"/>
  <c r="C86" i="15"/>
  <c r="E86" i="15"/>
  <c r="C84" i="15"/>
  <c r="C101" i="15"/>
  <c r="E101" i="15"/>
  <c r="E44" i="15"/>
  <c r="E253" i="15"/>
  <c r="D254" i="15"/>
  <c r="E254" i="15"/>
  <c r="D105" i="15"/>
  <c r="E33" i="2"/>
  <c r="F33" i="2"/>
  <c r="D41" i="2"/>
  <c r="C70" i="10"/>
  <c r="C72" i="10"/>
  <c r="C69" i="10"/>
  <c r="C22" i="10"/>
  <c r="F75" i="8"/>
  <c r="C127" i="14"/>
  <c r="E126" i="14"/>
  <c r="F126" i="14"/>
  <c r="C181" i="15"/>
  <c r="E181" i="15"/>
  <c r="E145" i="15"/>
  <c r="C169" i="15"/>
  <c r="E169" i="15"/>
  <c r="F174" i="14"/>
  <c r="E174" i="14"/>
  <c r="C265" i="14"/>
  <c r="E266" i="14"/>
  <c r="F266" i="14"/>
  <c r="C195" i="14"/>
  <c r="E194" i="14"/>
  <c r="C196" i="14"/>
  <c r="F194" i="14"/>
  <c r="C281" i="14"/>
  <c r="C48" i="19"/>
  <c r="C113" i="19"/>
  <c r="C56" i="19"/>
  <c r="C38" i="19"/>
  <c r="E281" i="14"/>
  <c r="F281" i="14"/>
  <c r="E196" i="14"/>
  <c r="F196" i="14"/>
  <c r="E195" i="14"/>
  <c r="F195" i="14"/>
  <c r="C197" i="14"/>
  <c r="C148" i="14"/>
  <c r="E127" i="14"/>
  <c r="F127" i="14"/>
  <c r="D48" i="2"/>
  <c r="E48" i="2"/>
  <c r="F48" i="2"/>
  <c r="E41" i="2"/>
  <c r="F41" i="2"/>
  <c r="C90" i="15"/>
  <c r="E90" i="15"/>
  <c r="E84" i="15"/>
  <c r="C102" i="15"/>
  <c r="E102" i="15"/>
  <c r="E96" i="15"/>
  <c r="C263" i="15"/>
  <c r="E263" i="15"/>
  <c r="E259" i="15"/>
  <c r="D251" i="14"/>
  <c r="D314" i="14"/>
  <c r="D256" i="14"/>
  <c r="D315" i="14"/>
  <c r="E265" i="14"/>
  <c r="F265" i="14"/>
  <c r="C91" i="15"/>
  <c r="E83" i="15"/>
  <c r="C103" i="15"/>
  <c r="E103" i="15"/>
  <c r="E95" i="15"/>
  <c r="C264" i="15"/>
  <c r="E258" i="15"/>
  <c r="E176" i="14"/>
  <c r="F176" i="14"/>
  <c r="C183" i="14"/>
  <c r="C211" i="14"/>
  <c r="C323" i="14"/>
  <c r="D267" i="15"/>
  <c r="C125" i="15"/>
  <c r="E125" i="15"/>
  <c r="C114" i="15"/>
  <c r="E114" i="15"/>
  <c r="C127" i="15"/>
  <c r="E127" i="15"/>
  <c r="C112" i="15"/>
  <c r="E112" i="15"/>
  <c r="C111" i="15"/>
  <c r="E111" i="15"/>
  <c r="C126" i="15"/>
  <c r="E126" i="15"/>
  <c r="C124" i="15"/>
  <c r="E124" i="15"/>
  <c r="E77" i="15"/>
  <c r="C121" i="15"/>
  <c r="C110" i="15"/>
  <c r="C123" i="15"/>
  <c r="E123" i="15"/>
  <c r="C122" i="15"/>
  <c r="C109" i="15"/>
  <c r="C115" i="15"/>
  <c r="E115" i="15"/>
  <c r="C113" i="15"/>
  <c r="E113" i="15"/>
  <c r="C312" i="14"/>
  <c r="E310" i="14"/>
  <c r="F310" i="14"/>
  <c r="C313" i="14"/>
  <c r="E312" i="14"/>
  <c r="F312" i="14"/>
  <c r="C128" i="15"/>
  <c r="E128" i="15"/>
  <c r="E122" i="15"/>
  <c r="C116" i="15"/>
  <c r="E116" i="15"/>
  <c r="E110" i="15"/>
  <c r="D268" i="15"/>
  <c r="D269" i="15"/>
  <c r="E323" i="14"/>
  <c r="C325" i="14"/>
  <c r="F323" i="14"/>
  <c r="E183" i="14"/>
  <c r="F183" i="14"/>
  <c r="D318" i="14"/>
  <c r="C117" i="15"/>
  <c r="E109" i="15"/>
  <c r="E121" i="15"/>
  <c r="C129" i="15"/>
  <c r="E129" i="15"/>
  <c r="E211" i="14"/>
  <c r="F211" i="14"/>
  <c r="C266" i="15"/>
  <c r="E264" i="15"/>
  <c r="C105" i="15"/>
  <c r="E105" i="15"/>
  <c r="E91" i="15"/>
  <c r="D257" i="14"/>
  <c r="E148" i="14"/>
  <c r="F148" i="14"/>
  <c r="E197" i="14"/>
  <c r="F197" i="14"/>
  <c r="E266" i="15"/>
  <c r="C267" i="15"/>
  <c r="E117" i="15"/>
  <c r="C131" i="15"/>
  <c r="E131" i="15"/>
  <c r="E325" i="14"/>
  <c r="F325" i="14"/>
  <c r="D271" i="15"/>
  <c r="C251" i="14"/>
  <c r="C256" i="14"/>
  <c r="C315" i="14"/>
  <c r="C314" i="14"/>
  <c r="E313" i="14"/>
  <c r="F313" i="14"/>
  <c r="C318" i="14"/>
  <c r="E314" i="14"/>
  <c r="F314" i="14"/>
  <c r="C257" i="14"/>
  <c r="E256" i="14"/>
  <c r="F256" i="14"/>
  <c r="E315" i="14"/>
  <c r="F315" i="14"/>
  <c r="E251" i="14"/>
  <c r="F251" i="14"/>
  <c r="C269" i="15"/>
  <c r="E269" i="15"/>
  <c r="C268" i="15"/>
  <c r="E267" i="15"/>
  <c r="F318" i="14"/>
  <c r="E318" i="14"/>
  <c r="C271" i="15"/>
  <c r="E271" i="15"/>
  <c r="E268" i="15"/>
  <c r="F257" i="14"/>
  <c r="E257" i="14"/>
</calcChain>
</file>

<file path=xl/sharedStrings.xml><?xml version="1.0" encoding="utf-8"?>
<sst xmlns="http://schemas.openxmlformats.org/spreadsheetml/2006/main" count="2302" uniqueCount="979">
  <si>
    <t>HARTFORD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</si>
  <si>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</si>
  <si>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</si>
  <si>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</si>
  <si>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</si>
  <si>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</si>
  <si>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</si>
  <si>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</si>
  <si>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</si>
  <si>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</si>
  <si>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</si>
  <si>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</si>
  <si>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</si>
  <si>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</si>
  <si>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</si>
  <si>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</si>
  <si>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</si>
  <si>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</si>
  <si>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</si>
  <si>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</si>
  <si>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</si>
  <si>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</si>
  <si>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</si>
  <si>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</si>
  <si>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</si>
  <si>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</si>
  <si>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</si>
  <si>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</si>
  <si>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</si>
  <si>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</si>
  <si>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</si>
  <si>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</si>
  <si>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</si>
  <si>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</si>
  <si>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</si>
  <si>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</si>
  <si>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</si>
  <si>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</si>
  <si>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</si>
  <si>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</si>
  <si>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</si>
  <si>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</si>
  <si>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</si>
  <si>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</si>
  <si>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</si>
  <si>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</si>
  <si>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</si>
  <si>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</si>
  <si>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</si>
  <si>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</si>
  <si>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</si>
  <si>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</si>
  <si>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</si>
  <si>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</si>
  <si>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</si>
  <si>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</si>
  <si>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</si>
  <si>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</si>
  <si>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</si>
  <si>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</si>
  <si>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</si>
  <si>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</si>
  <si>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</si>
  <si>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</si>
  <si>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</si>
  <si>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</si>
  <si>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</si>
  <si>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</si>
  <si>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</si>
  <si>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</si>
  <si>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</si>
  <si>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</si>
  <si>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</si>
  <si>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</si>
  <si>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</si>
  <si>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</si>
  <si>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</si>
  <si>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</si>
  <si>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</si>
  <si>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</si>
  <si>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</si>
  <si>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</si>
  <si>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</si>
  <si>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</si>
  <si>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</si>
  <si>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</si>
  <si>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</si>
  <si>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</si>
  <si>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</si>
  <si>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</si>
  <si>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</si>
  <si>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</si>
  <si>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</si>
  <si>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</si>
  <si>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</si>
  <si>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</si>
  <si>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</si>
  <si>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</si>
  <si>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</si>
  <si>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</si>
  <si>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</si>
  <si>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</si>
  <si>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</si>
  <si>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</si>
  <si>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</si>
  <si>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</si>
  <si>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</si>
  <si>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</si>
  <si>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</si>
  <si>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</si>
  <si>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</si>
  <si>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</si>
  <si>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</si>
  <si>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</si>
  <si>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</si>
  <si>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</si>
  <si>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</si>
  <si>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</si>
  <si>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</si>
  <si>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</si>
  <si>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</si>
  <si>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</si>
  <si>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</si>
  <si>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</si>
  <si>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</si>
  <si>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</si>
  <si>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</si>
  <si>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</si>
  <si>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</si>
  <si>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</si>
  <si>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</si>
  <si>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</si>
  <si>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</si>
  <si>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</si>
  <si>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</si>
  <si>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</si>
  <si>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</si>
  <si>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</si>
  <si>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</si>
  <si>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</si>
  <si>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</si>
  <si>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</si>
  <si>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</si>
  <si>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</si>
  <si>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</si>
  <si>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</si>
  <si>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</si>
  <si>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</si>
  <si>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</si>
  <si>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</si>
  <si>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</si>
  <si>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</si>
  <si>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</si>
  <si>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</si>
  <si>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</si>
  <si>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</si>
  <si>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</si>
  <si>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</si>
  <si>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</si>
  <si>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</si>
  <si>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</si>
  <si>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</si>
  <si>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</si>
  <si>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</si>
  <si>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</si>
  <si>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</si>
  <si>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</si>
  <si>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</si>
  <si>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</si>
  <si>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</si>
  <si>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</si>
  <si>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</si>
  <si>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</si>
  <si>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</si>
  <si>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</si>
  <si>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</si>
  <si>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</si>
  <si>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</si>
  <si>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</si>
  <si>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</si>
  <si>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</si>
  <si>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</si>
  <si>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</si>
  <si>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</si>
  <si>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</si>
  <si>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</si>
  <si>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</si>
  <si>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</si>
  <si>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</si>
  <si>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</si>
  <si>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</si>
  <si>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</si>
  <si>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</si>
  <si>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</si>
  <si>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</si>
  <si>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</si>
  <si>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</si>
  <si>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</si>
  <si>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</si>
  <si>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</si>
  <si>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</si>
  <si>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</si>
  <si>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</si>
  <si>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</si>
  <si>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</si>
  <si>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</si>
  <si>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</si>
  <si>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</si>
  <si>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</si>
  <si>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</si>
  <si>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</si>
  <si>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</si>
  <si>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</si>
  <si>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</si>
  <si>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</si>
  <si>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</si>
  <si>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</si>
  <si>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</si>
  <si>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</si>
  <si>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</si>
  <si>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</si>
  <si>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</si>
  <si>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</si>
  <si>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</si>
  <si>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</si>
  <si>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</si>
  <si>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</si>
  <si>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</si>
  <si>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</si>
  <si>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</si>
  <si>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</si>
  <si>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</si>
  <si>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</si>
  <si>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</si>
  <si>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</si>
  <si>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</si>
  <si>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</si>
  <si>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</si>
  <si>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</si>
  <si>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</si>
  <si>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</si>
  <si>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</si>
  <si>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</si>
  <si>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</si>
  <si>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</si>
  <si>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</si>
  <si>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</si>
  <si>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</si>
  <si>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</si>
  <si>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</si>
  <si>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</si>
  <si>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</si>
  <si>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</si>
  <si>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</si>
  <si>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</si>
  <si>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</si>
  <si>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</si>
  <si>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</si>
  <si>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</si>
  <si>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</si>
  <si>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</si>
  <si>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</si>
  <si>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</si>
  <si>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</si>
  <si>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</si>
  <si>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</si>
  <si>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</si>
  <si>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</si>
  <si>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</si>
  <si>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</si>
  <si>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</si>
  <si>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</si>
  <si>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</si>
  <si>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</si>
  <si>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</si>
  <si>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</si>
  <si>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</si>
  <si>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</si>
  <si>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</si>
  <si>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</si>
  <si>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</si>
  <si>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</si>
  <si>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</si>
  <si>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</si>
  <si>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</si>
  <si>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</si>
  <si>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</si>
  <si>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</si>
  <si>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</si>
  <si>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</si>
  <si>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</si>
  <si>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</si>
  <si>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</si>
  <si>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</si>
  <si>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</si>
  <si>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</si>
  <si>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</si>
  <si>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</si>
  <si>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</si>
  <si>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</si>
  <si>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</si>
  <si>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</si>
  <si>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</si>
  <si>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</si>
  <si>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</si>
  <si>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</si>
  <si>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</si>
  <si>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</si>
  <si>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</si>
  <si>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</si>
  <si>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</si>
  <si>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</si>
  <si>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</si>
  <si>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</si>
  <si>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</si>
  <si>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</si>
  <si>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</si>
  <si>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</si>
  <si>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</si>
  <si>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</si>
  <si>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</si>
  <si>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</si>
  <si>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</si>
  <si>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</si>
  <si>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</si>
  <si>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</si>
  <si>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</si>
  <si>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</si>
  <si>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</si>
  <si>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</si>
  <si>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</si>
  <si>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</si>
  <si>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</si>
  <si>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</si>
  <si>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</si>
  <si>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</si>
  <si>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</si>
  <si>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</si>
  <si>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</si>
  <si>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</si>
  <si>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</si>
  <si>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</si>
  <si>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</si>
  <si>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</si>
  <si>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</si>
  <si>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</si>
  <si>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</si>
  <si>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</si>
  <si>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</si>
  <si>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</si>
  <si>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</si>
  <si>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</si>
  <si>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</si>
  <si>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</si>
  <si>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</si>
  <si>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</si>
  <si>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</si>
  <si>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</si>
  <si>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</si>
  <si>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</si>
  <si>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</si>
  <si>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</si>
  <si>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</si>
  <si>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</si>
  <si>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</si>
  <si>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</si>
  <si>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</si>
  <si>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</si>
  <si>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</si>
  <si>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</si>
  <si>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</si>
  <si>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</si>
  <si>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</si>
  <si>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</si>
  <si>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</si>
  <si>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</si>
  <si>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</si>
  <si>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</si>
  <si>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</si>
  <si>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</si>
  <si>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</si>
  <si>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</si>
  <si>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</si>
  <si>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</si>
  <si>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</si>
  <si>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</si>
  <si>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</si>
  <si>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</si>
  <si>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</si>
  <si>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</si>
  <si>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</si>
  <si>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</si>
  <si>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</si>
  <si>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</si>
  <si>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</si>
  <si>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</si>
  <si>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</si>
  <si>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</si>
  <si>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</si>
  <si>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</si>
  <si>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</si>
  <si>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</si>
  <si>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</si>
  <si>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</si>
  <si>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</si>
  <si>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</si>
  <si>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</si>
  <si>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</si>
  <si>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</si>
  <si>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</si>
  <si>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</si>
  <si>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</si>
  <si>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</si>
  <si>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</si>
  <si>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</si>
  <si>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</si>
  <si>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</si>
  <si>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</si>
  <si>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</si>
  <si>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</si>
  <si>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</si>
  <si>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</si>
  <si>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</si>
  <si>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</si>
  <si>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</si>
  <si>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</si>
  <si>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</si>
  <si>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</si>
  <si>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</si>
  <si>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</si>
  <si>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</si>
  <si>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</si>
  <si>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</si>
  <si>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</si>
  <si>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</si>
  <si>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</si>
  <si>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</si>
  <si>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</si>
  <si>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</si>
  <si>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</si>
  <si>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</si>
  <si>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</si>
  <si>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</si>
  <si>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</si>
  <si>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</si>
  <si>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</si>
  <si>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</si>
  <si>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</si>
  <si>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</si>
  <si>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</si>
  <si>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</si>
  <si>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</si>
  <si>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</si>
  <si>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</si>
  <si>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</si>
  <si>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</si>
  <si>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</si>
  <si>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</si>
  <si>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</si>
  <si>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</si>
  <si>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</si>
  <si>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</si>
  <si>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</si>
  <si>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</si>
  <si>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</si>
  <si>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</si>
  <si>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</si>
  <si>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</si>
  <si>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</si>
  <si>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</si>
  <si>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</si>
  <si>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</si>
  <si>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</si>
  <si>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</si>
  <si>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</si>
  <si>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</si>
  <si>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</si>
  <si>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</si>
  <si>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</si>
  <si>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HARTFORD HEALTH CARE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</si>
  <si>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</si>
  <si>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</si>
  <si>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</si>
  <si>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</si>
  <si>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</si>
  <si>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</si>
  <si>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</si>
  <si>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</si>
  <si>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</si>
  <si>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</si>
  <si>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</si>
  <si>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</si>
  <si>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</si>
  <si>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</si>
  <si>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</si>
  <si>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</si>
  <si>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</si>
  <si>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</si>
  <si>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</si>
  <si>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</si>
  <si>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</si>
  <si>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</si>
  <si>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</si>
  <si>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</si>
  <si>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</si>
  <si>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</si>
  <si>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</si>
  <si>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</si>
  <si>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</si>
  <si>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</si>
  <si>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</si>
  <si>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</si>
  <si>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</si>
  <si>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</si>
  <si>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</si>
  <si>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</si>
  <si>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</si>
  <si>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</si>
  <si>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</si>
  <si>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</si>
  <si>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</si>
  <si>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</si>
  <si>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</si>
  <si>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</si>
  <si>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</si>
  <si>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</si>
  <si>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</si>
  <si>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</si>
  <si>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</si>
  <si>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</si>
  <si>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</si>
  <si>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</si>
  <si>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</si>
  <si>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</si>
  <si>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</si>
  <si>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</si>
  <si>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</si>
  <si>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</si>
  <si>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</si>
  <si>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</si>
  <si>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</si>
  <si>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</si>
  <si>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</si>
  <si>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</si>
  <si>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</si>
  <si>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</si>
  <si>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</si>
  <si>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</si>
  <si>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</si>
  <si>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</si>
  <si>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</si>
  <si>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</si>
  <si>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</si>
  <si>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</si>
  <si>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</si>
  <si>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</si>
  <si>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</si>
  <si>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</si>
  <si>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</si>
  <si>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</si>
  <si>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</si>
  <si>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</si>
  <si>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</si>
  <si>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</si>
  <si>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</si>
  <si>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</si>
  <si>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</si>
  <si>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</si>
  <si>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</si>
  <si>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</si>
  <si>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</si>
  <si>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</si>
  <si>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</si>
  <si>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</si>
  <si>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</si>
  <si>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</si>
  <si>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</si>
  <si>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</si>
  <si>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</si>
  <si>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</si>
  <si>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</si>
  <si>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</si>
  <si>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</si>
  <si>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Hartford Hospital</t>
  </si>
  <si>
    <t>West Hartford Surgery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</si>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</sst>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13957075</v>
      </c>
      <c r="D13" s="23">
        <v>33536251</v>
      </c>
      <c r="E13" s="23">
        <f t="shared" ref="E13:E22" si="0">D13-C13</f>
        <v>19579176</v>
      </c>
      <c r="F13" s="24">
        <f t="shared" ref="F13:F22" si="1">IF(C13=0,0,E13/C13)</f>
        <v>1.402813698428933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116952445</v>
      </c>
      <c r="D15" s="23">
        <v>116439803</v>
      </c>
      <c r="E15" s="23">
        <f t="shared" si="0"/>
        <v>-512642</v>
      </c>
      <c r="F15" s="24">
        <f t="shared" si="1"/>
        <v>-4.3833371760633134E-3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-4120386</v>
      </c>
      <c r="D17" s="23">
        <v>8221672</v>
      </c>
      <c r="E17" s="23">
        <f t="shared" si="0"/>
        <v>12342058</v>
      </c>
      <c r="F17" s="24">
        <f t="shared" si="1"/>
        <v>-2.9953645119656267</v>
      </c>
    </row>
    <row r="18" spans="1:11" ht="24" customHeight="1" x14ac:dyDescent="0.2">
      <c r="A18" s="21">
        <v>6</v>
      </c>
      <c r="B18" s="22" t="s">
        <v>21</v>
      </c>
      <c r="C18" s="23">
        <v>6972476</v>
      </c>
      <c r="D18" s="23">
        <v>0</v>
      </c>
      <c r="E18" s="23">
        <f t="shared" si="0"/>
        <v>-6972476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10595678</v>
      </c>
      <c r="D19" s="23">
        <v>10906251</v>
      </c>
      <c r="E19" s="23">
        <f t="shared" si="0"/>
        <v>310573</v>
      </c>
      <c r="F19" s="24">
        <f t="shared" si="1"/>
        <v>2.9311290886718151E-2</v>
      </c>
    </row>
    <row r="20" spans="1:11" ht="24" customHeight="1" x14ac:dyDescent="0.2">
      <c r="A20" s="21">
        <v>8</v>
      </c>
      <c r="B20" s="22" t="s">
        <v>23</v>
      </c>
      <c r="C20" s="23">
        <v>14983134</v>
      </c>
      <c r="D20" s="23">
        <v>16882386</v>
      </c>
      <c r="E20" s="23">
        <f t="shared" si="0"/>
        <v>1899252</v>
      </c>
      <c r="F20" s="24">
        <f t="shared" si="1"/>
        <v>0.12675932818861527</v>
      </c>
    </row>
    <row r="21" spans="1:11" ht="24" customHeight="1" x14ac:dyDescent="0.2">
      <c r="A21" s="21">
        <v>9</v>
      </c>
      <c r="B21" s="22" t="s">
        <v>24</v>
      </c>
      <c r="C21" s="23">
        <v>16067104</v>
      </c>
      <c r="D21" s="23">
        <v>23036236</v>
      </c>
      <c r="E21" s="23">
        <f t="shared" si="0"/>
        <v>6969132</v>
      </c>
      <c r="F21" s="24">
        <f t="shared" si="1"/>
        <v>0.43375159580718464</v>
      </c>
    </row>
    <row r="22" spans="1:11" ht="24" customHeight="1" x14ac:dyDescent="0.25">
      <c r="A22" s="25"/>
      <c r="B22" s="26" t="s">
        <v>25</v>
      </c>
      <c r="C22" s="27">
        <f>SUM(C13:C21)</f>
        <v>175407526</v>
      </c>
      <c r="D22" s="27">
        <f>SUM(D13:D21)</f>
        <v>209022599</v>
      </c>
      <c r="E22" s="27">
        <f t="shared" si="0"/>
        <v>33615073</v>
      </c>
      <c r="F22" s="28">
        <f t="shared" si="1"/>
        <v>0.19163985586342516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91129918</v>
      </c>
      <c r="D25" s="23">
        <v>95521928</v>
      </c>
      <c r="E25" s="23">
        <f>D25-C25</f>
        <v>4392010</v>
      </c>
      <c r="F25" s="24">
        <f>IF(C25=0,0,E25/C25)</f>
        <v>4.8195039525877767E-2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270851312</v>
      </c>
      <c r="D28" s="23">
        <v>289276135</v>
      </c>
      <c r="E28" s="23">
        <f>D28-C28</f>
        <v>18424823</v>
      </c>
      <c r="F28" s="24">
        <f>IF(C28=0,0,E28/C28)</f>
        <v>6.8025599964603459E-2</v>
      </c>
    </row>
    <row r="29" spans="1:11" ht="24" customHeight="1" x14ac:dyDescent="0.25">
      <c r="A29" s="25"/>
      <c r="B29" s="26" t="s">
        <v>32</v>
      </c>
      <c r="C29" s="27">
        <f>SUM(C25:C28)</f>
        <v>361981230</v>
      </c>
      <c r="D29" s="27">
        <f>SUM(D25:D28)</f>
        <v>384798063</v>
      </c>
      <c r="E29" s="27">
        <f>D29-C29</f>
        <v>22816833</v>
      </c>
      <c r="F29" s="28">
        <f>IF(C29=0,0,E29/C29)</f>
        <v>6.3033193737697391E-2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15708815</v>
      </c>
      <c r="D33" s="23">
        <v>34928556</v>
      </c>
      <c r="E33" s="23">
        <f>D33-C33</f>
        <v>19219741</v>
      </c>
      <c r="F33" s="24">
        <f>IF(C33=0,0,E33/C33)</f>
        <v>1.2235003722432278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750450223</v>
      </c>
      <c r="D36" s="23">
        <v>797924023</v>
      </c>
      <c r="E36" s="23">
        <f>D36-C36</f>
        <v>47473800</v>
      </c>
      <c r="F36" s="24">
        <f>IF(C36=0,0,E36/C36)</f>
        <v>6.3260424935605616E-2</v>
      </c>
    </row>
    <row r="37" spans="1:8" ht="24" customHeight="1" x14ac:dyDescent="0.2">
      <c r="A37" s="21">
        <v>2</v>
      </c>
      <c r="B37" s="22" t="s">
        <v>39</v>
      </c>
      <c r="C37" s="23">
        <v>512321937</v>
      </c>
      <c r="D37" s="23">
        <v>552907136</v>
      </c>
      <c r="E37" s="23">
        <f>D37-C37</f>
        <v>40585199</v>
      </c>
      <c r="F37" s="24">
        <f>IF(C37=0,0,E37/C37)</f>
        <v>7.9218155751156136E-2</v>
      </c>
    </row>
    <row r="38" spans="1:8" ht="24" customHeight="1" x14ac:dyDescent="0.25">
      <c r="A38" s="25"/>
      <c r="B38" s="26" t="s">
        <v>40</v>
      </c>
      <c r="C38" s="27">
        <f>C36-C37</f>
        <v>238128286</v>
      </c>
      <c r="D38" s="27">
        <f>D36-D37</f>
        <v>245016887</v>
      </c>
      <c r="E38" s="27">
        <f>D38-C38</f>
        <v>6888601</v>
      </c>
      <c r="F38" s="28">
        <f>IF(C38=0,0,E38/C38)</f>
        <v>2.8928108943764876E-2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28598070</v>
      </c>
      <c r="D40" s="23">
        <v>36889362</v>
      </c>
      <c r="E40" s="23">
        <f>D40-C40</f>
        <v>8291292</v>
      </c>
      <c r="F40" s="24">
        <f>IF(C40=0,0,E40/C40)</f>
        <v>0.28992487954606727</v>
      </c>
    </row>
    <row r="41" spans="1:8" ht="24" customHeight="1" x14ac:dyDescent="0.25">
      <c r="A41" s="25"/>
      <c r="B41" s="26" t="s">
        <v>42</v>
      </c>
      <c r="C41" s="27">
        <f>+C38+C40</f>
        <v>266726356</v>
      </c>
      <c r="D41" s="27">
        <f>+D38+D40</f>
        <v>281906249</v>
      </c>
      <c r="E41" s="27">
        <f>D41-C41</f>
        <v>15179893</v>
      </c>
      <c r="F41" s="28">
        <f>IF(C41=0,0,E41/C41)</f>
        <v>5.6911859883842897E-2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819823927</v>
      </c>
      <c r="D43" s="27">
        <f>D22+D29+D31+D32+D33+D41</f>
        <v>910655467</v>
      </c>
      <c r="E43" s="27">
        <f>D43-C43</f>
        <v>90831540</v>
      </c>
      <c r="F43" s="28">
        <f>IF(C43=0,0,E43/C43)</f>
        <v>0.11079396076226011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44618325</v>
      </c>
      <c r="D49" s="23">
        <v>41856450</v>
      </c>
      <c r="E49" s="23">
        <f t="shared" ref="E49:E56" si="2">D49-C49</f>
        <v>-2761875</v>
      </c>
      <c r="F49" s="24">
        <f t="shared" ref="F49:F56" si="3">IF(C49=0,0,E49/C49)</f>
        <v>-6.190001529640568E-2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37105008</v>
      </c>
      <c r="D50" s="23">
        <v>21592183</v>
      </c>
      <c r="E50" s="23">
        <f t="shared" si="2"/>
        <v>-15512825</v>
      </c>
      <c r="F50" s="24">
        <f t="shared" si="3"/>
        <v>-0.4180790097121122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1980663</v>
      </c>
      <c r="E51" s="23">
        <f t="shared" si="2"/>
        <v>1980663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17019901</v>
      </c>
      <c r="D53" s="23">
        <v>16408879</v>
      </c>
      <c r="E53" s="23">
        <f t="shared" si="2"/>
        <v>-611022</v>
      </c>
      <c r="F53" s="24">
        <f t="shared" si="3"/>
        <v>-3.5900443839244421E-2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10001011</v>
      </c>
      <c r="D54" s="23">
        <v>30300808</v>
      </c>
      <c r="E54" s="23">
        <f t="shared" si="2"/>
        <v>20299797</v>
      </c>
      <c r="F54" s="24">
        <f t="shared" si="3"/>
        <v>2.0297744897990815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20856731</v>
      </c>
      <c r="D55" s="23">
        <v>20015802</v>
      </c>
      <c r="E55" s="23">
        <f t="shared" si="2"/>
        <v>-840929</v>
      </c>
      <c r="F55" s="24">
        <f t="shared" si="3"/>
        <v>-4.0319309866920179E-2</v>
      </c>
    </row>
    <row r="56" spans="1:6" ht="24" customHeight="1" x14ac:dyDescent="0.25">
      <c r="A56" s="25"/>
      <c r="B56" s="26" t="s">
        <v>54</v>
      </c>
      <c r="C56" s="27">
        <f>SUM(C49:C55)</f>
        <v>129600976</v>
      </c>
      <c r="D56" s="27">
        <f>SUM(D49:D55)</f>
        <v>132154785</v>
      </c>
      <c r="E56" s="27">
        <f t="shared" si="2"/>
        <v>2553809</v>
      </c>
      <c r="F56" s="28">
        <f t="shared" si="3"/>
        <v>1.9705167961080787E-2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45940000</v>
      </c>
      <c r="D59" s="23">
        <v>62156676</v>
      </c>
      <c r="E59" s="23">
        <f>D59-C59</f>
        <v>16216676</v>
      </c>
      <c r="F59" s="24">
        <f>IF(C59=0,0,E59/C59)</f>
        <v>0.35299686547670878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45940000</v>
      </c>
      <c r="D61" s="27">
        <f>SUM(D59:D60)</f>
        <v>62156676</v>
      </c>
      <c r="E61" s="27">
        <f>D61-C61</f>
        <v>16216676</v>
      </c>
      <c r="F61" s="28">
        <f>IF(C61=0,0,E61/C61)</f>
        <v>0.35299686547670878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240294553</v>
      </c>
      <c r="D64" s="23">
        <v>288624232</v>
      </c>
      <c r="E64" s="23">
        <f>D64-C64</f>
        <v>48329679</v>
      </c>
      <c r="F64" s="24">
        <f>IF(C64=0,0,E64/C64)</f>
        <v>0.20112681871735977</v>
      </c>
    </row>
    <row r="65" spans="1:6" ht="24" customHeight="1" x14ac:dyDescent="0.25">
      <c r="A65" s="25"/>
      <c r="B65" s="26" t="s">
        <v>61</v>
      </c>
      <c r="C65" s="27">
        <f>SUM(C61:C64)</f>
        <v>286234553</v>
      </c>
      <c r="D65" s="27">
        <f>SUM(D61:D64)</f>
        <v>350780908</v>
      </c>
      <c r="E65" s="27">
        <f>D65-C65</f>
        <v>64546355</v>
      </c>
      <c r="F65" s="28">
        <f>IF(C65=0,0,E65/C65)</f>
        <v>0.22550161859738854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164603489</v>
      </c>
      <c r="D70" s="23">
        <v>178313676</v>
      </c>
      <c r="E70" s="23">
        <f>D70-C70</f>
        <v>13710187</v>
      </c>
      <c r="F70" s="24">
        <f>IF(C70=0,0,E70/C70)</f>
        <v>8.3292201661654935E-2</v>
      </c>
    </row>
    <row r="71" spans="1:6" ht="24" customHeight="1" x14ac:dyDescent="0.2">
      <c r="A71" s="21">
        <v>2</v>
      </c>
      <c r="B71" s="22" t="s">
        <v>65</v>
      </c>
      <c r="C71" s="23">
        <v>85669294</v>
      </c>
      <c r="D71" s="23">
        <v>89881759</v>
      </c>
      <c r="E71" s="23">
        <f>D71-C71</f>
        <v>4212465</v>
      </c>
      <c r="F71" s="24">
        <f>IF(C71=0,0,E71/C71)</f>
        <v>4.9171235145231848E-2</v>
      </c>
    </row>
    <row r="72" spans="1:6" ht="24" customHeight="1" x14ac:dyDescent="0.2">
      <c r="A72" s="21">
        <v>3</v>
      </c>
      <c r="B72" s="22" t="s">
        <v>66</v>
      </c>
      <c r="C72" s="23">
        <v>153715615</v>
      </c>
      <c r="D72" s="23">
        <v>159524339</v>
      </c>
      <c r="E72" s="23">
        <f>D72-C72</f>
        <v>5808724</v>
      </c>
      <c r="F72" s="24">
        <f>IF(C72=0,0,E72/C72)</f>
        <v>3.7788769865702974E-2</v>
      </c>
    </row>
    <row r="73" spans="1:6" ht="24" customHeight="1" x14ac:dyDescent="0.25">
      <c r="A73" s="21"/>
      <c r="B73" s="26" t="s">
        <v>67</v>
      </c>
      <c r="C73" s="27">
        <f>SUM(C70:C72)</f>
        <v>403988398</v>
      </c>
      <c r="D73" s="27">
        <f>SUM(D70:D72)</f>
        <v>427719774</v>
      </c>
      <c r="E73" s="27">
        <f>D73-C73</f>
        <v>23731376</v>
      </c>
      <c r="F73" s="28">
        <f>IF(C73=0,0,E73/C73)</f>
        <v>5.874271666583851E-2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819823927</v>
      </c>
      <c r="D75" s="27">
        <f>D56+D65+D67+D73</f>
        <v>910655467</v>
      </c>
      <c r="E75" s="27">
        <f>D75-C75</f>
        <v>90831540</v>
      </c>
      <c r="F75" s="28">
        <f>IF(C75=0,0,E75/C75)</f>
        <v>0.11079396076226011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1026069000</v>
      </c>
      <c r="D11" s="51">
        <v>1118786000</v>
      </c>
      <c r="E11" s="51">
        <v>1242385000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185202000</v>
      </c>
      <c r="D12" s="49">
        <v>173157000</v>
      </c>
      <c r="E12" s="49">
        <v>184106000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1211271000</v>
      </c>
      <c r="D13" s="51">
        <f>+D11+D12</f>
        <v>1291943000</v>
      </c>
      <c r="E13" s="51">
        <f>+E11+E12</f>
        <v>1426491000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1212021000</v>
      </c>
      <c r="D14" s="49">
        <v>1281487000</v>
      </c>
      <c r="E14" s="49">
        <v>1408349000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-750000</v>
      </c>
      <c r="D15" s="51">
        <f>+D13-D14</f>
        <v>10456000</v>
      </c>
      <c r="E15" s="51">
        <f>+E13-E14</f>
        <v>18142000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-48648000</v>
      </c>
      <c r="D16" s="49">
        <v>-17330000</v>
      </c>
      <c r="E16" s="49">
        <v>31845000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-49398000</v>
      </c>
      <c r="D17" s="51">
        <f>D15+D16</f>
        <v>-6874000</v>
      </c>
      <c r="E17" s="51">
        <f>E15+E16</f>
        <v>49987000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-6.4509303531755347E-4</v>
      </c>
      <c r="D20" s="169">
        <f>IF(+D27=0,0,+D24/+D27)</f>
        <v>8.2032742487327531E-3</v>
      </c>
      <c r="E20" s="169">
        <f>IF(+E27=0,0,+E24/+E27)</f>
        <v>1.2440205823623637E-2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-4.1843314642837789E-2</v>
      </c>
      <c r="D21" s="169">
        <f>IF(+D27=0,0,+D26/+D27)</f>
        <v>-1.3596283734749293E-2</v>
      </c>
      <c r="E21" s="169">
        <f>IF(+E27=0,0,+E26/+E27)</f>
        <v>2.183653149891383E-2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-4.2488407678155343E-2</v>
      </c>
      <c r="D22" s="169">
        <f>IF(+D27=0,0,+D28/+D27)</f>
        <v>-5.3930094860165402E-3</v>
      </c>
      <c r="E22" s="169">
        <f>IF(+E27=0,0,+E28/+E27)</f>
        <v>3.4276737322537471E-2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-750000</v>
      </c>
      <c r="D24" s="51">
        <f>+D15</f>
        <v>10456000</v>
      </c>
      <c r="E24" s="51">
        <f>+E15</f>
        <v>18142000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1211271000</v>
      </c>
      <c r="D25" s="51">
        <f>+D13</f>
        <v>1291943000</v>
      </c>
      <c r="E25" s="51">
        <f>+E13</f>
        <v>1426491000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-48648000</v>
      </c>
      <c r="D26" s="51">
        <f>+D16</f>
        <v>-17330000</v>
      </c>
      <c r="E26" s="51">
        <f>+E16</f>
        <v>31845000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1162623000</v>
      </c>
      <c r="D27" s="51">
        <f>SUM(D25:D26)</f>
        <v>1274613000</v>
      </c>
      <c r="E27" s="51">
        <f>SUM(E25:E26)</f>
        <v>1458336000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-49398000</v>
      </c>
      <c r="D28" s="51">
        <f>+D17</f>
        <v>-6874000</v>
      </c>
      <c r="E28" s="51">
        <f>+E17</f>
        <v>49987000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640110000</v>
      </c>
      <c r="D31" s="51">
        <v>350486000</v>
      </c>
      <c r="E31" s="52">
        <v>376306000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972328000</v>
      </c>
      <c r="D32" s="51">
        <v>661045000</v>
      </c>
      <c r="E32" s="51">
        <v>709149000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-250618000</v>
      </c>
      <c r="D33" s="51">
        <f>+D32-C32</f>
        <v>-311283000</v>
      </c>
      <c r="E33" s="51">
        <f>+E32-D32</f>
        <v>48104000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0.79500000000000004</v>
      </c>
      <c r="D34" s="171">
        <f>IF(C32=0,0,+D33/C32)</f>
        <v>-0.32014196855382132</v>
      </c>
      <c r="E34" s="171">
        <f>IF(D32=0,0,+E33/D32)</f>
        <v>7.2769629904166883E-2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1.7755956630000393</v>
      </c>
      <c r="D38" s="269">
        <f>IF(+D40=0,0,+D39/+D40)</f>
        <v>1.6748906449882393</v>
      </c>
      <c r="E38" s="269">
        <f>IF(+E40=0,0,+E39/+E40)</f>
        <v>1.6087267491154362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315898000</v>
      </c>
      <c r="D39" s="270">
        <v>324701000</v>
      </c>
      <c r="E39" s="270">
        <v>339636000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177911000</v>
      </c>
      <c r="D40" s="270">
        <v>193864000</v>
      </c>
      <c r="E40" s="270">
        <v>211121000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25.426178184065439</v>
      </c>
      <c r="D42" s="271">
        <f>IF((D48/365)=0,0,+D45/(D48/365))</f>
        <v>24.685067363276755</v>
      </c>
      <c r="E42" s="271">
        <f>IF((E48/365)=0,0,+E45/(E48/365))</f>
        <v>24.465618595801416</v>
      </c>
    </row>
    <row r="43" spans="1:14" ht="24" customHeight="1" x14ac:dyDescent="0.2">
      <c r="A43" s="17">
        <v>5</v>
      </c>
      <c r="B43" s="188" t="s">
        <v>16</v>
      </c>
      <c r="C43" s="272">
        <v>80257000</v>
      </c>
      <c r="D43" s="272">
        <v>82561000</v>
      </c>
      <c r="E43" s="272">
        <v>90044000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80257000</v>
      </c>
      <c r="D45" s="270">
        <f>+D43+D44</f>
        <v>82561000</v>
      </c>
      <c r="E45" s="270">
        <f>+E43+E44</f>
        <v>90044000</v>
      </c>
    </row>
    <row r="46" spans="1:14" ht="24" customHeight="1" x14ac:dyDescent="0.2">
      <c r="A46" s="17">
        <v>8</v>
      </c>
      <c r="B46" s="45" t="s">
        <v>324</v>
      </c>
      <c r="C46" s="270">
        <f>+C14</f>
        <v>1212021000</v>
      </c>
      <c r="D46" s="270">
        <f>+D14</f>
        <v>1281487000</v>
      </c>
      <c r="E46" s="270">
        <f>+E14</f>
        <v>1408349000</v>
      </c>
    </row>
    <row r="47" spans="1:14" ht="24" customHeight="1" x14ac:dyDescent="0.2">
      <c r="A47" s="17">
        <v>9</v>
      </c>
      <c r="B47" s="45" t="s">
        <v>347</v>
      </c>
      <c r="C47" s="270">
        <v>59909000</v>
      </c>
      <c r="D47" s="270">
        <v>60718000</v>
      </c>
      <c r="E47" s="270">
        <v>64992000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1152112000</v>
      </c>
      <c r="D48" s="270">
        <f>+D46-D47</f>
        <v>1220769000</v>
      </c>
      <c r="E48" s="270">
        <f>+E46-E47</f>
        <v>1343357000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62.26673352376887</v>
      </c>
      <c r="D50" s="278">
        <f>IF((D55/365)=0,0,+D54/(D55/365))</f>
        <v>58.488164850114323</v>
      </c>
      <c r="E50" s="278">
        <f>IF((E55/365)=0,0,+E54/(E55/365))</f>
        <v>51.256325535160201</v>
      </c>
    </row>
    <row r="51" spans="1:5" ht="24" customHeight="1" x14ac:dyDescent="0.2">
      <c r="A51" s="17">
        <v>12</v>
      </c>
      <c r="B51" s="188" t="s">
        <v>350</v>
      </c>
      <c r="C51" s="279">
        <v>163557000</v>
      </c>
      <c r="D51" s="279">
        <v>173216000</v>
      </c>
      <c r="E51" s="279">
        <v>177076000</v>
      </c>
    </row>
    <row r="52" spans="1:5" ht="24" customHeight="1" x14ac:dyDescent="0.2">
      <c r="A52" s="17">
        <v>13</v>
      </c>
      <c r="B52" s="188" t="s">
        <v>21</v>
      </c>
      <c r="C52" s="270">
        <v>11484000</v>
      </c>
      <c r="D52" s="270">
        <v>6060000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2610000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175041000</v>
      </c>
      <c r="D54" s="280">
        <f>+D51+D52-D53</f>
        <v>179276000</v>
      </c>
      <c r="E54" s="280">
        <f>+E51+E52-E53</f>
        <v>174466000</v>
      </c>
    </row>
    <row r="55" spans="1:5" ht="24" customHeight="1" x14ac:dyDescent="0.2">
      <c r="A55" s="17">
        <v>16</v>
      </c>
      <c r="B55" s="45" t="s">
        <v>75</v>
      </c>
      <c r="C55" s="270">
        <f>+C11</f>
        <v>1026069000</v>
      </c>
      <c r="D55" s="270">
        <f>+D11</f>
        <v>1118786000</v>
      </c>
      <c r="E55" s="270">
        <f>+E11</f>
        <v>1242385000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56.363890837001954</v>
      </c>
      <c r="D57" s="283">
        <f>IF((D61/365)=0,0,+D58/(D61/365))</f>
        <v>57.963758909343206</v>
      </c>
      <c r="E57" s="283">
        <f>IF((E61/365)=0,0,+E58/(E61/365))</f>
        <v>57.363132063926422</v>
      </c>
    </row>
    <row r="58" spans="1:5" ht="24" customHeight="1" x14ac:dyDescent="0.2">
      <c r="A58" s="17">
        <v>18</v>
      </c>
      <c r="B58" s="45" t="s">
        <v>54</v>
      </c>
      <c r="C58" s="281">
        <f>+C40</f>
        <v>177911000</v>
      </c>
      <c r="D58" s="281">
        <f>+D40</f>
        <v>193864000</v>
      </c>
      <c r="E58" s="281">
        <f>+E40</f>
        <v>211121000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1212021000</v>
      </c>
      <c r="D59" s="281">
        <f t="shared" si="0"/>
        <v>1281487000</v>
      </c>
      <c r="E59" s="281">
        <f t="shared" si="0"/>
        <v>1408349000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59909000</v>
      </c>
      <c r="D60" s="176">
        <f t="shared" si="0"/>
        <v>60718000</v>
      </c>
      <c r="E60" s="176">
        <f t="shared" si="0"/>
        <v>64992000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1152112000</v>
      </c>
      <c r="D61" s="281">
        <f>+D59-D60</f>
        <v>1220769000</v>
      </c>
      <c r="E61" s="281">
        <f>+E59-E60</f>
        <v>1343357000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66.742630584720814</v>
      </c>
      <c r="D65" s="284">
        <f>IF(D67=0,0,(D66/D67)*100)</f>
        <v>47.766680347769785</v>
      </c>
      <c r="E65" s="284">
        <f>IF(E67=0,0,(E66/E67)*100)</f>
        <v>47.412452480507483</v>
      </c>
    </row>
    <row r="66" spans="1:5" ht="24" customHeight="1" x14ac:dyDescent="0.2">
      <c r="A66" s="17">
        <v>2</v>
      </c>
      <c r="B66" s="45" t="s">
        <v>67</v>
      </c>
      <c r="C66" s="281">
        <f>+C32</f>
        <v>972328000</v>
      </c>
      <c r="D66" s="281">
        <f>+D32</f>
        <v>661045000</v>
      </c>
      <c r="E66" s="281">
        <f>+E32</f>
        <v>709149000</v>
      </c>
    </row>
    <row r="67" spans="1:5" ht="24" customHeight="1" x14ac:dyDescent="0.2">
      <c r="A67" s="17">
        <v>3</v>
      </c>
      <c r="B67" s="45" t="s">
        <v>43</v>
      </c>
      <c r="C67" s="281">
        <v>1456832000</v>
      </c>
      <c r="D67" s="281">
        <v>1383904000</v>
      </c>
      <c r="E67" s="281">
        <v>1495702000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3.0260805476943804</v>
      </c>
      <c r="D69" s="284">
        <f>IF(D75=0,0,(D72/D75)*100)</f>
        <v>14.977677019151866</v>
      </c>
      <c r="E69" s="284">
        <f>IF(E75=0,0,(E72/E75)*100)</f>
        <v>30.285286827708457</v>
      </c>
    </row>
    <row r="70" spans="1:5" ht="24" customHeight="1" x14ac:dyDescent="0.2">
      <c r="A70" s="17">
        <v>5</v>
      </c>
      <c r="B70" s="45" t="s">
        <v>358</v>
      </c>
      <c r="C70" s="281">
        <f>+C28</f>
        <v>-49398000</v>
      </c>
      <c r="D70" s="281">
        <f>+D28</f>
        <v>-6874000</v>
      </c>
      <c r="E70" s="281">
        <f>+E28</f>
        <v>49987000</v>
      </c>
    </row>
    <row r="71" spans="1:5" ht="24" customHeight="1" x14ac:dyDescent="0.2">
      <c r="A71" s="17">
        <v>6</v>
      </c>
      <c r="B71" s="45" t="s">
        <v>347</v>
      </c>
      <c r="C71" s="176">
        <f>+C47</f>
        <v>59909000</v>
      </c>
      <c r="D71" s="176">
        <f>+D47</f>
        <v>60718000</v>
      </c>
      <c r="E71" s="176">
        <f>+E47</f>
        <v>64992000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10511000</v>
      </c>
      <c r="D72" s="281">
        <f>+D70+D71</f>
        <v>53844000</v>
      </c>
      <c r="E72" s="281">
        <f>+E70+E71</f>
        <v>114979000</v>
      </c>
    </row>
    <row r="73" spans="1:5" ht="24" customHeight="1" x14ac:dyDescent="0.2">
      <c r="A73" s="17">
        <v>8</v>
      </c>
      <c r="B73" s="45" t="s">
        <v>54</v>
      </c>
      <c r="C73" s="270">
        <f>+C40</f>
        <v>177911000</v>
      </c>
      <c r="D73" s="270">
        <f>+D40</f>
        <v>193864000</v>
      </c>
      <c r="E73" s="270">
        <f>+E40</f>
        <v>211121000</v>
      </c>
    </row>
    <row r="74" spans="1:5" ht="24" customHeight="1" x14ac:dyDescent="0.2">
      <c r="A74" s="17">
        <v>9</v>
      </c>
      <c r="B74" s="45" t="s">
        <v>58</v>
      </c>
      <c r="C74" s="281">
        <v>169436000</v>
      </c>
      <c r="D74" s="281">
        <v>165631000</v>
      </c>
      <c r="E74" s="281">
        <v>168532000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347347000</v>
      </c>
      <c r="D75" s="270">
        <f>+D73+D74</f>
        <v>359495000</v>
      </c>
      <c r="E75" s="270">
        <f>+E73+E74</f>
        <v>379653000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14.839844311083553</v>
      </c>
      <c r="D77" s="286">
        <f>IF(D80=0,0,(D78/D80)*100)</f>
        <v>20.035781854075839</v>
      </c>
      <c r="E77" s="286">
        <f>IF(E80=0,0,(E78/E80)*100)</f>
        <v>19.201965178692486</v>
      </c>
    </row>
    <row r="78" spans="1:5" ht="24" customHeight="1" x14ac:dyDescent="0.2">
      <c r="A78" s="17">
        <v>12</v>
      </c>
      <c r="B78" s="45" t="s">
        <v>58</v>
      </c>
      <c r="C78" s="270">
        <f>+C74</f>
        <v>169436000</v>
      </c>
      <c r="D78" s="270">
        <f>+D74</f>
        <v>165631000</v>
      </c>
      <c r="E78" s="270">
        <f>+E74</f>
        <v>168532000</v>
      </c>
    </row>
    <row r="79" spans="1:5" ht="24" customHeight="1" x14ac:dyDescent="0.2">
      <c r="A79" s="17">
        <v>13</v>
      </c>
      <c r="B79" s="45" t="s">
        <v>67</v>
      </c>
      <c r="C79" s="270">
        <f>+C32</f>
        <v>972328000</v>
      </c>
      <c r="D79" s="270">
        <f>+D32</f>
        <v>661045000</v>
      </c>
      <c r="E79" s="270">
        <f>+E32</f>
        <v>709149000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1141764000</v>
      </c>
      <c r="D80" s="270">
        <f>+D78+D79</f>
        <v>826676000</v>
      </c>
      <c r="E80" s="270">
        <f>+E78+E79</f>
        <v>877681000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138984</v>
      </c>
      <c r="D11" s="297">
        <v>405</v>
      </c>
      <c r="E11" s="297">
        <v>476</v>
      </c>
      <c r="F11" s="298">
        <f>IF(D11=0,0,$C11/(D11*365))</f>
        <v>0.94019279553526125</v>
      </c>
      <c r="G11" s="298">
        <f>IF(E11=0,0,$C11/(E11*365))</f>
        <v>0.79995395418441351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23530</v>
      </c>
      <c r="D13" s="297">
        <v>65</v>
      </c>
      <c r="E13" s="297">
        <v>70</v>
      </c>
      <c r="F13" s="298">
        <f>IF(D13=0,0,$C13/(D13*365))</f>
        <v>0.99178082191780825</v>
      </c>
      <c r="G13" s="298">
        <f>IF(E13=0,0,$C13/(E13*365))</f>
        <v>0.92093933463796473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8218</v>
      </c>
      <c r="D15" s="297">
        <v>23</v>
      </c>
      <c r="E15" s="297">
        <v>29</v>
      </c>
      <c r="F15" s="298">
        <f t="shared" ref="F15:G17" si="0">IF(D15=0,0,$C15/(D15*365))</f>
        <v>0.97891602144133416</v>
      </c>
      <c r="G15" s="298">
        <f t="shared" si="0"/>
        <v>0.77638167217760978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28091</v>
      </c>
      <c r="D16" s="297">
        <v>78</v>
      </c>
      <c r="E16" s="297">
        <v>94</v>
      </c>
      <c r="F16" s="298">
        <f t="shared" si="0"/>
        <v>0.98668774148226202</v>
      </c>
      <c r="G16" s="298">
        <f t="shared" si="0"/>
        <v>0.81874089186825993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36309</v>
      </c>
      <c r="D17" s="300">
        <f>SUM(D15:D16)</f>
        <v>101</v>
      </c>
      <c r="E17" s="300">
        <f>SUM(E15:E16)</f>
        <v>123</v>
      </c>
      <c r="F17" s="301">
        <f t="shared" si="0"/>
        <v>0.98491794384917941</v>
      </c>
      <c r="G17" s="301">
        <f t="shared" si="0"/>
        <v>0.8087537587704644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11512</v>
      </c>
      <c r="D21" s="297">
        <v>32</v>
      </c>
      <c r="E21" s="297">
        <v>43</v>
      </c>
      <c r="F21" s="298">
        <f>IF(D21=0,0,$C21/(D21*365))</f>
        <v>0.98561643835616441</v>
      </c>
      <c r="G21" s="298">
        <f>IF(E21=0,0,$C21/(E21*365))</f>
        <v>0.73348200063714564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9779</v>
      </c>
      <c r="D23" s="297">
        <v>27</v>
      </c>
      <c r="E23" s="297">
        <v>48</v>
      </c>
      <c r="F23" s="298">
        <f>IF(D23=0,0,$C23/(D23*365))</f>
        <v>0.99228817858954843</v>
      </c>
      <c r="G23" s="298">
        <f>IF(E23=0,0,$C23/(E23*365))</f>
        <v>0.55816210045662096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210335</v>
      </c>
      <c r="D31" s="300">
        <f>SUM(D10:D29)-D17-D23</f>
        <v>603</v>
      </c>
      <c r="E31" s="300">
        <f>SUM(E10:E29)-E17-E23</f>
        <v>712</v>
      </c>
      <c r="F31" s="301">
        <f>IF(D31=0,0,$C31/(D31*365))</f>
        <v>0.95565551239237601</v>
      </c>
      <c r="G31" s="301">
        <f>IF(E31=0,0,$C31/(E31*365))</f>
        <v>0.80935431737725105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220114</v>
      </c>
      <c r="D33" s="300">
        <f>SUM(D10:D29)-D17</f>
        <v>630</v>
      </c>
      <c r="E33" s="300">
        <f>SUM(E10:E29)-E17</f>
        <v>760</v>
      </c>
      <c r="F33" s="301">
        <f>IF(D33=0,0,$C33/(D33*365))</f>
        <v>0.95722548380082628</v>
      </c>
      <c r="G33" s="301">
        <f>IF(E33=0,0,$C33/(E33*365))</f>
        <v>0.79348954578226383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220114</v>
      </c>
      <c r="D36" s="300">
        <f>+D33</f>
        <v>630</v>
      </c>
      <c r="E36" s="300">
        <f>+E33</f>
        <v>760</v>
      </c>
      <c r="F36" s="301">
        <f>+F33</f>
        <v>0.95722548380082628</v>
      </c>
      <c r="G36" s="301">
        <f>+G33</f>
        <v>0.79348954578226383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215958</v>
      </c>
      <c r="D37" s="302">
        <v>595</v>
      </c>
      <c r="E37" s="302">
        <v>752</v>
      </c>
      <c r="F37" s="301">
        <f>IF(D37=0,0,$C37/(D37*365))</f>
        <v>0.99439622424312191</v>
      </c>
      <c r="G37" s="301">
        <f>IF(E37=0,0,$C37/(E37*365))</f>
        <v>0.78678956572427861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4156</v>
      </c>
      <c r="D38" s="300">
        <f>+D36-D37</f>
        <v>35</v>
      </c>
      <c r="E38" s="300">
        <f>+E36-E37</f>
        <v>8</v>
      </c>
      <c r="F38" s="301">
        <f>+F36-F37</f>
        <v>-3.7170740442295624E-2</v>
      </c>
      <c r="G38" s="301">
        <f>+G36-G37</f>
        <v>6.699980057985222E-3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1.924448272349253E-2</v>
      </c>
      <c r="D40" s="148">
        <f>IF(D37=0,0,D38/D37)</f>
        <v>5.8823529411764705E-2</v>
      </c>
      <c r="E40" s="148">
        <f>IF(E37=0,0,E38/E37)</f>
        <v>1.0638297872340425E-2</v>
      </c>
      <c r="F40" s="148">
        <f>IF(F37=0,0,F38/F37)</f>
        <v>-3.7380210761145928E-2</v>
      </c>
      <c r="G40" s="148">
        <f>IF(G37=0,0,G38/G37)</f>
        <v>8.5155934316662671E-3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867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FILING&amp;RHARTFORD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27915</v>
      </c>
      <c r="D12" s="296">
        <v>27233</v>
      </c>
      <c r="E12" s="296">
        <f>+D12-C12</f>
        <v>-682</v>
      </c>
      <c r="F12" s="316">
        <f>IF(C12=0,0,+E12/C12)</f>
        <v>-2.4431309331900412E-2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3617</v>
      </c>
      <c r="D13" s="296">
        <v>3748</v>
      </c>
      <c r="E13" s="296">
        <f>+D13-C13</f>
        <v>131</v>
      </c>
      <c r="F13" s="316">
        <f>IF(C13=0,0,+E13/C13)</f>
        <v>3.6217860105059445E-2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17787</v>
      </c>
      <c r="D14" s="296">
        <v>18431</v>
      </c>
      <c r="E14" s="296">
        <f>+D14-C14</f>
        <v>644</v>
      </c>
      <c r="F14" s="316">
        <f>IF(C14=0,0,+E14/C14)</f>
        <v>3.6206218024399842E-2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49319</v>
      </c>
      <c r="D16" s="300">
        <f>SUM(D12:D15)</f>
        <v>49412</v>
      </c>
      <c r="E16" s="300">
        <f>+D16-C16</f>
        <v>93</v>
      </c>
      <c r="F16" s="309">
        <f>IF(C16=0,0,+E16/C16)</f>
        <v>1.8856830024939679E-3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3601</v>
      </c>
      <c r="D19" s="296">
        <v>3380</v>
      </c>
      <c r="E19" s="296">
        <f>+D19-C19</f>
        <v>-221</v>
      </c>
      <c r="F19" s="316">
        <f>IF(C19=0,0,+E19/C19)</f>
        <v>-6.1371841155234655E-2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4695</v>
      </c>
      <c r="D20" s="296">
        <v>4501</v>
      </c>
      <c r="E20" s="296">
        <f>+D20-C20</f>
        <v>-194</v>
      </c>
      <c r="F20" s="316">
        <f>IF(C20=0,0,+E20/C20)</f>
        <v>-4.1320553780617678E-2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460</v>
      </c>
      <c r="D21" s="296">
        <v>441</v>
      </c>
      <c r="E21" s="296">
        <f>+D21-C21</f>
        <v>-19</v>
      </c>
      <c r="F21" s="316">
        <f>IF(C21=0,0,+E21/C21)</f>
        <v>-4.1304347826086954E-2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8756</v>
      </c>
      <c r="D23" s="300">
        <f>SUM(D19:D22)</f>
        <v>8322</v>
      </c>
      <c r="E23" s="300">
        <f>+D23-C23</f>
        <v>-434</v>
      </c>
      <c r="F23" s="309">
        <f>IF(C23=0,0,+E23/C23)</f>
        <v>-4.956601187756967E-2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202</v>
      </c>
      <c r="D26" s="296">
        <v>317</v>
      </c>
      <c r="E26" s="296">
        <f>+D26-C26</f>
        <v>115</v>
      </c>
      <c r="F26" s="316">
        <f>IF(C26=0,0,+E26/C26)</f>
        <v>0.56930693069306926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167</v>
      </c>
      <c r="D27" s="296">
        <v>427</v>
      </c>
      <c r="E27" s="296">
        <f>+D27-C27</f>
        <v>260</v>
      </c>
      <c r="F27" s="316">
        <f>IF(C27=0,0,+E27/C27)</f>
        <v>1.5568862275449102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19</v>
      </c>
      <c r="D28" s="296">
        <v>48</v>
      </c>
      <c r="E28" s="296">
        <f>+D28-C28</f>
        <v>29</v>
      </c>
      <c r="F28" s="316">
        <f>IF(C28=0,0,+E28/C28)</f>
        <v>1.5263157894736843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388</v>
      </c>
      <c r="D30" s="300">
        <f>SUM(D26:D29)</f>
        <v>792</v>
      </c>
      <c r="E30" s="300">
        <f>+D30-C30</f>
        <v>404</v>
      </c>
      <c r="F30" s="309">
        <f>IF(C30=0,0,+E30/C30)</f>
        <v>1.0412371134020619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296</v>
      </c>
      <c r="D33" s="296">
        <v>253</v>
      </c>
      <c r="E33" s="296">
        <f>+D33-C33</f>
        <v>-43</v>
      </c>
      <c r="F33" s="316">
        <f>IF(C33=0,0,+E33/C33)</f>
        <v>-0.14527027027027026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1207</v>
      </c>
      <c r="D34" s="296">
        <v>969</v>
      </c>
      <c r="E34" s="296">
        <f>+D34-C34</f>
        <v>-238</v>
      </c>
      <c r="F34" s="316">
        <f>IF(C34=0,0,+E34/C34)</f>
        <v>-0.19718309859154928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134</v>
      </c>
      <c r="D35" s="296">
        <v>108</v>
      </c>
      <c r="E35" s="296">
        <f>+D35-C35</f>
        <v>-26</v>
      </c>
      <c r="F35" s="316">
        <f>IF(C35=0,0,+E35/C35)</f>
        <v>-0.19402985074626866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1637</v>
      </c>
      <c r="D37" s="300">
        <f>SUM(D33:D36)</f>
        <v>1330</v>
      </c>
      <c r="E37" s="300">
        <f>+D37-C37</f>
        <v>-307</v>
      </c>
      <c r="F37" s="309">
        <f>IF(C37=0,0,+E37/C37)</f>
        <v>-0.18753817959682345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845</v>
      </c>
      <c r="D43" s="296">
        <v>775</v>
      </c>
      <c r="E43" s="296">
        <f>+D43-C43</f>
        <v>-70</v>
      </c>
      <c r="F43" s="316">
        <f>IF(C43=0,0,+E43/C43)</f>
        <v>-8.2840236686390539E-2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23923</v>
      </c>
      <c r="D44" s="296">
        <v>25567</v>
      </c>
      <c r="E44" s="296">
        <f>+D44-C44</f>
        <v>1644</v>
      </c>
      <c r="F44" s="316">
        <f>IF(C44=0,0,+E44/C44)</f>
        <v>6.8720478200894539E-2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24768</v>
      </c>
      <c r="D45" s="300">
        <f>SUM(D43:D44)</f>
        <v>26342</v>
      </c>
      <c r="E45" s="300">
        <f>+D45-C45</f>
        <v>1574</v>
      </c>
      <c r="F45" s="309">
        <f>IF(C45=0,0,+E45/C45)</f>
        <v>6.3549741602067181E-2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1837</v>
      </c>
      <c r="D48" s="296">
        <v>2040</v>
      </c>
      <c r="E48" s="296">
        <f>+D48-C48</f>
        <v>203</v>
      </c>
      <c r="F48" s="316">
        <f>IF(C48=0,0,+E48/C48)</f>
        <v>0.11050626020685901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1131</v>
      </c>
      <c r="D49" s="296">
        <v>1252</v>
      </c>
      <c r="E49" s="296">
        <f>+D49-C49</f>
        <v>121</v>
      </c>
      <c r="F49" s="316">
        <f>IF(C49=0,0,+E49/C49)</f>
        <v>0.10698496905393456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2968</v>
      </c>
      <c r="D50" s="300">
        <f>SUM(D48:D49)</f>
        <v>3292</v>
      </c>
      <c r="E50" s="300">
        <f>+D50-C50</f>
        <v>324</v>
      </c>
      <c r="F50" s="309">
        <f>IF(C50=0,0,+E50/C50)</f>
        <v>0.1091644204851752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1027</v>
      </c>
      <c r="D53" s="296">
        <v>1230</v>
      </c>
      <c r="E53" s="296">
        <f>+D53-C53</f>
        <v>203</v>
      </c>
      <c r="F53" s="316">
        <f>IF(C53=0,0,+E53/C53)</f>
        <v>0.19766309639727361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5</v>
      </c>
      <c r="D54" s="296">
        <v>8</v>
      </c>
      <c r="E54" s="296">
        <f>+D54-C54</f>
        <v>3</v>
      </c>
      <c r="F54" s="316">
        <f>IF(C54=0,0,+E54/C54)</f>
        <v>0.6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1032</v>
      </c>
      <c r="D55" s="300">
        <f>SUM(D53:D54)</f>
        <v>1238</v>
      </c>
      <c r="E55" s="300">
        <f>+D55-C55</f>
        <v>206</v>
      </c>
      <c r="F55" s="309">
        <f>IF(C55=0,0,+E55/C55)</f>
        <v>0.19961240310077519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295</v>
      </c>
      <c r="D58" s="296">
        <v>226</v>
      </c>
      <c r="E58" s="296">
        <f>+D58-C58</f>
        <v>-69</v>
      </c>
      <c r="F58" s="316">
        <f>IF(C58=0,0,+E58/C58)</f>
        <v>-0.23389830508474577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309</v>
      </c>
      <c r="D59" s="296">
        <v>394</v>
      </c>
      <c r="E59" s="296">
        <f>+D59-C59</f>
        <v>85</v>
      </c>
      <c r="F59" s="316">
        <f>IF(C59=0,0,+E59/C59)</f>
        <v>0.27508090614886732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604</v>
      </c>
      <c r="D60" s="300">
        <f>SUM(D58:D59)</f>
        <v>620</v>
      </c>
      <c r="E60" s="300">
        <f>SUM(E58:E59)</f>
        <v>16</v>
      </c>
      <c r="F60" s="309">
        <f>IF(C60=0,0,+E60/C60)</f>
        <v>2.6490066225165563E-2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12538</v>
      </c>
      <c r="D63" s="296">
        <v>12539</v>
      </c>
      <c r="E63" s="296">
        <f>+D63-C63</f>
        <v>1</v>
      </c>
      <c r="F63" s="316">
        <f>IF(C63=0,0,+E63/C63)</f>
        <v>7.9757537087254746E-5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13566</v>
      </c>
      <c r="D64" s="296">
        <v>13903</v>
      </c>
      <c r="E64" s="296">
        <f>+D64-C64</f>
        <v>337</v>
      </c>
      <c r="F64" s="316">
        <f>IF(C64=0,0,+E64/C64)</f>
        <v>2.4841515553589856E-2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26104</v>
      </c>
      <c r="D65" s="300">
        <f>SUM(D63:D64)</f>
        <v>26442</v>
      </c>
      <c r="E65" s="300">
        <f>+D65-C65</f>
        <v>338</v>
      </c>
      <c r="F65" s="309">
        <f>IF(C65=0,0,+E65/C65)</f>
        <v>1.2948207171314742E-2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3059</v>
      </c>
      <c r="D68" s="296">
        <v>2897</v>
      </c>
      <c r="E68" s="296">
        <f>+D68-C68</f>
        <v>-162</v>
      </c>
      <c r="F68" s="316">
        <f>IF(C68=0,0,+E68/C68)</f>
        <v>-5.2958483164432822E-2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10855</v>
      </c>
      <c r="D69" s="296">
        <v>11252</v>
      </c>
      <c r="E69" s="296">
        <f>+D69-C69</f>
        <v>397</v>
      </c>
      <c r="F69" s="318">
        <f>IF(C69=0,0,+E69/C69)</f>
        <v>3.657300783049286E-2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13914</v>
      </c>
      <c r="D70" s="300">
        <f>SUM(D68:D69)</f>
        <v>14149</v>
      </c>
      <c r="E70" s="300">
        <f>+D70-C70</f>
        <v>235</v>
      </c>
      <c r="F70" s="309">
        <f>IF(C70=0,0,+E70/C70)</f>
        <v>1.6889463849360357E-2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16393</v>
      </c>
      <c r="D73" s="319">
        <v>16735</v>
      </c>
      <c r="E73" s="296">
        <f>+D73-C73</f>
        <v>342</v>
      </c>
      <c r="F73" s="316">
        <f>IF(C73=0,0,+E73/C73)</f>
        <v>2.086256328920881E-2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73715</v>
      </c>
      <c r="D74" s="319">
        <v>78670</v>
      </c>
      <c r="E74" s="296">
        <f>+D74-C74</f>
        <v>4955</v>
      </c>
      <c r="F74" s="316">
        <f>IF(C74=0,0,+E74/C74)</f>
        <v>6.7218340907549343E-2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90108</v>
      </c>
      <c r="D75" s="300">
        <f>SUM(D73:D74)</f>
        <v>95405</v>
      </c>
      <c r="E75" s="300">
        <f>SUM(E73:E74)</f>
        <v>5297</v>
      </c>
      <c r="F75" s="309">
        <f>IF(C75=0,0,+E75/C75)</f>
        <v>5.8785013539308387E-2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15712</v>
      </c>
      <c r="D80" s="319">
        <v>14699</v>
      </c>
      <c r="E80" s="296">
        <f t="shared" si="0"/>
        <v>-1013</v>
      </c>
      <c r="F80" s="316">
        <f t="shared" si="1"/>
        <v>-6.4473014256619138E-2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13783</v>
      </c>
      <c r="D81" s="319">
        <v>11730</v>
      </c>
      <c r="E81" s="296">
        <f t="shared" si="0"/>
        <v>-2053</v>
      </c>
      <c r="F81" s="316">
        <f t="shared" si="1"/>
        <v>-0.1489516070521657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13329</v>
      </c>
      <c r="D82" s="319">
        <v>12777</v>
      </c>
      <c r="E82" s="296">
        <f t="shared" si="0"/>
        <v>-552</v>
      </c>
      <c r="F82" s="316">
        <f t="shared" si="1"/>
        <v>-4.1413459374296649E-2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44612</v>
      </c>
      <c r="D83" s="319">
        <v>45539</v>
      </c>
      <c r="E83" s="296">
        <f t="shared" si="0"/>
        <v>927</v>
      </c>
      <c r="F83" s="316">
        <f t="shared" si="1"/>
        <v>2.077916255715951E-2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87436</v>
      </c>
      <c r="D84" s="320">
        <f>SUM(D79:D83)</f>
        <v>84745</v>
      </c>
      <c r="E84" s="300">
        <f t="shared" si="0"/>
        <v>-2691</v>
      </c>
      <c r="F84" s="309">
        <f t="shared" si="1"/>
        <v>-3.0776796742760418E-2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6396</v>
      </c>
      <c r="D87" s="322">
        <v>113900</v>
      </c>
      <c r="E87" s="323">
        <f t="shared" ref="E87:E92" si="2">+D87-C87</f>
        <v>107504</v>
      </c>
      <c r="F87" s="318">
        <f t="shared" ref="F87:F92" si="3">IF(C87=0,0,+E87/C87)</f>
        <v>16.808005003126954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12086</v>
      </c>
      <c r="D88" s="322">
        <v>12294</v>
      </c>
      <c r="E88" s="296">
        <f t="shared" si="2"/>
        <v>208</v>
      </c>
      <c r="F88" s="316">
        <f t="shared" si="3"/>
        <v>1.7209995035578355E-2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2707</v>
      </c>
      <c r="D89" s="322">
        <v>1299</v>
      </c>
      <c r="E89" s="296">
        <f t="shared" si="2"/>
        <v>-1408</v>
      </c>
      <c r="F89" s="316">
        <f t="shared" si="3"/>
        <v>-0.52013298854820833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11633</v>
      </c>
      <c r="D90" s="322">
        <v>10229</v>
      </c>
      <c r="E90" s="296">
        <f t="shared" si="2"/>
        <v>-1404</v>
      </c>
      <c r="F90" s="316">
        <f t="shared" si="3"/>
        <v>-0.12069113728187054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35259</v>
      </c>
      <c r="D91" s="322">
        <v>37997</v>
      </c>
      <c r="E91" s="296">
        <f t="shared" si="2"/>
        <v>2738</v>
      </c>
      <c r="F91" s="316">
        <f t="shared" si="3"/>
        <v>7.765393232933436E-2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68081</v>
      </c>
      <c r="D92" s="320">
        <f>SUM(D87:D91)</f>
        <v>175719</v>
      </c>
      <c r="E92" s="300">
        <f t="shared" si="2"/>
        <v>107638</v>
      </c>
      <c r="F92" s="309">
        <f t="shared" si="3"/>
        <v>1.581028480780247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1406.4</v>
      </c>
      <c r="D96" s="325">
        <v>1499</v>
      </c>
      <c r="E96" s="326">
        <f>+D96-C96</f>
        <v>92.599999999999909</v>
      </c>
      <c r="F96" s="316">
        <f>IF(C96=0,0,+E96/C96)</f>
        <v>6.5841865756541454E-2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209.4</v>
      </c>
      <c r="D97" s="325">
        <v>210</v>
      </c>
      <c r="E97" s="326">
        <f>+D97-C97</f>
        <v>0.59999999999999432</v>
      </c>
      <c r="F97" s="316">
        <f>IF(C97=0,0,+E97/C97)</f>
        <v>2.8653295128939554E-3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3780.5</v>
      </c>
      <c r="D98" s="325">
        <v>3939</v>
      </c>
      <c r="E98" s="326">
        <f>+D98-C98</f>
        <v>158.5</v>
      </c>
      <c r="F98" s="316">
        <f>IF(C98=0,0,+E98/C98)</f>
        <v>4.1925671207512234E-2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5396.3</v>
      </c>
      <c r="D99" s="327">
        <f>SUM(D96:D98)</f>
        <v>5648</v>
      </c>
      <c r="E99" s="327">
        <f>+D99-C99</f>
        <v>251.69999999999982</v>
      </c>
      <c r="F99" s="309">
        <f>IF(C99=0,0,+E99/C99)</f>
        <v>4.664307025183919E-2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FILING&amp;RHARTFORD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11238</v>
      </c>
      <c r="D12" s="296">
        <v>11380</v>
      </c>
      <c r="E12" s="296">
        <f>+D12-C12</f>
        <v>142</v>
      </c>
      <c r="F12" s="316">
        <f>IF(C12=0,0,+E12/C12)</f>
        <v>1.2635700302544937E-2</v>
      </c>
    </row>
    <row r="13" spans="1:16" ht="15.75" customHeight="1" x14ac:dyDescent="0.2">
      <c r="A13" s="294">
        <v>2</v>
      </c>
      <c r="B13" s="295" t="s">
        <v>584</v>
      </c>
      <c r="C13" s="296">
        <v>2328</v>
      </c>
      <c r="D13" s="296">
        <v>2523</v>
      </c>
      <c r="E13" s="296">
        <f>+D13-C13</f>
        <v>195</v>
      </c>
      <c r="F13" s="316">
        <f>IF(C13=0,0,+E13/C13)</f>
        <v>8.3762886597938138E-2</v>
      </c>
    </row>
    <row r="14" spans="1:16" ht="15.75" customHeight="1" x14ac:dyDescent="0.25">
      <c r="A14" s="294"/>
      <c r="B14" s="135" t="s">
        <v>585</v>
      </c>
      <c r="C14" s="300">
        <f>SUM(C11:C13)</f>
        <v>13566</v>
      </c>
      <c r="D14" s="300">
        <f>SUM(D11:D13)</f>
        <v>13903</v>
      </c>
      <c r="E14" s="300">
        <f>+D14-C14</f>
        <v>337</v>
      </c>
      <c r="F14" s="309">
        <f>IF(C14=0,0,+E14/C14)</f>
        <v>2.4841515553589856E-2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583</v>
      </c>
      <c r="C17" s="296">
        <v>9770</v>
      </c>
      <c r="D17" s="296">
        <v>9958</v>
      </c>
      <c r="E17" s="296">
        <f>+D17-C17</f>
        <v>188</v>
      </c>
      <c r="F17" s="316">
        <f>IF(C17=0,0,+E17/C17)</f>
        <v>1.924257932446264E-2</v>
      </c>
    </row>
    <row r="18" spans="1:6" ht="15.75" customHeight="1" x14ac:dyDescent="0.2">
      <c r="A18" s="294">
        <v>2</v>
      </c>
      <c r="B18" s="295" t="s">
        <v>584</v>
      </c>
      <c r="C18" s="296">
        <v>1085</v>
      </c>
      <c r="D18" s="296">
        <v>1294</v>
      </c>
      <c r="E18" s="296">
        <f>+D18-C18</f>
        <v>209</v>
      </c>
      <c r="F18" s="316">
        <f>IF(C18=0,0,+E18/C18)</f>
        <v>0.19262672811059908</v>
      </c>
    </row>
    <row r="19" spans="1:6" ht="15.75" customHeight="1" x14ac:dyDescent="0.25">
      <c r="A19" s="294"/>
      <c r="B19" s="135" t="s">
        <v>586</v>
      </c>
      <c r="C19" s="300">
        <f>SUM(C16:C18)</f>
        <v>10855</v>
      </c>
      <c r="D19" s="300">
        <f>SUM(D16:D18)</f>
        <v>11252</v>
      </c>
      <c r="E19" s="300">
        <f>+D19-C19</f>
        <v>397</v>
      </c>
      <c r="F19" s="309">
        <f>IF(C19=0,0,+E19/C19)</f>
        <v>3.657300783049286E-2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587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583</v>
      </c>
      <c r="C22" s="296">
        <v>73715</v>
      </c>
      <c r="D22" s="296">
        <v>78670</v>
      </c>
      <c r="E22" s="296">
        <f>+D22-C22</f>
        <v>4955</v>
      </c>
      <c r="F22" s="316">
        <f>IF(C22=0,0,+E22/C22)</f>
        <v>6.7218340907549343E-2</v>
      </c>
    </row>
    <row r="23" spans="1:6" ht="15.75" customHeight="1" x14ac:dyDescent="0.25">
      <c r="A23" s="294"/>
      <c r="B23" s="135" t="s">
        <v>588</v>
      </c>
      <c r="C23" s="300">
        <f>SUM(C21:C22)</f>
        <v>73715</v>
      </c>
      <c r="D23" s="300">
        <f>SUM(D21:D22)</f>
        <v>78670</v>
      </c>
      <c r="E23" s="300">
        <f>+D23-C23</f>
        <v>4955</v>
      </c>
      <c r="F23" s="309">
        <f>IF(C23=0,0,+E23/C23)</f>
        <v>6.7218340907549343E-2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591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FILING&amp;RHARTFORD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592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593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594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595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596</v>
      </c>
      <c r="D7" s="341" t="s">
        <v>596</v>
      </c>
      <c r="E7" s="341" t="s">
        <v>597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598</v>
      </c>
      <c r="D8" s="344" t="s">
        <v>599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600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601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602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603</v>
      </c>
      <c r="C15" s="361">
        <v>583580333</v>
      </c>
      <c r="D15" s="361">
        <v>655024798</v>
      </c>
      <c r="E15" s="361">
        <f t="shared" ref="E15:E24" si="0">D15-C15</f>
        <v>71444465</v>
      </c>
      <c r="F15" s="362">
        <f t="shared" ref="F15:F24" si="1">IF(C15=0,0,E15/C15)</f>
        <v>0.12242438780060808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604</v>
      </c>
      <c r="C16" s="361">
        <v>228690205</v>
      </c>
      <c r="D16" s="361">
        <v>260942379</v>
      </c>
      <c r="E16" s="361">
        <f t="shared" si="0"/>
        <v>32252174</v>
      </c>
      <c r="F16" s="362">
        <f t="shared" si="1"/>
        <v>0.14102997546396881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605</v>
      </c>
      <c r="C17" s="366">
        <f>IF(C15=0,0,C16/C15)</f>
        <v>0.3918744208263098</v>
      </c>
      <c r="D17" s="366">
        <f>IF(LN_IA1=0,0,LN_IA2/LN_IA1)</f>
        <v>0.39837022933595867</v>
      </c>
      <c r="E17" s="367">
        <f t="shared" si="0"/>
        <v>6.4958085096488705E-3</v>
      </c>
      <c r="F17" s="362">
        <f t="shared" si="1"/>
        <v>1.6576250360898149E-2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15533</v>
      </c>
      <c r="D18" s="369">
        <v>15819</v>
      </c>
      <c r="E18" s="369">
        <f t="shared" si="0"/>
        <v>286</v>
      </c>
      <c r="F18" s="362">
        <f t="shared" si="1"/>
        <v>1.8412412283525397E-2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606</v>
      </c>
      <c r="C19" s="372">
        <v>1.6591</v>
      </c>
      <c r="D19" s="372">
        <v>1.8172999999999999</v>
      </c>
      <c r="E19" s="373">
        <f t="shared" si="0"/>
        <v>0.1581999999999999</v>
      </c>
      <c r="F19" s="362">
        <f t="shared" si="1"/>
        <v>9.5352902175878426E-2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607</v>
      </c>
      <c r="C20" s="376">
        <f>C18*C19</f>
        <v>25770.800299999999</v>
      </c>
      <c r="D20" s="376">
        <f>LN_IA4*LN_IA5</f>
        <v>28747.868699999999</v>
      </c>
      <c r="E20" s="376">
        <f t="shared" si="0"/>
        <v>2977.0684000000001</v>
      </c>
      <c r="F20" s="362">
        <f t="shared" si="1"/>
        <v>0.11552099140669683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608</v>
      </c>
      <c r="C21" s="378">
        <f>IF(C20=0,0,C16/C20)</f>
        <v>8874.0047781907651</v>
      </c>
      <c r="D21" s="378">
        <f>IF(LN_IA6=0,0,LN_IA2/LN_IA6)</f>
        <v>9076.929553389813</v>
      </c>
      <c r="E21" s="378">
        <f t="shared" si="0"/>
        <v>202.92477519904787</v>
      </c>
      <c r="F21" s="362">
        <f t="shared" si="1"/>
        <v>2.2867327691525115E-2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96766</v>
      </c>
      <c r="D22" s="369">
        <v>101294</v>
      </c>
      <c r="E22" s="369">
        <f t="shared" si="0"/>
        <v>4528</v>
      </c>
      <c r="F22" s="362">
        <f t="shared" si="1"/>
        <v>4.6793295165657361E-2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609</v>
      </c>
      <c r="C23" s="378">
        <f>IF(C22=0,0,C16/C22)</f>
        <v>2363.3322137941013</v>
      </c>
      <c r="D23" s="378">
        <f>IF(LN_IA8=0,0,LN_IA2/LN_IA8)</f>
        <v>2576.0891958062671</v>
      </c>
      <c r="E23" s="378">
        <f t="shared" si="0"/>
        <v>212.75698201216574</v>
      </c>
      <c r="F23" s="362">
        <f t="shared" si="1"/>
        <v>9.0024153511031352E-2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610</v>
      </c>
      <c r="C24" s="379">
        <f>IF(C18=0,0,C22/C18)</f>
        <v>6.2297045000965685</v>
      </c>
      <c r="D24" s="379">
        <f>IF(LN_IA4=0,0,LN_IA8/LN_IA4)</f>
        <v>6.4033124723433845</v>
      </c>
      <c r="E24" s="379">
        <f t="shared" si="0"/>
        <v>0.17360797224681601</v>
      </c>
      <c r="F24" s="362">
        <f t="shared" si="1"/>
        <v>2.7867770011262151E-2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611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612</v>
      </c>
      <c r="C27" s="361">
        <v>165350528</v>
      </c>
      <c r="D27" s="361">
        <v>186830085</v>
      </c>
      <c r="E27" s="361">
        <f t="shared" ref="E27:E32" si="2">D27-C27</f>
        <v>21479557</v>
      </c>
      <c r="F27" s="362">
        <f t="shared" ref="F27:F32" si="3">IF(C27=0,0,E27/C27)</f>
        <v>0.12990316547401651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613</v>
      </c>
      <c r="C28" s="361">
        <v>54345423</v>
      </c>
      <c r="D28" s="361">
        <v>61060113</v>
      </c>
      <c r="E28" s="361">
        <f t="shared" si="2"/>
        <v>6714690</v>
      </c>
      <c r="F28" s="362">
        <f t="shared" si="3"/>
        <v>0.12355575924029517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614</v>
      </c>
      <c r="C29" s="366">
        <f>IF(C27=0,0,C28/C27)</f>
        <v>0.3286679737726631</v>
      </c>
      <c r="D29" s="366">
        <f>IF(LN_IA11=0,0,LN_IA12/LN_IA11)</f>
        <v>0.32682163046706314</v>
      </c>
      <c r="E29" s="367">
        <f t="shared" si="2"/>
        <v>-1.8463433055999623E-3</v>
      </c>
      <c r="F29" s="362">
        <f t="shared" si="3"/>
        <v>-5.6176550590142458E-3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615</v>
      </c>
      <c r="C30" s="366">
        <f>IF(C15=0,0,C27/C15)</f>
        <v>0.28333807472569505</v>
      </c>
      <c r="D30" s="366">
        <f>IF(LN_IA1=0,0,LN_IA11/LN_IA1)</f>
        <v>0.28522597246768666</v>
      </c>
      <c r="E30" s="367">
        <f t="shared" si="2"/>
        <v>1.8878977419916065E-3</v>
      </c>
      <c r="F30" s="362">
        <f t="shared" si="3"/>
        <v>6.6630569993789785E-3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616</v>
      </c>
      <c r="C31" s="376">
        <f>C30*C18</f>
        <v>4401.0903147142217</v>
      </c>
      <c r="D31" s="376">
        <f>LN_IA14*LN_IA4</f>
        <v>4511.9896584663356</v>
      </c>
      <c r="E31" s="376">
        <f t="shared" si="2"/>
        <v>110.89934375211396</v>
      </c>
      <c r="F31" s="362">
        <f t="shared" si="3"/>
        <v>2.519815223544556E-2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617</v>
      </c>
      <c r="C32" s="378">
        <f>IF(C31=0,0,C28/C31)</f>
        <v>12348.172637654412</v>
      </c>
      <c r="D32" s="378">
        <f>IF(LN_IA15=0,0,LN_IA12/LN_IA15)</f>
        <v>13532.857480164274</v>
      </c>
      <c r="E32" s="378">
        <f t="shared" si="2"/>
        <v>1184.6848425098615</v>
      </c>
      <c r="F32" s="362">
        <f t="shared" si="3"/>
        <v>9.5940093912948193E-2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618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619</v>
      </c>
      <c r="C35" s="361">
        <f>C15+C27</f>
        <v>748930861</v>
      </c>
      <c r="D35" s="361">
        <f>LN_IA1+LN_IA11</f>
        <v>841854883</v>
      </c>
      <c r="E35" s="361">
        <f>D35-C35</f>
        <v>92924022</v>
      </c>
      <c r="F35" s="362">
        <f>IF(C35=0,0,E35/C35)</f>
        <v>0.12407556803831589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620</v>
      </c>
      <c r="C36" s="361">
        <f>C16+C28</f>
        <v>283035628</v>
      </c>
      <c r="D36" s="361">
        <f>LN_IA2+LN_IA12</f>
        <v>322002492</v>
      </c>
      <c r="E36" s="361">
        <f>D36-C36</f>
        <v>38966864</v>
      </c>
      <c r="F36" s="362">
        <f>IF(C36=0,0,E36/C36)</f>
        <v>0.1376747665138468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621</v>
      </c>
      <c r="C37" s="361">
        <f>C35-C36</f>
        <v>465895233</v>
      </c>
      <c r="D37" s="361">
        <f>LN_IA17-LN_IA18</f>
        <v>519852391</v>
      </c>
      <c r="E37" s="361">
        <f>D37-C37</f>
        <v>53957158</v>
      </c>
      <c r="F37" s="362">
        <f>IF(C37=0,0,E37/C37)</f>
        <v>0.11581393021035698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622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623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603</v>
      </c>
      <c r="C42" s="361">
        <v>429192423</v>
      </c>
      <c r="D42" s="361">
        <v>439060292</v>
      </c>
      <c r="E42" s="361">
        <f t="shared" ref="E42:E53" si="4">D42-C42</f>
        <v>9867869</v>
      </c>
      <c r="F42" s="362">
        <f t="shared" ref="F42:F53" si="5">IF(C42=0,0,E42/C42)</f>
        <v>2.299171297346039E-2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604</v>
      </c>
      <c r="C43" s="361">
        <v>208825893</v>
      </c>
      <c r="D43" s="361">
        <v>218469522</v>
      </c>
      <c r="E43" s="361">
        <f t="shared" si="4"/>
        <v>9643629</v>
      </c>
      <c r="F43" s="362">
        <f t="shared" si="5"/>
        <v>4.6180235896321538E-2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605</v>
      </c>
      <c r="C44" s="366">
        <f>IF(C42=0,0,C43/C42)</f>
        <v>0.48655540454403595</v>
      </c>
      <c r="D44" s="366">
        <f>IF(LN_IB1=0,0,LN_IB2/LN_IB1)</f>
        <v>0.49758433176644451</v>
      </c>
      <c r="E44" s="367">
        <f t="shared" si="4"/>
        <v>1.1028927222408558E-2</v>
      </c>
      <c r="F44" s="362">
        <f t="shared" si="5"/>
        <v>2.2667361454435101E-2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16639</v>
      </c>
      <c r="D45" s="369">
        <v>16050</v>
      </c>
      <c r="E45" s="369">
        <f t="shared" si="4"/>
        <v>-589</v>
      </c>
      <c r="F45" s="362">
        <f t="shared" si="5"/>
        <v>-3.5398761944828418E-2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606</v>
      </c>
      <c r="C46" s="372">
        <v>1.3378000000000001</v>
      </c>
      <c r="D46" s="372">
        <v>1.3722000000000001</v>
      </c>
      <c r="E46" s="373">
        <f t="shared" si="4"/>
        <v>3.4399999999999986E-2</v>
      </c>
      <c r="F46" s="362">
        <f t="shared" si="5"/>
        <v>2.5713858573777833E-2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607</v>
      </c>
      <c r="C47" s="376">
        <f>C45*C46</f>
        <v>22259.654200000001</v>
      </c>
      <c r="D47" s="376">
        <f>LN_IB4*LN_IB5</f>
        <v>22023.81</v>
      </c>
      <c r="E47" s="376">
        <f t="shared" si="4"/>
        <v>-235.84419999999955</v>
      </c>
      <c r="F47" s="362">
        <f t="shared" si="5"/>
        <v>-1.0595142129386698E-2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608</v>
      </c>
      <c r="C48" s="378">
        <f>IF(C47=0,0,C43/C47)</f>
        <v>9381.362851539714</v>
      </c>
      <c r="D48" s="378">
        <f>IF(LN_IB6=0,0,LN_IB2/LN_IB6)</f>
        <v>9919.6970006552001</v>
      </c>
      <c r="E48" s="378">
        <f t="shared" si="4"/>
        <v>538.33414911548607</v>
      </c>
      <c r="F48" s="362">
        <f t="shared" si="5"/>
        <v>5.738336291161919E-2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624</v>
      </c>
      <c r="C49" s="378">
        <f>C21-C48</f>
        <v>-507.35807334894889</v>
      </c>
      <c r="D49" s="378">
        <f>LN_IA7-LN_IB7</f>
        <v>-842.76744726538709</v>
      </c>
      <c r="E49" s="378">
        <f t="shared" si="4"/>
        <v>-335.4093739164382</v>
      </c>
      <c r="F49" s="362">
        <f t="shared" si="5"/>
        <v>0.66109004968124663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625</v>
      </c>
      <c r="C50" s="391">
        <f>C49*C47</f>
        <v>-11293615.268325839</v>
      </c>
      <c r="D50" s="391">
        <f>LN_IB8*LN_IB6</f>
        <v>-18560950.132757906</v>
      </c>
      <c r="E50" s="391">
        <f t="shared" si="4"/>
        <v>-7267334.8644320667</v>
      </c>
      <c r="F50" s="362">
        <f t="shared" si="5"/>
        <v>0.64349056451516373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70885</v>
      </c>
      <c r="D51" s="369">
        <v>68370</v>
      </c>
      <c r="E51" s="369">
        <f t="shared" si="4"/>
        <v>-2515</v>
      </c>
      <c r="F51" s="362">
        <f t="shared" si="5"/>
        <v>-3.5480002821471394E-2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609</v>
      </c>
      <c r="C52" s="378">
        <f>IF(C51=0,0,C43/C51)</f>
        <v>2945.9814206108485</v>
      </c>
      <c r="D52" s="378">
        <f>IF(LN_IB10=0,0,LN_IB2/LN_IB10)</f>
        <v>3195.4003510311541</v>
      </c>
      <c r="E52" s="378">
        <f t="shared" si="4"/>
        <v>249.41893042030551</v>
      </c>
      <c r="F52" s="362">
        <f t="shared" si="5"/>
        <v>8.4664122005422754E-2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610</v>
      </c>
      <c r="C53" s="379">
        <f>IF(C45=0,0,C51/C45)</f>
        <v>4.2601718853296475</v>
      </c>
      <c r="D53" s="379">
        <f>IF(LN_IB4=0,0,LN_IB10/LN_IB4)</f>
        <v>4.2598130841121495</v>
      </c>
      <c r="E53" s="379">
        <f t="shared" si="4"/>
        <v>-3.5880121749798377E-4</v>
      </c>
      <c r="F53" s="362">
        <f t="shared" si="5"/>
        <v>-8.4222239655060331E-5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626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612</v>
      </c>
      <c r="C56" s="361">
        <v>234394020</v>
      </c>
      <c r="D56" s="361">
        <v>280639170</v>
      </c>
      <c r="E56" s="361">
        <f t="shared" ref="E56:E63" si="6">D56-C56</f>
        <v>46245150</v>
      </c>
      <c r="F56" s="362">
        <f t="shared" ref="F56:F63" si="7">IF(C56=0,0,E56/C56)</f>
        <v>0.19729662898396469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613</v>
      </c>
      <c r="C57" s="361">
        <v>110557355</v>
      </c>
      <c r="D57" s="361">
        <v>132592080</v>
      </c>
      <c r="E57" s="361">
        <f t="shared" si="6"/>
        <v>22034725</v>
      </c>
      <c r="F57" s="362">
        <f t="shared" si="7"/>
        <v>0.19930582637401192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614</v>
      </c>
      <c r="C58" s="366">
        <f>IF(C56=0,0,C57/C56)</f>
        <v>0.471673104117588</v>
      </c>
      <c r="D58" s="366">
        <f>IF(LN_IB13=0,0,LN_IB14/LN_IB13)</f>
        <v>0.47246462423616775</v>
      </c>
      <c r="E58" s="367">
        <f t="shared" si="6"/>
        <v>7.9152011857974713E-4</v>
      </c>
      <c r="F58" s="362">
        <f t="shared" si="7"/>
        <v>1.6781116236435252E-3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615</v>
      </c>
      <c r="C59" s="366">
        <f>IF(C42=0,0,C56/C42)</f>
        <v>0.54612804755875199</v>
      </c>
      <c r="D59" s="366">
        <f>IF(LN_IB1=0,0,LN_IB13/LN_IB1)</f>
        <v>0.63918139516018913</v>
      </c>
      <c r="E59" s="367">
        <f t="shared" si="6"/>
        <v>9.3053347601437131E-2</v>
      </c>
      <c r="F59" s="362">
        <f t="shared" si="7"/>
        <v>0.17038741741500932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616</v>
      </c>
      <c r="C60" s="376">
        <f>C59*C45</f>
        <v>9087.0245833300742</v>
      </c>
      <c r="D60" s="376">
        <f>LN_IB16*LN_IB4</f>
        <v>10258.861392321036</v>
      </c>
      <c r="E60" s="376">
        <f t="shared" si="6"/>
        <v>1171.8368089909618</v>
      </c>
      <c r="F60" s="362">
        <f t="shared" si="7"/>
        <v>0.12895715184271295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617</v>
      </c>
      <c r="C61" s="378">
        <f>IF(C60=0,0,C57/C60)</f>
        <v>12166.50774807133</v>
      </c>
      <c r="D61" s="378">
        <f>IF(LN_IB17=0,0,LN_IB14/LN_IB17)</f>
        <v>12924.63899543938</v>
      </c>
      <c r="E61" s="378">
        <f t="shared" si="6"/>
        <v>758.13124736805003</v>
      </c>
      <c r="F61" s="362">
        <f t="shared" si="7"/>
        <v>6.2312971237636468E-2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627</v>
      </c>
      <c r="C62" s="378">
        <f>C32-C61</f>
        <v>181.66488958308219</v>
      </c>
      <c r="D62" s="378">
        <f>LN_IA16-LN_IB18</f>
        <v>608.21848472489364</v>
      </c>
      <c r="E62" s="378">
        <f t="shared" si="6"/>
        <v>426.55359514181146</v>
      </c>
      <c r="F62" s="362">
        <f t="shared" si="7"/>
        <v>2.3480244097841068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628</v>
      </c>
      <c r="C63" s="361">
        <f>C62*C60</f>
        <v>1650793.3175694114</v>
      </c>
      <c r="D63" s="361">
        <f>LN_IB19*LN_IB17</f>
        <v>6239629.1310402127</v>
      </c>
      <c r="E63" s="361">
        <f t="shared" si="6"/>
        <v>4588835.8134708013</v>
      </c>
      <c r="F63" s="362">
        <f t="shared" si="7"/>
        <v>2.7797761019697447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629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619</v>
      </c>
      <c r="C66" s="361">
        <f>C42+C56</f>
        <v>663586443</v>
      </c>
      <c r="D66" s="361">
        <f>LN_IB1+LN_IB13</f>
        <v>719699462</v>
      </c>
      <c r="E66" s="361">
        <f>D66-C66</f>
        <v>56113019</v>
      </c>
      <c r="F66" s="362">
        <f>IF(C66=0,0,E66/C66)</f>
        <v>8.4560225109963555E-2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620</v>
      </c>
      <c r="C67" s="361">
        <f>C43+C57</f>
        <v>319383248</v>
      </c>
      <c r="D67" s="361">
        <f>LN_IB2+LN_IB14</f>
        <v>351061602</v>
      </c>
      <c r="E67" s="361">
        <f>D67-C67</f>
        <v>31678354</v>
      </c>
      <c r="F67" s="362">
        <f>IF(C67=0,0,E67/C67)</f>
        <v>9.9186022430331103E-2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621</v>
      </c>
      <c r="C68" s="361">
        <f>C66-C67</f>
        <v>344203195</v>
      </c>
      <c r="D68" s="361">
        <f>LN_IB21-LN_IB22</f>
        <v>368637860</v>
      </c>
      <c r="E68" s="361">
        <f>D68-C68</f>
        <v>24434665</v>
      </c>
      <c r="F68" s="362">
        <f>IF(C68=0,0,E68/C68)</f>
        <v>7.0989070859728651E-2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630</v>
      </c>
      <c r="C70" s="353">
        <f>C50+C63</f>
        <v>-9642821.9507564269</v>
      </c>
      <c r="D70" s="353">
        <f>LN_IB9+LN_IB20</f>
        <v>-12321321.001717694</v>
      </c>
      <c r="E70" s="361">
        <f>D70-C70</f>
        <v>-2678499.0509612672</v>
      </c>
      <c r="F70" s="362">
        <f>IF(C70=0,0,E70/C70)</f>
        <v>0.27777128569206377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631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632</v>
      </c>
      <c r="C73" s="400">
        <v>599039787</v>
      </c>
      <c r="D73" s="400">
        <v>651518348</v>
      </c>
      <c r="E73" s="400">
        <f>D73-C73</f>
        <v>52478561</v>
      </c>
      <c r="F73" s="401">
        <f>IF(C73=0,0,E73/C73)</f>
        <v>8.760446657944608E-2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633</v>
      </c>
      <c r="C74" s="400">
        <v>302671779</v>
      </c>
      <c r="D74" s="400">
        <v>348212407</v>
      </c>
      <c r="E74" s="400">
        <f>D74-C74</f>
        <v>45540628</v>
      </c>
      <c r="F74" s="401">
        <f>IF(C74=0,0,E74/C74)</f>
        <v>0.15046208850544998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634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635</v>
      </c>
      <c r="C76" s="353">
        <f>C73-C74</f>
        <v>296368008</v>
      </c>
      <c r="D76" s="353">
        <f>LN_IB32-LN_IB33</f>
        <v>303305941</v>
      </c>
      <c r="E76" s="400">
        <f>D76-C76</f>
        <v>6937933</v>
      </c>
      <c r="F76" s="401">
        <f>IF(C76=0,0,E76/C76)</f>
        <v>2.3409858057283971E-2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636</v>
      </c>
      <c r="C77" s="366">
        <f>IF(C73=0,0,C76/C73)</f>
        <v>0.49473843713155569</v>
      </c>
      <c r="D77" s="366">
        <f>IF(LN_IB1=0,0,LN_IB34/LN_IB32)</f>
        <v>0.46553706726920913</v>
      </c>
      <c r="E77" s="405">
        <f>D77-C77</f>
        <v>-2.920136986234656E-2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637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638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603</v>
      </c>
      <c r="C83" s="361">
        <v>19069035</v>
      </c>
      <c r="D83" s="361">
        <v>19801383</v>
      </c>
      <c r="E83" s="361">
        <f t="shared" ref="E83:E95" si="8">D83-C83</f>
        <v>732348</v>
      </c>
      <c r="F83" s="362">
        <f t="shared" ref="F83:F95" si="9">IF(C83=0,0,E83/C83)</f>
        <v>3.8405089717439819E-2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604</v>
      </c>
      <c r="C84" s="361">
        <v>1264171</v>
      </c>
      <c r="D84" s="361">
        <v>1057043</v>
      </c>
      <c r="E84" s="361">
        <f t="shared" si="8"/>
        <v>-207128</v>
      </c>
      <c r="F84" s="362">
        <f t="shared" si="9"/>
        <v>-0.16384492287831315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605</v>
      </c>
      <c r="C85" s="366">
        <f>IF(C83=0,0,C84/C83)</f>
        <v>6.6294440174869892E-2</v>
      </c>
      <c r="D85" s="366">
        <f>IF(LN_IC1=0,0,LN_IC2/LN_IC1)</f>
        <v>5.3382281429534495E-2</v>
      </c>
      <c r="E85" s="367">
        <f t="shared" si="8"/>
        <v>-1.2912158745335398E-2</v>
      </c>
      <c r="F85" s="362">
        <f t="shared" si="9"/>
        <v>-0.19476985869819571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694</v>
      </c>
      <c r="D86" s="369">
        <v>690</v>
      </c>
      <c r="E86" s="369">
        <f t="shared" si="8"/>
        <v>-4</v>
      </c>
      <c r="F86" s="362">
        <f t="shared" si="9"/>
        <v>-5.763688760806916E-3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606</v>
      </c>
      <c r="C87" s="372">
        <v>1.3109</v>
      </c>
      <c r="D87" s="372">
        <v>1.3522000000000001</v>
      </c>
      <c r="E87" s="373">
        <f t="shared" si="8"/>
        <v>4.1300000000000114E-2</v>
      </c>
      <c r="F87" s="362">
        <f t="shared" si="9"/>
        <v>3.1505072850713342E-2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607</v>
      </c>
      <c r="C88" s="376">
        <f>C86*C87</f>
        <v>909.76459999999997</v>
      </c>
      <c r="D88" s="376">
        <f>LN_IC4*LN_IC5</f>
        <v>933.01800000000003</v>
      </c>
      <c r="E88" s="376">
        <f t="shared" si="8"/>
        <v>23.253400000000056</v>
      </c>
      <c r="F88" s="362">
        <f t="shared" si="9"/>
        <v>2.5559798655608337E-2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608</v>
      </c>
      <c r="C89" s="378">
        <f>IF(C88=0,0,C84/C88)</f>
        <v>1389.5583538862691</v>
      </c>
      <c r="D89" s="378">
        <f>IF(LN_IC6=0,0,LN_IC2/LN_IC6)</f>
        <v>1132.9288395293552</v>
      </c>
      <c r="E89" s="378">
        <f t="shared" si="8"/>
        <v>-256.62951435691389</v>
      </c>
      <c r="F89" s="362">
        <f t="shared" si="9"/>
        <v>-0.18468422980523364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639</v>
      </c>
      <c r="C90" s="378">
        <f>C48-C89</f>
        <v>7991.8044976534447</v>
      </c>
      <c r="D90" s="378">
        <f>LN_IB7-LN_IC7</f>
        <v>8786.7681611258449</v>
      </c>
      <c r="E90" s="378">
        <f t="shared" si="8"/>
        <v>794.96366347240019</v>
      </c>
      <c r="F90" s="362">
        <f t="shared" si="9"/>
        <v>9.9472361180233768E-2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640</v>
      </c>
      <c r="C91" s="378">
        <f>C21-C89</f>
        <v>7484.4464243044958</v>
      </c>
      <c r="D91" s="378">
        <f>LN_IA7-LN_IC7</f>
        <v>7944.0007138604578</v>
      </c>
      <c r="E91" s="378">
        <f t="shared" si="8"/>
        <v>459.55428955596199</v>
      </c>
      <c r="F91" s="362">
        <f t="shared" si="9"/>
        <v>6.1401239784900565E-2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625</v>
      </c>
      <c r="C92" s="353">
        <f>C91*C88</f>
        <v>6809084.4074288094</v>
      </c>
      <c r="D92" s="353">
        <f>LN_IC9*LN_IC6</f>
        <v>7411895.6580446567</v>
      </c>
      <c r="E92" s="353">
        <f t="shared" si="8"/>
        <v>602811.2506158473</v>
      </c>
      <c r="F92" s="362">
        <f t="shared" si="9"/>
        <v>8.8530441766615717E-2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3053</v>
      </c>
      <c r="D93" s="369">
        <v>2939</v>
      </c>
      <c r="E93" s="369">
        <f t="shared" si="8"/>
        <v>-114</v>
      </c>
      <c r="F93" s="362">
        <f t="shared" si="9"/>
        <v>-3.7340320995741895E-2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609</v>
      </c>
      <c r="C94" s="411">
        <f>IF(C93=0,0,C84/C93)</f>
        <v>414.07500818866686</v>
      </c>
      <c r="D94" s="411">
        <f>IF(LN_IC11=0,0,LN_IC2/LN_IC11)</f>
        <v>359.66076896903706</v>
      </c>
      <c r="E94" s="411">
        <f t="shared" si="8"/>
        <v>-54.414239219629792</v>
      </c>
      <c r="F94" s="362">
        <f t="shared" si="9"/>
        <v>-0.13141155139417829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610</v>
      </c>
      <c r="C95" s="379">
        <f>IF(C86=0,0,C93/C86)</f>
        <v>4.3991354466858787</v>
      </c>
      <c r="D95" s="379">
        <f>IF(LN_IC4=0,0,LN_IC11/LN_IC4)</f>
        <v>4.2594202898550728</v>
      </c>
      <c r="E95" s="379">
        <f t="shared" si="8"/>
        <v>-0.13971515683080593</v>
      </c>
      <c r="F95" s="362">
        <f t="shared" si="9"/>
        <v>-3.1759685175427224E-2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641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612</v>
      </c>
      <c r="C98" s="361">
        <v>26654052</v>
      </c>
      <c r="D98" s="361">
        <v>27329396</v>
      </c>
      <c r="E98" s="361">
        <f t="shared" ref="E98:E106" si="10">D98-C98</f>
        <v>675344</v>
      </c>
      <c r="F98" s="362">
        <f t="shared" ref="F98:F106" si="11">IF(C98=0,0,E98/C98)</f>
        <v>2.533738585037652E-2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613</v>
      </c>
      <c r="C99" s="361">
        <v>1767017</v>
      </c>
      <c r="D99" s="361">
        <v>1458906</v>
      </c>
      <c r="E99" s="361">
        <f t="shared" si="10"/>
        <v>-308111</v>
      </c>
      <c r="F99" s="362">
        <f t="shared" si="11"/>
        <v>-0.17436787535151049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614</v>
      </c>
      <c r="C100" s="366">
        <f>IF(C98=0,0,C99/C98)</f>
        <v>6.629449811233204E-2</v>
      </c>
      <c r="D100" s="366">
        <f>IF(LN_IC14=0,0,LN_IC15/LN_IC14)</f>
        <v>5.3382299411227387E-2</v>
      </c>
      <c r="E100" s="367">
        <f t="shared" si="10"/>
        <v>-1.2912198701104653E-2</v>
      </c>
      <c r="F100" s="362">
        <f t="shared" si="11"/>
        <v>-0.194770291182018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615</v>
      </c>
      <c r="C101" s="366">
        <f>IF(C83=0,0,C98/C83)</f>
        <v>1.3977661690798722</v>
      </c>
      <c r="D101" s="366">
        <f>IF(LN_IC1=0,0,LN_IC14/LN_IC1)</f>
        <v>1.3801761220415767</v>
      </c>
      <c r="E101" s="367">
        <f t="shared" si="10"/>
        <v>-1.7590047038295475E-2</v>
      </c>
      <c r="F101" s="362">
        <f t="shared" si="11"/>
        <v>-1.258439889833271E-2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616</v>
      </c>
      <c r="C102" s="376">
        <f>C101*C86</f>
        <v>970.04972134143134</v>
      </c>
      <c r="D102" s="376">
        <f>LN_IC17*LN_IC4</f>
        <v>952.32152420868795</v>
      </c>
      <c r="E102" s="376">
        <f t="shared" si="10"/>
        <v>-17.728197132743389</v>
      </c>
      <c r="F102" s="362">
        <f t="shared" si="11"/>
        <v>-1.8275555100647819E-2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617</v>
      </c>
      <c r="C103" s="378">
        <f>IF(C102=0,0,C99/C102)</f>
        <v>1821.5736380569072</v>
      </c>
      <c r="D103" s="378">
        <f>IF(LN_IC18=0,0,LN_IC15/LN_IC18)</f>
        <v>1531.9468928440403</v>
      </c>
      <c r="E103" s="378">
        <f t="shared" si="10"/>
        <v>-289.62674521286681</v>
      </c>
      <c r="F103" s="362">
        <f t="shared" si="11"/>
        <v>-0.15899809876575446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642</v>
      </c>
      <c r="C104" s="378">
        <f>C61-C103</f>
        <v>10344.934110014423</v>
      </c>
      <c r="D104" s="378">
        <f>LN_IB18-LN_IC19</f>
        <v>11392.69210259534</v>
      </c>
      <c r="E104" s="378">
        <f t="shared" si="10"/>
        <v>1047.7579925809168</v>
      </c>
      <c r="F104" s="362">
        <f t="shared" si="11"/>
        <v>0.10128222968251037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643</v>
      </c>
      <c r="C105" s="378">
        <f>C32-C103</f>
        <v>10526.598999597505</v>
      </c>
      <c r="D105" s="378">
        <f>LN_IA16-LN_IC19</f>
        <v>12000.910587320233</v>
      </c>
      <c r="E105" s="378">
        <f t="shared" si="10"/>
        <v>1474.3115877227283</v>
      </c>
      <c r="F105" s="362">
        <f t="shared" si="11"/>
        <v>0.14005583263683741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628</v>
      </c>
      <c r="C106" s="361">
        <f>C105*C102</f>
        <v>10211324.42623255</v>
      </c>
      <c r="D106" s="361">
        <f>LN_IC21*LN_IC18</f>
        <v>11428725.462408986</v>
      </c>
      <c r="E106" s="361">
        <f t="shared" si="10"/>
        <v>1217401.0361764356</v>
      </c>
      <c r="F106" s="362">
        <f t="shared" si="11"/>
        <v>0.11922067944966798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644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619</v>
      </c>
      <c r="C109" s="361">
        <f>C83+C98</f>
        <v>45723087</v>
      </c>
      <c r="D109" s="361">
        <f>LN_IC1+LN_IC14</f>
        <v>47130779</v>
      </c>
      <c r="E109" s="361">
        <f>D109-C109</f>
        <v>1407692</v>
      </c>
      <c r="F109" s="362">
        <f>IF(C109=0,0,E109/C109)</f>
        <v>3.0787335072104821E-2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620</v>
      </c>
      <c r="C110" s="361">
        <f>C84+C99</f>
        <v>3031188</v>
      </c>
      <c r="D110" s="361">
        <f>LN_IC2+LN_IC15</f>
        <v>2515949</v>
      </c>
      <c r="E110" s="361">
        <f>D110-C110</f>
        <v>-515239</v>
      </c>
      <c r="F110" s="362">
        <f>IF(C110=0,0,E110/C110)</f>
        <v>-0.16997922926588518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621</v>
      </c>
      <c r="C111" s="361">
        <f>C109-C110</f>
        <v>42691899</v>
      </c>
      <c r="D111" s="361">
        <f>LN_IC23-LN_IC24</f>
        <v>44614830</v>
      </c>
      <c r="E111" s="361">
        <f>D111-C111</f>
        <v>1922931</v>
      </c>
      <c r="F111" s="362">
        <f>IF(C111=0,0,E111/C111)</f>
        <v>4.5042058213432955E-2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630</v>
      </c>
      <c r="C113" s="361">
        <f>C92+C106</f>
        <v>17020408.833661359</v>
      </c>
      <c r="D113" s="361">
        <f>LN_IC10+LN_IC22</f>
        <v>18840621.120453641</v>
      </c>
      <c r="E113" s="361">
        <f>D113-C113</f>
        <v>1820212.286792282</v>
      </c>
      <c r="F113" s="362">
        <f>IF(C113=0,0,E113/C113)</f>
        <v>0.10694292390864536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645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646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603</v>
      </c>
      <c r="C118" s="361">
        <v>151645210</v>
      </c>
      <c r="D118" s="361">
        <v>197558048</v>
      </c>
      <c r="E118" s="361">
        <f t="shared" ref="E118:E130" si="12">D118-C118</f>
        <v>45912838</v>
      </c>
      <c r="F118" s="362">
        <f t="shared" ref="F118:F130" si="13">IF(C118=0,0,E118/C118)</f>
        <v>0.30276484169859369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604</v>
      </c>
      <c r="C119" s="361">
        <v>50841503</v>
      </c>
      <c r="D119" s="361">
        <v>66489002</v>
      </c>
      <c r="E119" s="361">
        <f t="shared" si="12"/>
        <v>15647499</v>
      </c>
      <c r="F119" s="362">
        <f t="shared" si="13"/>
        <v>0.30777018924873245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605</v>
      </c>
      <c r="C120" s="366">
        <f>IF(C118=0,0,C119/C118)</f>
        <v>0.33526613204597761</v>
      </c>
      <c r="D120" s="366">
        <f>IF(LN_ID1=0,0,LN_1D2/LN_ID1)</f>
        <v>0.33655425670130129</v>
      </c>
      <c r="E120" s="367">
        <f t="shared" si="12"/>
        <v>1.2881246553236858E-3</v>
      </c>
      <c r="F120" s="362">
        <f t="shared" si="13"/>
        <v>3.8420959715281811E-3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6942</v>
      </c>
      <c r="D121" s="369">
        <v>7923</v>
      </c>
      <c r="E121" s="369">
        <f t="shared" si="12"/>
        <v>981</v>
      </c>
      <c r="F121" s="362">
        <f t="shared" si="13"/>
        <v>0.14131374243733794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606</v>
      </c>
      <c r="C122" s="372">
        <v>1.0791999999999999</v>
      </c>
      <c r="D122" s="372">
        <v>1.1066</v>
      </c>
      <c r="E122" s="373">
        <f t="shared" si="12"/>
        <v>2.7400000000000091E-2</v>
      </c>
      <c r="F122" s="362">
        <f t="shared" si="13"/>
        <v>2.5389177168272881E-2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607</v>
      </c>
      <c r="C123" s="376">
        <f>C121*C122</f>
        <v>7491.8063999999995</v>
      </c>
      <c r="D123" s="376">
        <f>LN_ID4*LN_ID5</f>
        <v>8767.5918000000001</v>
      </c>
      <c r="E123" s="376">
        <f t="shared" si="12"/>
        <v>1275.7854000000007</v>
      </c>
      <c r="F123" s="362">
        <f t="shared" si="13"/>
        <v>0.17029075924866408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608</v>
      </c>
      <c r="C124" s="378">
        <f>IF(C123=0,0,C119/C123)</f>
        <v>6786.2809428711353</v>
      </c>
      <c r="D124" s="378">
        <f>IF(LN_ID6=0,0,LN_1D2/LN_ID6)</f>
        <v>7583.4965309402287</v>
      </c>
      <c r="E124" s="378">
        <f t="shared" si="12"/>
        <v>797.21558806909343</v>
      </c>
      <c r="F124" s="362">
        <f t="shared" si="13"/>
        <v>0.11747459245797272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647</v>
      </c>
      <c r="C125" s="378">
        <f>C48-C124</f>
        <v>2595.0819086685788</v>
      </c>
      <c r="D125" s="378">
        <f>LN_IB7-LN_ID7</f>
        <v>2336.2004697149714</v>
      </c>
      <c r="E125" s="378">
        <f t="shared" si="12"/>
        <v>-258.88143895360736</v>
      </c>
      <c r="F125" s="362">
        <f t="shared" si="13"/>
        <v>-9.9758484727916708E-2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648</v>
      </c>
      <c r="C126" s="378">
        <f>C21-C124</f>
        <v>2087.7238353196299</v>
      </c>
      <c r="D126" s="378">
        <f>LN_IA7-LN_ID7</f>
        <v>1493.4330224495843</v>
      </c>
      <c r="E126" s="378">
        <f t="shared" si="12"/>
        <v>-594.29081287004556</v>
      </c>
      <c r="F126" s="362">
        <f t="shared" si="13"/>
        <v>-0.28465968669609015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625</v>
      </c>
      <c r="C127" s="391">
        <f>C126*C123</f>
        <v>15640822.790880147</v>
      </c>
      <c r="D127" s="391">
        <f>LN_ID9*LN_ID6</f>
        <v>13093811.121478191</v>
      </c>
      <c r="E127" s="391">
        <f t="shared" si="12"/>
        <v>-2547011.6694019567</v>
      </c>
      <c r="F127" s="362">
        <f t="shared" si="13"/>
        <v>-0.16284384162239013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36571</v>
      </c>
      <c r="D128" s="369">
        <v>42046</v>
      </c>
      <c r="E128" s="369">
        <f t="shared" si="12"/>
        <v>5475</v>
      </c>
      <c r="F128" s="362">
        <f t="shared" si="13"/>
        <v>0.14970878564983184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609</v>
      </c>
      <c r="C129" s="378">
        <f>IF(C128=0,0,C119/C128)</f>
        <v>1390.2136392223347</v>
      </c>
      <c r="D129" s="378">
        <f>IF(LN_ID11=0,0,LN_1D2/LN_ID11)</f>
        <v>1581.3395328925462</v>
      </c>
      <c r="E129" s="378">
        <f t="shared" si="12"/>
        <v>191.12589367021155</v>
      </c>
      <c r="F129" s="362">
        <f t="shared" si="13"/>
        <v>0.13747951270074188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610</v>
      </c>
      <c r="C130" s="379">
        <f>IF(C121=0,0,C128/C121)</f>
        <v>5.2680783635839816</v>
      </c>
      <c r="D130" s="379">
        <f>IF(LN_ID4=0,0,LN_ID11/LN_ID4)</f>
        <v>5.3068282216332197</v>
      </c>
      <c r="E130" s="379">
        <f t="shared" si="12"/>
        <v>3.8749858049238028E-2</v>
      </c>
      <c r="F130" s="362">
        <f t="shared" si="13"/>
        <v>7.3555963626318775E-3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649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612</v>
      </c>
      <c r="C133" s="361">
        <v>71445231</v>
      </c>
      <c r="D133" s="361">
        <v>96206878</v>
      </c>
      <c r="E133" s="361">
        <f t="shared" ref="E133:E141" si="14">D133-C133</f>
        <v>24761647</v>
      </c>
      <c r="F133" s="362">
        <f t="shared" ref="F133:F141" si="15">IF(C133=0,0,E133/C133)</f>
        <v>0.34658222324174442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613</v>
      </c>
      <c r="C134" s="361">
        <v>20966500</v>
      </c>
      <c r="D134" s="361">
        <v>23438520</v>
      </c>
      <c r="E134" s="361">
        <f t="shared" si="14"/>
        <v>2472020</v>
      </c>
      <c r="F134" s="362">
        <f t="shared" si="15"/>
        <v>0.11790332196599337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614</v>
      </c>
      <c r="C135" s="366">
        <f>IF(C133=0,0,C134/C133)</f>
        <v>0.293462554554551</v>
      </c>
      <c r="D135" s="366">
        <f>IF(LN_ID14=0,0,LN_ID15/LN_ID14)</f>
        <v>0.24362624052721055</v>
      </c>
      <c r="E135" s="367">
        <f t="shared" si="14"/>
        <v>-4.9836314027340456E-2</v>
      </c>
      <c r="F135" s="362">
        <f t="shared" si="15"/>
        <v>-0.16982171406156868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615</v>
      </c>
      <c r="C136" s="366">
        <f>IF(C118=0,0,C133/C118)</f>
        <v>0.47113410967613156</v>
      </c>
      <c r="D136" s="366">
        <f>IF(LN_ID1=0,0,LN_ID14/LN_ID1)</f>
        <v>0.48698030261971409</v>
      </c>
      <c r="E136" s="367">
        <f t="shared" si="14"/>
        <v>1.5846192943582527E-2</v>
      </c>
      <c r="F136" s="362">
        <f t="shared" si="15"/>
        <v>3.3634144966654109E-2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616</v>
      </c>
      <c r="C137" s="376">
        <f>C136*C121</f>
        <v>3270.6129893717052</v>
      </c>
      <c r="D137" s="376">
        <f>LN_ID17*LN_ID4</f>
        <v>3858.3449376559947</v>
      </c>
      <c r="E137" s="376">
        <f t="shared" si="14"/>
        <v>587.7319482842895</v>
      </c>
      <c r="F137" s="362">
        <f t="shared" si="15"/>
        <v>0.17970085430290994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617</v>
      </c>
      <c r="C138" s="378">
        <f>IF(C137=0,0,C134/C137)</f>
        <v>6410.5719839471831</v>
      </c>
      <c r="D138" s="378">
        <f>IF(LN_ID18=0,0,LN_ID15/LN_ID18)</f>
        <v>6074.760131280349</v>
      </c>
      <c r="E138" s="378">
        <f t="shared" si="14"/>
        <v>-335.81185266683406</v>
      </c>
      <c r="F138" s="362">
        <f t="shared" si="15"/>
        <v>-5.238407017466553E-2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650</v>
      </c>
      <c r="C139" s="378">
        <f>C61-C138</f>
        <v>5755.9357641241468</v>
      </c>
      <c r="D139" s="378">
        <f>LN_IB18-LN_ID19</f>
        <v>6849.8788641590309</v>
      </c>
      <c r="E139" s="378">
        <f t="shared" si="14"/>
        <v>1093.9431000348841</v>
      </c>
      <c r="F139" s="362">
        <f t="shared" si="15"/>
        <v>0.19005477907749796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651</v>
      </c>
      <c r="C140" s="378">
        <f>C32-C138</f>
        <v>5937.600653707229</v>
      </c>
      <c r="D140" s="378">
        <f>LN_IA16-LN_ID19</f>
        <v>7458.0973488839245</v>
      </c>
      <c r="E140" s="378">
        <f t="shared" si="14"/>
        <v>1520.4966951766955</v>
      </c>
      <c r="F140" s="362">
        <f t="shared" si="15"/>
        <v>0.2560793128159185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628</v>
      </c>
      <c r="C141" s="353">
        <f>C140*C137</f>
        <v>19419593.823716789</v>
      </c>
      <c r="D141" s="353">
        <f>LN_ID21*LN_ID18</f>
        <v>28775912.150611885</v>
      </c>
      <c r="E141" s="353">
        <f t="shared" si="14"/>
        <v>9356318.3268950954</v>
      </c>
      <c r="F141" s="362">
        <f t="shared" si="15"/>
        <v>0.4817978384011512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652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619</v>
      </c>
      <c r="C144" s="361">
        <f>C118+C133</f>
        <v>223090441</v>
      </c>
      <c r="D144" s="361">
        <f>LN_ID1+LN_ID14</f>
        <v>293764926</v>
      </c>
      <c r="E144" s="361">
        <f>D144-C144</f>
        <v>70674485</v>
      </c>
      <c r="F144" s="362">
        <f>IF(C144=0,0,E144/C144)</f>
        <v>0.31679745973517531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620</v>
      </c>
      <c r="C145" s="361">
        <f>C119+C134</f>
        <v>71808003</v>
      </c>
      <c r="D145" s="361">
        <f>LN_1D2+LN_ID15</f>
        <v>89927522</v>
      </c>
      <c r="E145" s="361">
        <f>D145-C145</f>
        <v>18119519</v>
      </c>
      <c r="F145" s="362">
        <f>IF(C145=0,0,E145/C145)</f>
        <v>0.25233286323252857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621</v>
      </c>
      <c r="C146" s="361">
        <f>C144-C145</f>
        <v>151282438</v>
      </c>
      <c r="D146" s="361">
        <f>LN_ID23-LN_ID24</f>
        <v>203837404</v>
      </c>
      <c r="E146" s="361">
        <f>D146-C146</f>
        <v>52554966</v>
      </c>
      <c r="F146" s="362">
        <f>IF(C146=0,0,E146/C146)</f>
        <v>0.34739634484208931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630</v>
      </c>
      <c r="C148" s="361">
        <f>C127+C141</f>
        <v>35060416.614596933</v>
      </c>
      <c r="D148" s="361">
        <f>LN_ID10+LN_ID22</f>
        <v>41869723.272090077</v>
      </c>
      <c r="E148" s="361">
        <f>D148-C148</f>
        <v>6809306.6574931443</v>
      </c>
      <c r="F148" s="415">
        <f>IF(C148=0,0,E148/C148)</f>
        <v>0.19421636463550124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653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654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603</v>
      </c>
      <c r="C153" s="361">
        <v>49341390</v>
      </c>
      <c r="D153" s="361">
        <v>27257124</v>
      </c>
      <c r="E153" s="361">
        <f t="shared" ref="E153:E165" si="16">D153-C153</f>
        <v>-22084266</v>
      </c>
      <c r="F153" s="362">
        <f t="shared" ref="F153:F165" si="17">IF(C153=0,0,E153/C153)</f>
        <v>-0.44758094573338936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604</v>
      </c>
      <c r="C154" s="361">
        <v>7516434</v>
      </c>
      <c r="D154" s="361">
        <v>7279004</v>
      </c>
      <c r="E154" s="361">
        <f t="shared" si="16"/>
        <v>-237430</v>
      </c>
      <c r="F154" s="362">
        <f t="shared" si="17"/>
        <v>-3.1588117450376069E-2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605</v>
      </c>
      <c r="C155" s="366">
        <f>IF(C153=0,0,C154/C153)</f>
        <v>0.15233527065208338</v>
      </c>
      <c r="D155" s="366">
        <f>IF(LN_IE1=0,0,LN_IE2/LN_IE1)</f>
        <v>0.26704959774919762</v>
      </c>
      <c r="E155" s="367">
        <f t="shared" si="16"/>
        <v>0.11471432709711424</v>
      </c>
      <c r="F155" s="362">
        <f t="shared" si="17"/>
        <v>0.75303852224156842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1888</v>
      </c>
      <c r="D156" s="419">
        <v>1307</v>
      </c>
      <c r="E156" s="419">
        <f t="shared" si="16"/>
        <v>-581</v>
      </c>
      <c r="F156" s="362">
        <f t="shared" si="17"/>
        <v>-0.30773305084745761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606</v>
      </c>
      <c r="C157" s="372">
        <v>1.2134</v>
      </c>
      <c r="D157" s="372">
        <v>1.2428999999999999</v>
      </c>
      <c r="E157" s="373">
        <f t="shared" si="16"/>
        <v>2.949999999999986E-2</v>
      </c>
      <c r="F157" s="362">
        <f t="shared" si="17"/>
        <v>2.4311850997197841E-2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607</v>
      </c>
      <c r="C158" s="376">
        <f>C156*C157</f>
        <v>2290.8991999999998</v>
      </c>
      <c r="D158" s="376">
        <f>LN_IE4*LN_IE5</f>
        <v>1624.4703</v>
      </c>
      <c r="E158" s="376">
        <f t="shared" si="16"/>
        <v>-666.42889999999989</v>
      </c>
      <c r="F158" s="362">
        <f t="shared" si="17"/>
        <v>-0.2909027599293762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608</v>
      </c>
      <c r="C159" s="378">
        <f>IF(C158=0,0,C154/C158)</f>
        <v>3280.9972608135708</v>
      </c>
      <c r="D159" s="378">
        <f>IF(LN_IE6=0,0,LN_IE2/LN_IE6)</f>
        <v>4480.8476953995405</v>
      </c>
      <c r="E159" s="378">
        <f t="shared" si="16"/>
        <v>1199.8504345859697</v>
      </c>
      <c r="F159" s="362">
        <f t="shared" si="17"/>
        <v>0.36569687177625054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655</v>
      </c>
      <c r="C160" s="378">
        <f>C48-C159</f>
        <v>6100.3655907261436</v>
      </c>
      <c r="D160" s="378">
        <f>LN_IB7-LN_IE7</f>
        <v>5438.8493052556596</v>
      </c>
      <c r="E160" s="378">
        <f t="shared" si="16"/>
        <v>-661.51628547048404</v>
      </c>
      <c r="F160" s="362">
        <f t="shared" si="17"/>
        <v>-0.108438793648061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656</v>
      </c>
      <c r="C161" s="378">
        <f>C21-C159</f>
        <v>5593.0075173771947</v>
      </c>
      <c r="D161" s="378">
        <f>LN_IA7-LN_IE7</f>
        <v>4596.0818579902725</v>
      </c>
      <c r="E161" s="378">
        <f t="shared" si="16"/>
        <v>-996.92565938692223</v>
      </c>
      <c r="F161" s="362">
        <f t="shared" si="17"/>
        <v>-0.17824500615983871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625</v>
      </c>
      <c r="C162" s="391">
        <f>C161*C158</f>
        <v>12813016.447153401</v>
      </c>
      <c r="D162" s="391">
        <f>LN_IE9*LN_IE6</f>
        <v>7466198.4746740153</v>
      </c>
      <c r="E162" s="391">
        <f t="shared" si="16"/>
        <v>-5346817.9724793853</v>
      </c>
      <c r="F162" s="362">
        <f t="shared" si="17"/>
        <v>-0.41729580185368914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10525</v>
      </c>
      <c r="D163" s="369">
        <v>7453</v>
      </c>
      <c r="E163" s="419">
        <f t="shared" si="16"/>
        <v>-3072</v>
      </c>
      <c r="F163" s="362">
        <f t="shared" si="17"/>
        <v>-0.29187648456057008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609</v>
      </c>
      <c r="C164" s="378">
        <f>IF(C163=0,0,C154/C163)</f>
        <v>714.15049881235154</v>
      </c>
      <c r="D164" s="378">
        <f>IF(LN_IE11=0,0,LN_IE2/LN_IE11)</f>
        <v>976.65423319468675</v>
      </c>
      <c r="E164" s="378">
        <f t="shared" si="16"/>
        <v>262.50373438233521</v>
      </c>
      <c r="F164" s="362">
        <f t="shared" si="17"/>
        <v>0.36757481065809638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610</v>
      </c>
      <c r="C165" s="379">
        <f>IF(C156=0,0,C163/C156)</f>
        <v>5.5746822033898304</v>
      </c>
      <c r="D165" s="379">
        <f>IF(LN_IE4=0,0,LN_IE11/LN_IE4)</f>
        <v>5.7023718439173683</v>
      </c>
      <c r="E165" s="379">
        <f t="shared" si="16"/>
        <v>0.12768964052753784</v>
      </c>
      <c r="F165" s="362">
        <f t="shared" si="17"/>
        <v>2.2905277084654767E-2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657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612</v>
      </c>
      <c r="C168" s="424">
        <v>21216679</v>
      </c>
      <c r="D168" s="424">
        <v>12034218</v>
      </c>
      <c r="E168" s="424">
        <f t="shared" ref="E168:E176" si="18">D168-C168</f>
        <v>-9182461</v>
      </c>
      <c r="F168" s="362">
        <f t="shared" ref="F168:F176" si="19">IF(C168=0,0,E168/C168)</f>
        <v>-0.43279445383511717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613</v>
      </c>
      <c r="C169" s="424">
        <v>4336291</v>
      </c>
      <c r="D169" s="424">
        <v>2632027</v>
      </c>
      <c r="E169" s="424">
        <f t="shared" si="18"/>
        <v>-1704264</v>
      </c>
      <c r="F169" s="362">
        <f t="shared" si="19"/>
        <v>-0.39302343869449718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614</v>
      </c>
      <c r="C170" s="366">
        <f>IF(C168=0,0,C169/C168)</f>
        <v>0.20438123233141248</v>
      </c>
      <c r="D170" s="366">
        <f>IF(LN_IE14=0,0,LN_IE15/LN_IE14)</f>
        <v>0.21871192627555858</v>
      </c>
      <c r="E170" s="367">
        <f t="shared" si="18"/>
        <v>1.43306939441461E-2</v>
      </c>
      <c r="F170" s="362">
        <f t="shared" si="19"/>
        <v>7.0117465193224288E-2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615</v>
      </c>
      <c r="C171" s="366">
        <f>IF(C153=0,0,C168/C153)</f>
        <v>0.4299975943117938</v>
      </c>
      <c r="D171" s="366">
        <f>IF(LN_IE1=0,0,LN_IE14/LN_IE1)</f>
        <v>0.44150725513080541</v>
      </c>
      <c r="E171" s="367">
        <f t="shared" si="18"/>
        <v>1.1509660819011613E-2</v>
      </c>
      <c r="F171" s="362">
        <f t="shared" si="19"/>
        <v>2.6766802817659231E-2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616</v>
      </c>
      <c r="C172" s="376">
        <f>C171*C156</f>
        <v>811.83545806066672</v>
      </c>
      <c r="D172" s="376">
        <f>LN_IE17*LN_IE4</f>
        <v>577.04998245596266</v>
      </c>
      <c r="E172" s="376">
        <f t="shared" si="18"/>
        <v>-234.78547560470406</v>
      </c>
      <c r="F172" s="362">
        <f t="shared" si="19"/>
        <v>-0.28920327792230904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617</v>
      </c>
      <c r="C173" s="378">
        <f>IF(C172=0,0,C169/C172)</f>
        <v>5341.3422103521352</v>
      </c>
      <c r="D173" s="378">
        <f>IF(LN_IE18=0,0,LN_IE15/LN_IE18)</f>
        <v>4561.1768131383005</v>
      </c>
      <c r="E173" s="378">
        <f t="shared" si="18"/>
        <v>-780.16539721383469</v>
      </c>
      <c r="F173" s="362">
        <f t="shared" si="19"/>
        <v>-0.14606167635201964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658</v>
      </c>
      <c r="C174" s="378">
        <f>C61-C173</f>
        <v>6825.1655377191946</v>
      </c>
      <c r="D174" s="378">
        <f>LN_IB18-LN_IE19</f>
        <v>8363.4621823010784</v>
      </c>
      <c r="E174" s="378">
        <f t="shared" si="18"/>
        <v>1538.2966445818838</v>
      </c>
      <c r="F174" s="362">
        <f t="shared" si="19"/>
        <v>0.22538598310627134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659</v>
      </c>
      <c r="C175" s="378">
        <f>C32-C173</f>
        <v>7006.8304273022768</v>
      </c>
      <c r="D175" s="378">
        <f>LN_IA16-LN_IE19</f>
        <v>8971.6806670259721</v>
      </c>
      <c r="E175" s="378">
        <f t="shared" si="18"/>
        <v>1964.8502397236953</v>
      </c>
      <c r="F175" s="362">
        <f t="shared" si="19"/>
        <v>0.28041926518838117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628</v>
      </c>
      <c r="C176" s="353">
        <f>C175*C172</f>
        <v>5688393.3895023614</v>
      </c>
      <c r="D176" s="353">
        <f>LN_IE21*LN_IE18</f>
        <v>5177108.1715078363</v>
      </c>
      <c r="E176" s="353">
        <f t="shared" si="18"/>
        <v>-511285.2179945251</v>
      </c>
      <c r="F176" s="362">
        <f t="shared" si="19"/>
        <v>-8.9882183418973055E-2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660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619</v>
      </c>
      <c r="C179" s="361">
        <f>C153+C168</f>
        <v>70558069</v>
      </c>
      <c r="D179" s="361">
        <f>LN_IE1+LN_IE14</f>
        <v>39291342</v>
      </c>
      <c r="E179" s="361">
        <f>D179-C179</f>
        <v>-31266727</v>
      </c>
      <c r="F179" s="362">
        <f>IF(C179=0,0,E179/C179)</f>
        <v>-0.44313467535513196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620</v>
      </c>
      <c r="C180" s="361">
        <f>C154+C169</f>
        <v>11852725</v>
      </c>
      <c r="D180" s="361">
        <f>LN_IE15+LN_IE2</f>
        <v>9911031</v>
      </c>
      <c r="E180" s="361">
        <f>D180-C180</f>
        <v>-1941694</v>
      </c>
      <c r="F180" s="362">
        <f>IF(C180=0,0,E180/C180)</f>
        <v>-0.16381836244407932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621</v>
      </c>
      <c r="C181" s="361">
        <f>C179-C180</f>
        <v>58705344</v>
      </c>
      <c r="D181" s="361">
        <f>LN_IE23-LN_IE24</f>
        <v>29380311</v>
      </c>
      <c r="E181" s="361">
        <f>D181-C181</f>
        <v>-29325033</v>
      </c>
      <c r="F181" s="362">
        <f>IF(C181=0,0,E181/C181)</f>
        <v>-0.49952919107330329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661</v>
      </c>
      <c r="C183" s="361">
        <f>C162+C176</f>
        <v>18501409.836655762</v>
      </c>
      <c r="D183" s="361">
        <f>LN_IE10+LN_IE22</f>
        <v>12643306.646181852</v>
      </c>
      <c r="E183" s="353">
        <f>D183-C183</f>
        <v>-5858103.1904739104</v>
      </c>
      <c r="F183" s="362">
        <f>IF(C183=0,0,E183/C183)</f>
        <v>-0.31663009695983235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662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663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603</v>
      </c>
      <c r="C188" s="361">
        <f>C118+C153</f>
        <v>200986600</v>
      </c>
      <c r="D188" s="361">
        <f>LN_ID1+LN_IE1</f>
        <v>224815172</v>
      </c>
      <c r="E188" s="361">
        <f t="shared" ref="E188:E200" si="20">D188-C188</f>
        <v>23828572</v>
      </c>
      <c r="F188" s="362">
        <f t="shared" ref="F188:F200" si="21">IF(C188=0,0,E188/C188)</f>
        <v>0.11855801332029101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604</v>
      </c>
      <c r="C189" s="361">
        <f>C119+C154</f>
        <v>58357937</v>
      </c>
      <c r="D189" s="361">
        <f>LN_1D2+LN_IE2</f>
        <v>73768006</v>
      </c>
      <c r="E189" s="361">
        <f t="shared" si="20"/>
        <v>15410069</v>
      </c>
      <c r="F189" s="362">
        <f t="shared" si="21"/>
        <v>0.26406123643472867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605</v>
      </c>
      <c r="C190" s="366">
        <f>IF(C188=0,0,C189/C188)</f>
        <v>0.29035735218168773</v>
      </c>
      <c r="D190" s="366">
        <f>IF(LN_IF1=0,0,LN_IF2/LN_IF1)</f>
        <v>0.3281273472059083</v>
      </c>
      <c r="E190" s="367">
        <f t="shared" si="20"/>
        <v>3.7769995024220571E-2</v>
      </c>
      <c r="F190" s="362">
        <f t="shared" si="21"/>
        <v>0.13008106989688498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8830</v>
      </c>
      <c r="D191" s="369">
        <f>LN_ID4+LN_IE4</f>
        <v>9230</v>
      </c>
      <c r="E191" s="369">
        <f t="shared" si="20"/>
        <v>400</v>
      </c>
      <c r="F191" s="362">
        <f t="shared" si="21"/>
        <v>4.5300113250283124E-2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606</v>
      </c>
      <c r="C192" s="372">
        <f>IF((C121+C156)=0,0,(C123+C158)/(C121+C156))</f>
        <v>1.1078941789354473</v>
      </c>
      <c r="D192" s="372">
        <f>IF((LN_ID4+LN_IE4)=0,0,(LN_ID6+LN_IE6)/(LN_ID4+LN_IE4))</f>
        <v>1.1259005525460455</v>
      </c>
      <c r="E192" s="373">
        <f t="shared" si="20"/>
        <v>1.8006373610598203E-2</v>
      </c>
      <c r="F192" s="362">
        <f t="shared" si="21"/>
        <v>1.6252791966016245E-2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607</v>
      </c>
      <c r="C193" s="376">
        <f>C123+C158</f>
        <v>9782.7055999999993</v>
      </c>
      <c r="D193" s="376">
        <f>LN_IF4*LN_IF5</f>
        <v>10392.062099999999</v>
      </c>
      <c r="E193" s="376">
        <f t="shared" si="20"/>
        <v>609.35649999999987</v>
      </c>
      <c r="F193" s="362">
        <f t="shared" si="21"/>
        <v>6.2289158532993154E-2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608</v>
      </c>
      <c r="C194" s="378">
        <f>IF(C193=0,0,C189/C193)</f>
        <v>5965.4189123303477</v>
      </c>
      <c r="D194" s="378">
        <f>IF(LN_IF6=0,0,LN_IF2/LN_IF6)</f>
        <v>7098.4954949412786</v>
      </c>
      <c r="E194" s="378">
        <f t="shared" si="20"/>
        <v>1133.0765826109309</v>
      </c>
      <c r="F194" s="362">
        <f t="shared" si="21"/>
        <v>0.18994082381522184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664</v>
      </c>
      <c r="C195" s="378">
        <f>C48-C194</f>
        <v>3415.9439392093664</v>
      </c>
      <c r="D195" s="378">
        <f>LN_IB7-LN_IF7</f>
        <v>2821.2015057139215</v>
      </c>
      <c r="E195" s="378">
        <f t="shared" si="20"/>
        <v>-594.74243349544486</v>
      </c>
      <c r="F195" s="362">
        <f t="shared" si="21"/>
        <v>-0.17410778516262779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665</v>
      </c>
      <c r="C196" s="378">
        <f>C21-C194</f>
        <v>2908.5858658604175</v>
      </c>
      <c r="D196" s="378">
        <f>LN_IA7-LN_IF7</f>
        <v>1978.4340584485344</v>
      </c>
      <c r="E196" s="378">
        <f t="shared" si="20"/>
        <v>-930.15180741188306</v>
      </c>
      <c r="F196" s="362">
        <f t="shared" si="21"/>
        <v>-0.31979520299866604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625</v>
      </c>
      <c r="C197" s="391">
        <f>C127+C162</f>
        <v>28453839.238033548</v>
      </c>
      <c r="D197" s="391">
        <f>LN_IF9*LN_IF6</f>
        <v>20560009.596152198</v>
      </c>
      <c r="E197" s="391">
        <f t="shared" si="20"/>
        <v>-7893829.6418813504</v>
      </c>
      <c r="F197" s="362">
        <f t="shared" si="21"/>
        <v>-0.27742581856334741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47096</v>
      </c>
      <c r="D198" s="369">
        <f>LN_ID11+LN_IE11</f>
        <v>49499</v>
      </c>
      <c r="E198" s="369">
        <f t="shared" si="20"/>
        <v>2403</v>
      </c>
      <c r="F198" s="362">
        <f t="shared" si="21"/>
        <v>5.102344148122983E-2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609</v>
      </c>
      <c r="C199" s="432">
        <f>IF(C198=0,0,C189/C198)</f>
        <v>1239.1272507219296</v>
      </c>
      <c r="D199" s="432">
        <f>IF(LN_IF11=0,0,LN_IF2/LN_IF11)</f>
        <v>1490.292854401099</v>
      </c>
      <c r="E199" s="432">
        <f t="shared" si="20"/>
        <v>251.16560367916941</v>
      </c>
      <c r="F199" s="362">
        <f t="shared" si="21"/>
        <v>0.20269556942827097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610</v>
      </c>
      <c r="C200" s="379">
        <f>IF(C191=0,0,C198/C191)</f>
        <v>5.3336353340883349</v>
      </c>
      <c r="D200" s="379">
        <f>IF(LN_IF4=0,0,LN_IF11/LN_IF4)</f>
        <v>5.3628385698808234</v>
      </c>
      <c r="E200" s="379">
        <f t="shared" si="20"/>
        <v>2.9203235792488513E-2</v>
      </c>
      <c r="F200" s="362">
        <f t="shared" si="21"/>
        <v>5.4752966716424666E-3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666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612</v>
      </c>
      <c r="C203" s="361">
        <f>C133+C168</f>
        <v>92661910</v>
      </c>
      <c r="D203" s="361">
        <f>LN_ID14+LN_IE14</f>
        <v>108241096</v>
      </c>
      <c r="E203" s="361">
        <f t="shared" ref="E203:E211" si="22">D203-C203</f>
        <v>15579186</v>
      </c>
      <c r="F203" s="362">
        <f t="shared" ref="F203:F211" si="23">IF(C203=0,0,E203/C203)</f>
        <v>0.16812934246660791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613</v>
      </c>
      <c r="C204" s="361">
        <f>C134+C169</f>
        <v>25302791</v>
      </c>
      <c r="D204" s="361">
        <f>LN_ID15+LN_IE15</f>
        <v>26070547</v>
      </c>
      <c r="E204" s="361">
        <f t="shared" si="22"/>
        <v>767756</v>
      </c>
      <c r="F204" s="362">
        <f t="shared" si="23"/>
        <v>3.0342739660616885E-2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614</v>
      </c>
      <c r="C205" s="366">
        <f>IF(C203=0,0,C204/C203)</f>
        <v>0.27306571815754715</v>
      </c>
      <c r="D205" s="366">
        <f>IF(LN_IF14=0,0,LN_IF15/LN_IF14)</f>
        <v>0.2408562732956806</v>
      </c>
      <c r="E205" s="367">
        <f t="shared" si="22"/>
        <v>-3.2209444861866554E-2</v>
      </c>
      <c r="F205" s="362">
        <f t="shared" si="23"/>
        <v>-0.1179549197138071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615</v>
      </c>
      <c r="C206" s="366">
        <f>IF(C188=0,0,C203/C188)</f>
        <v>0.46103526304738723</v>
      </c>
      <c r="D206" s="366">
        <f>IF(LN_IF1=0,0,LN_IF14/LN_IF1)</f>
        <v>0.48146704262468548</v>
      </c>
      <c r="E206" s="367">
        <f t="shared" si="22"/>
        <v>2.0431779577298248E-2</v>
      </c>
      <c r="F206" s="362">
        <f t="shared" si="23"/>
        <v>4.431717314256324E-2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616</v>
      </c>
      <c r="C207" s="376">
        <f>C137+C172</f>
        <v>4082.4484474323717</v>
      </c>
      <c r="D207" s="376">
        <f>LN_ID18+LN_IE18</f>
        <v>4435.3949201119576</v>
      </c>
      <c r="E207" s="376">
        <f t="shared" si="22"/>
        <v>352.9464726795859</v>
      </c>
      <c r="F207" s="362">
        <f t="shared" si="23"/>
        <v>8.6454606157138167E-2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617</v>
      </c>
      <c r="C208" s="378">
        <f>IF(C207=0,0,C204/C207)</f>
        <v>6197.9450140794843</v>
      </c>
      <c r="D208" s="378">
        <f>IF(LN_IF18=0,0,LN_IF15/LN_IF18)</f>
        <v>5877.8412000665612</v>
      </c>
      <c r="E208" s="378">
        <f t="shared" si="22"/>
        <v>-320.10381401292307</v>
      </c>
      <c r="F208" s="362">
        <f t="shared" si="23"/>
        <v>-5.1646765707950494E-2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667</v>
      </c>
      <c r="C209" s="378">
        <f>C61-C208</f>
        <v>5968.5627339918456</v>
      </c>
      <c r="D209" s="378">
        <f>LN_IB18-LN_IF19</f>
        <v>7046.7977953728187</v>
      </c>
      <c r="E209" s="378">
        <f t="shared" si="22"/>
        <v>1078.2350613809731</v>
      </c>
      <c r="F209" s="362">
        <f t="shared" si="23"/>
        <v>0.18065237971618617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668</v>
      </c>
      <c r="C210" s="378">
        <f>C32-C208</f>
        <v>6150.2276235749277</v>
      </c>
      <c r="D210" s="378">
        <f>LN_IA16-LN_IF19</f>
        <v>7655.0162800977123</v>
      </c>
      <c r="E210" s="378">
        <f t="shared" si="22"/>
        <v>1504.7886565227845</v>
      </c>
      <c r="F210" s="362">
        <f t="shared" si="23"/>
        <v>0.24467202656933529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628</v>
      </c>
      <c r="C211" s="391">
        <f>C141+C176</f>
        <v>25107987.213219151</v>
      </c>
      <c r="D211" s="353">
        <f>LN_IF21*LN_IF18</f>
        <v>33953020.322119728</v>
      </c>
      <c r="E211" s="353">
        <f t="shared" si="22"/>
        <v>8845033.1089005768</v>
      </c>
      <c r="F211" s="362">
        <f t="shared" si="23"/>
        <v>0.35227965642119408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669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619</v>
      </c>
      <c r="C214" s="361">
        <f>C188+C203</f>
        <v>293648510</v>
      </c>
      <c r="D214" s="361">
        <f>LN_IF1+LN_IF14</f>
        <v>333056268</v>
      </c>
      <c r="E214" s="361">
        <f>D214-C214</f>
        <v>39407758</v>
      </c>
      <c r="F214" s="362">
        <f>IF(C214=0,0,E214/C214)</f>
        <v>0.1342004357522536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620</v>
      </c>
      <c r="C215" s="361">
        <f>C189+C204</f>
        <v>83660728</v>
      </c>
      <c r="D215" s="361">
        <f>LN_IF2+LN_IF15</f>
        <v>99838553</v>
      </c>
      <c r="E215" s="361">
        <f>D215-C215</f>
        <v>16177825</v>
      </c>
      <c r="F215" s="362">
        <f>IF(C215=0,0,E215/C215)</f>
        <v>0.19337418388231095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621</v>
      </c>
      <c r="C216" s="361">
        <f>C214-C215</f>
        <v>209987782</v>
      </c>
      <c r="D216" s="361">
        <f>LN_IF23-LN_IF24</f>
        <v>233217715</v>
      </c>
      <c r="E216" s="361">
        <f>D216-C216</f>
        <v>23229933</v>
      </c>
      <c r="F216" s="362">
        <f>IF(C216=0,0,E216/C216)</f>
        <v>0.11062516484887677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670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671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603</v>
      </c>
      <c r="C221" s="361">
        <v>6679660</v>
      </c>
      <c r="D221" s="361">
        <v>4791123</v>
      </c>
      <c r="E221" s="361">
        <f t="shared" ref="E221:E230" si="24">D221-C221</f>
        <v>-1888537</v>
      </c>
      <c r="F221" s="362">
        <f t="shared" ref="F221:F230" si="25">IF(C221=0,0,E221/C221)</f>
        <v>-0.28272951018465009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604</v>
      </c>
      <c r="C222" s="361">
        <v>1922241</v>
      </c>
      <c r="D222" s="361">
        <v>897963</v>
      </c>
      <c r="E222" s="361">
        <f t="shared" si="24"/>
        <v>-1024278</v>
      </c>
      <c r="F222" s="362">
        <f t="shared" si="25"/>
        <v>-0.53285618192515927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605</v>
      </c>
      <c r="C223" s="366">
        <f>IF(C221=0,0,C222/C221)</f>
        <v>0.28777527598710112</v>
      </c>
      <c r="D223" s="366">
        <f>IF(LN_IG1=0,0,LN_IG2/LN_IG1)</f>
        <v>0.18742223900325664</v>
      </c>
      <c r="E223" s="367">
        <f t="shared" si="24"/>
        <v>-0.10035303698384448</v>
      </c>
      <c r="F223" s="362">
        <f t="shared" si="25"/>
        <v>-0.34872014852430405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186</v>
      </c>
      <c r="D224" s="369">
        <v>166</v>
      </c>
      <c r="E224" s="369">
        <f t="shared" si="24"/>
        <v>-20</v>
      </c>
      <c r="F224" s="362">
        <f t="shared" si="25"/>
        <v>-0.10752688172043011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606</v>
      </c>
      <c r="C225" s="372">
        <v>1.24</v>
      </c>
      <c r="D225" s="372">
        <v>1.0678000000000001</v>
      </c>
      <c r="E225" s="373">
        <f t="shared" si="24"/>
        <v>-0.17219999999999991</v>
      </c>
      <c r="F225" s="362">
        <f t="shared" si="25"/>
        <v>-0.13887096774193541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607</v>
      </c>
      <c r="C226" s="376">
        <f>C224*C225</f>
        <v>230.64</v>
      </c>
      <c r="D226" s="376">
        <f>LN_IG3*LN_IG4</f>
        <v>177.25480000000002</v>
      </c>
      <c r="E226" s="376">
        <f t="shared" si="24"/>
        <v>-53.385199999999969</v>
      </c>
      <c r="F226" s="362">
        <f t="shared" si="25"/>
        <v>-0.2314654873395767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608</v>
      </c>
      <c r="C227" s="378">
        <f>IF(C226=0,0,C222/C226)</f>
        <v>8334.378251821021</v>
      </c>
      <c r="D227" s="378">
        <f>IF(LN_IG5=0,0,LN_IG2/LN_IG5)</f>
        <v>5065.9446175787616</v>
      </c>
      <c r="E227" s="378">
        <f t="shared" si="24"/>
        <v>-3268.4336342422594</v>
      </c>
      <c r="F227" s="362">
        <f t="shared" si="25"/>
        <v>-0.392162862722018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1211</v>
      </c>
      <c r="D228" s="369">
        <v>951</v>
      </c>
      <c r="E228" s="369">
        <f t="shared" si="24"/>
        <v>-260</v>
      </c>
      <c r="F228" s="362">
        <f t="shared" si="25"/>
        <v>-0.21469859620148637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609</v>
      </c>
      <c r="C229" s="378">
        <f>IF(C228=0,0,C222/C228)</f>
        <v>1587.3170933113129</v>
      </c>
      <c r="D229" s="378">
        <f>IF(LN_IG6=0,0,LN_IG2/LN_IG6)</f>
        <v>944.2302839116719</v>
      </c>
      <c r="E229" s="378">
        <f t="shared" si="24"/>
        <v>-643.08680939964097</v>
      </c>
      <c r="F229" s="362">
        <f t="shared" si="25"/>
        <v>-0.40514073218860969</v>
      </c>
      <c r="Q229" s="330"/>
      <c r="U229" s="375"/>
    </row>
    <row r="230" spans="1:21" ht="11.25" customHeight="1" x14ac:dyDescent="0.2">
      <c r="A230" s="364">
        <v>10</v>
      </c>
      <c r="B230" s="360" t="s">
        <v>610</v>
      </c>
      <c r="C230" s="379">
        <f>IF(C224=0,0,C228/C224)</f>
        <v>6.510752688172043</v>
      </c>
      <c r="D230" s="379">
        <f>IF(LN_IG3=0,0,LN_IG6/LN_IG3)</f>
        <v>5.7289156626506026</v>
      </c>
      <c r="E230" s="379">
        <f t="shared" si="24"/>
        <v>-0.78183702552144041</v>
      </c>
      <c r="F230" s="362">
        <f t="shared" si="25"/>
        <v>-0.12008396923781001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672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612</v>
      </c>
      <c r="C233" s="361">
        <v>1586174</v>
      </c>
      <c r="D233" s="361">
        <v>2317387</v>
      </c>
      <c r="E233" s="361">
        <f>D233-C233</f>
        <v>731213</v>
      </c>
      <c r="F233" s="362">
        <f>IF(C233=0,0,E233/C233)</f>
        <v>0.46099166926201035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613</v>
      </c>
      <c r="C234" s="361">
        <v>517232</v>
      </c>
      <c r="D234" s="361">
        <v>1091920</v>
      </c>
      <c r="E234" s="361">
        <f>D234-C234</f>
        <v>574688</v>
      </c>
      <c r="F234" s="362">
        <f>IF(C234=0,0,E234/C234)</f>
        <v>1.1110836143162062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673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619</v>
      </c>
      <c r="C237" s="361">
        <f>C221+C233</f>
        <v>8265834</v>
      </c>
      <c r="D237" s="361">
        <f>LN_IG1+LN_IG9</f>
        <v>7108510</v>
      </c>
      <c r="E237" s="361">
        <f>D237-C237</f>
        <v>-1157324</v>
      </c>
      <c r="F237" s="362">
        <f>IF(C237=0,0,E237/C237)</f>
        <v>-0.14001297388745043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620</v>
      </c>
      <c r="C238" s="361">
        <f>C222+C234</f>
        <v>2439473</v>
      </c>
      <c r="D238" s="361">
        <f>LN_IG2+LN_IG10</f>
        <v>1989883</v>
      </c>
      <c r="E238" s="361">
        <f>D238-C238</f>
        <v>-449590</v>
      </c>
      <c r="F238" s="362">
        <f>IF(C238=0,0,E238/C238)</f>
        <v>-0.18429800206847954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621</v>
      </c>
      <c r="C239" s="361">
        <f>C237-C238</f>
        <v>5826361</v>
      </c>
      <c r="D239" s="361">
        <f>LN_IG13-LN_IG14</f>
        <v>5118627</v>
      </c>
      <c r="E239" s="361">
        <f>D239-C239</f>
        <v>-707734</v>
      </c>
      <c r="F239" s="362">
        <f>IF(C239=0,0,E239/C239)</f>
        <v>-0.12147101767295229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674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675</v>
      </c>
      <c r="C243" s="361">
        <v>122550875</v>
      </c>
      <c r="D243" s="361">
        <v>129170425</v>
      </c>
      <c r="E243" s="353">
        <f>D243-C243</f>
        <v>6619550</v>
      </c>
      <c r="F243" s="415">
        <f>IF(C243=0,0,E243/C243)</f>
        <v>5.4014710217287314E-2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676</v>
      </c>
      <c r="C244" s="361">
        <v>824454105</v>
      </c>
      <c r="D244" s="361">
        <v>920001155</v>
      </c>
      <c r="E244" s="353">
        <f>D244-C244</f>
        <v>95547050</v>
      </c>
      <c r="F244" s="415">
        <f>IF(C244=0,0,E244/C244)</f>
        <v>0.11589129027382307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677</v>
      </c>
      <c r="C245" s="400">
        <v>4364687</v>
      </c>
      <c r="D245" s="400">
        <v>3946217</v>
      </c>
      <c r="E245" s="400">
        <f>D245-C245</f>
        <v>-418470</v>
      </c>
      <c r="F245" s="401">
        <f>IF(C245=0,0,E245/C245)</f>
        <v>-9.5876290785570653E-2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678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679</v>
      </c>
      <c r="C248" s="353">
        <v>23984656</v>
      </c>
      <c r="D248" s="353">
        <v>27507152</v>
      </c>
      <c r="E248" s="353">
        <f>D248-C248</f>
        <v>3522496</v>
      </c>
      <c r="F248" s="362">
        <f>IF(C248=0,0,E248/C248)</f>
        <v>0.14686456207668769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680</v>
      </c>
      <c r="C249" s="353">
        <v>23850531</v>
      </c>
      <c r="D249" s="353">
        <v>37824767</v>
      </c>
      <c r="E249" s="353">
        <f>D249-C249</f>
        <v>13974236</v>
      </c>
      <c r="F249" s="362">
        <f>IF(C249=0,0,E249/C249)</f>
        <v>0.58590880010176716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681</v>
      </c>
      <c r="C250" s="353">
        <f>C248+C249</f>
        <v>47835187</v>
      </c>
      <c r="D250" s="353">
        <f>LN_IH4+LN_IH5</f>
        <v>65331919</v>
      </c>
      <c r="E250" s="353">
        <f>D250-C250</f>
        <v>17496732</v>
      </c>
      <c r="F250" s="362">
        <f>IF(C250=0,0,E250/C250)</f>
        <v>0.36577116339066468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682</v>
      </c>
      <c r="C251" s="353">
        <f>C250*C313</f>
        <v>19043979.17306041</v>
      </c>
      <c r="D251" s="353">
        <f>LN_IH6*LN_III10</f>
        <v>26329428.021292251</v>
      </c>
      <c r="E251" s="353">
        <f>D251-C251</f>
        <v>7285448.8482318409</v>
      </c>
      <c r="F251" s="362">
        <f>IF(C251=0,0,E251/C251)</f>
        <v>0.38255916906997189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683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619</v>
      </c>
      <c r="C254" s="353">
        <f>C188+C203</f>
        <v>293648510</v>
      </c>
      <c r="D254" s="353">
        <f>LN_IF23</f>
        <v>333056268</v>
      </c>
      <c r="E254" s="353">
        <f>D254-C254</f>
        <v>39407758</v>
      </c>
      <c r="F254" s="362">
        <f>IF(C254=0,0,E254/C254)</f>
        <v>0.1342004357522536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620</v>
      </c>
      <c r="C255" s="353">
        <f>C189+C204</f>
        <v>83660728</v>
      </c>
      <c r="D255" s="353">
        <f>LN_IF24</f>
        <v>99838553</v>
      </c>
      <c r="E255" s="353">
        <f>D255-C255</f>
        <v>16177825</v>
      </c>
      <c r="F255" s="362">
        <f>IF(C255=0,0,E255/C255)</f>
        <v>0.19337418388231095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684</v>
      </c>
      <c r="C256" s="353">
        <f>C254*C313</f>
        <v>116906328.98832865</v>
      </c>
      <c r="D256" s="353">
        <f>LN_IH8*LN_III10</f>
        <v>134225064.40299454</v>
      </c>
      <c r="E256" s="353">
        <f>D256-C256</f>
        <v>17318735.414665893</v>
      </c>
      <c r="F256" s="362">
        <f>IF(C256=0,0,E256/C256)</f>
        <v>0.14814198311192295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685</v>
      </c>
      <c r="C257" s="353">
        <f>C256-C255</f>
        <v>33245600.988328651</v>
      </c>
      <c r="D257" s="353">
        <f>LN_IH10-LN_IH9</f>
        <v>34386511.402994543</v>
      </c>
      <c r="E257" s="353">
        <f>D257-C257</f>
        <v>1140910.4146658927</v>
      </c>
      <c r="F257" s="362">
        <f>IF(C257=0,0,E257/C257)</f>
        <v>3.4317635438939002E-2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686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687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688</v>
      </c>
      <c r="C261" s="361">
        <f>C15+C42+C188+C221</f>
        <v>1220439016</v>
      </c>
      <c r="D261" s="361">
        <f>LN_IA1+LN_IB1+LN_IF1+LN_IG1</f>
        <v>1323691385</v>
      </c>
      <c r="E261" s="361">
        <f t="shared" ref="E261:E274" si="26">D261-C261</f>
        <v>103252369</v>
      </c>
      <c r="F261" s="415">
        <f t="shared" ref="F261:F274" si="27">IF(C261=0,0,E261/C261)</f>
        <v>8.4602645151750866E-2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689</v>
      </c>
      <c r="C262" s="361">
        <f>C16+C43+C189+C222</f>
        <v>497796276</v>
      </c>
      <c r="D262" s="361">
        <f>+LN_IA2+LN_IB2+LN_IF2+LN_IG2</f>
        <v>554077870</v>
      </c>
      <c r="E262" s="361">
        <f t="shared" si="26"/>
        <v>56281594</v>
      </c>
      <c r="F262" s="415">
        <f t="shared" si="27"/>
        <v>0.11306150068507141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690</v>
      </c>
      <c r="C263" s="366">
        <f>IF(C261=0,0,C262/C261)</f>
        <v>0.40788295807809538</v>
      </c>
      <c r="D263" s="366">
        <f>IF(LN_IIA1=0,0,LN_IIA2/LN_IIA1)</f>
        <v>0.4185853865023077</v>
      </c>
      <c r="E263" s="367">
        <f t="shared" si="26"/>
        <v>1.0702428424212318E-2</v>
      </c>
      <c r="F263" s="371">
        <f t="shared" si="27"/>
        <v>2.6238969322575068E-2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691</v>
      </c>
      <c r="C264" s="369">
        <f>C18+C45+C191+C224</f>
        <v>41188</v>
      </c>
      <c r="D264" s="369">
        <f>LN_IA4+LN_IB4+LN_IF4+LN_IG3</f>
        <v>41265</v>
      </c>
      <c r="E264" s="369">
        <f t="shared" si="26"/>
        <v>77</v>
      </c>
      <c r="F264" s="415">
        <f t="shared" si="27"/>
        <v>1.8694765465669613E-3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692</v>
      </c>
      <c r="C265" s="439">
        <f>IF(C264=0,0,C266/C264)</f>
        <v>1.409240557929494</v>
      </c>
      <c r="D265" s="439">
        <f>IF(LN_IIA4=0,0,LN_IIA6/LN_IIA4)</f>
        <v>1.4865138882830486</v>
      </c>
      <c r="E265" s="439">
        <f t="shared" si="26"/>
        <v>7.7273330353554659E-2</v>
      </c>
      <c r="F265" s="415">
        <f t="shared" si="27"/>
        <v>5.4833314240605849E-2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693</v>
      </c>
      <c r="C266" s="376">
        <f>C20+C47+C193+C226</f>
        <v>58043.8001</v>
      </c>
      <c r="D266" s="376">
        <f>LN_IA6+LN_IB6+LN_IF6+LN_IG5</f>
        <v>61340.995600000002</v>
      </c>
      <c r="E266" s="376">
        <f t="shared" si="26"/>
        <v>3297.1955000000016</v>
      </c>
      <c r="F266" s="415">
        <f t="shared" si="27"/>
        <v>5.680530038211612E-2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694</v>
      </c>
      <c r="C267" s="361">
        <f>C27+C56+C203+C233</f>
        <v>493992632</v>
      </c>
      <c r="D267" s="361">
        <f>LN_IA11+LN_IB13+LN_IF14+LN_IG9</f>
        <v>578027738</v>
      </c>
      <c r="E267" s="361">
        <f t="shared" si="26"/>
        <v>84035106</v>
      </c>
      <c r="F267" s="415">
        <f t="shared" si="27"/>
        <v>0.1701140878554642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615</v>
      </c>
      <c r="C268" s="366">
        <f>IF(C261=0,0,C267/C261)</f>
        <v>0.40476633860745076</v>
      </c>
      <c r="D268" s="366">
        <f>IF(LN_IIA1=0,0,LN_IIA7/LN_IIA1)</f>
        <v>0.43667862807764668</v>
      </c>
      <c r="E268" s="367">
        <f t="shared" si="26"/>
        <v>3.191228947019592E-2</v>
      </c>
      <c r="F268" s="371">
        <f t="shared" si="27"/>
        <v>7.8841263282876398E-2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695</v>
      </c>
      <c r="C269" s="361">
        <f>C28+C57+C204+C234</f>
        <v>190722801</v>
      </c>
      <c r="D269" s="361">
        <f>LN_IA12+LN_IB14+LN_IF15+LN_IG10</f>
        <v>220814660</v>
      </c>
      <c r="E269" s="361">
        <f t="shared" si="26"/>
        <v>30091859</v>
      </c>
      <c r="F269" s="415">
        <f t="shared" si="27"/>
        <v>0.15777798376608362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614</v>
      </c>
      <c r="C270" s="366">
        <f>IF(C267=0,0,C269/C267)</f>
        <v>0.38608430297397633</v>
      </c>
      <c r="D270" s="366">
        <f>IF(LN_IIA7=0,0,LN_IIA9/LN_IIA7)</f>
        <v>0.38201395103291741</v>
      </c>
      <c r="E270" s="367">
        <f t="shared" si="26"/>
        <v>-4.0703519410589251E-3</v>
      </c>
      <c r="F270" s="371">
        <f t="shared" si="27"/>
        <v>-1.0542650684592281E-2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696</v>
      </c>
      <c r="C271" s="353">
        <f>C261+C267</f>
        <v>1714431648</v>
      </c>
      <c r="D271" s="353">
        <f>LN_IIA1+LN_IIA7</f>
        <v>1901719123</v>
      </c>
      <c r="E271" s="353">
        <f t="shared" si="26"/>
        <v>187287475</v>
      </c>
      <c r="F271" s="415">
        <f t="shared" si="27"/>
        <v>0.10924172755355016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697</v>
      </c>
      <c r="C272" s="353">
        <f>C262+C269</f>
        <v>688519077</v>
      </c>
      <c r="D272" s="353">
        <f>LN_IIA2+LN_IIA9</f>
        <v>774892530</v>
      </c>
      <c r="E272" s="353">
        <f t="shared" si="26"/>
        <v>86373453</v>
      </c>
      <c r="F272" s="415">
        <f t="shared" si="27"/>
        <v>0.12544816241888967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698</v>
      </c>
      <c r="C273" s="366">
        <f>IF(C271=0,0,C272/C271)</f>
        <v>0.40160194067999377</v>
      </c>
      <c r="D273" s="366">
        <f>IF(LN_IIA11=0,0,LN_IIA12/LN_IIA11)</f>
        <v>0.40746949464208548</v>
      </c>
      <c r="E273" s="367">
        <f t="shared" si="26"/>
        <v>5.8675539620917094E-3</v>
      </c>
      <c r="F273" s="371">
        <f t="shared" si="27"/>
        <v>1.4610372529965237E-2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215958</v>
      </c>
      <c r="D274" s="421">
        <f>LN_IA8+LN_IB10+LN_IF11+LN_IG6</f>
        <v>220114</v>
      </c>
      <c r="E274" s="442">
        <f t="shared" si="26"/>
        <v>4156</v>
      </c>
      <c r="F274" s="371">
        <f t="shared" si="27"/>
        <v>1.924448272349253E-2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699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700</v>
      </c>
      <c r="C277" s="361">
        <f>C15+C188+C221</f>
        <v>791246593</v>
      </c>
      <c r="D277" s="361">
        <f>LN_IA1+LN_IF1+LN_IG1</f>
        <v>884631093</v>
      </c>
      <c r="E277" s="361">
        <f t="shared" ref="E277:E291" si="28">D277-C277</f>
        <v>93384500</v>
      </c>
      <c r="F277" s="415">
        <f t="shared" ref="F277:F291" si="29">IF(C277=0,0,E277/C277)</f>
        <v>0.11802199317653175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701</v>
      </c>
      <c r="C278" s="361">
        <f>C16+C189+C222</f>
        <v>288970383</v>
      </c>
      <c r="D278" s="361">
        <f>LN_IA2+LN_IF2+LN_IG2</f>
        <v>335608348</v>
      </c>
      <c r="E278" s="361">
        <f t="shared" si="28"/>
        <v>46637965</v>
      </c>
      <c r="F278" s="415">
        <f t="shared" si="29"/>
        <v>0.16139358129306974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702</v>
      </c>
      <c r="C279" s="366">
        <f>IF(C277=0,0,C278/C277)</f>
        <v>0.36520900760453573</v>
      </c>
      <c r="D279" s="366">
        <f>IF(D277=0,0,LN_IIB2/D277)</f>
        <v>0.37937661320706029</v>
      </c>
      <c r="E279" s="367">
        <f t="shared" si="28"/>
        <v>1.4167605602524558E-2</v>
      </c>
      <c r="F279" s="371">
        <f t="shared" si="29"/>
        <v>3.8793143946399759E-2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703</v>
      </c>
      <c r="C280" s="369">
        <f>C18+C191+C224</f>
        <v>24549</v>
      </c>
      <c r="D280" s="369">
        <f>LN_IA4+LN_IF4+LN_IG3</f>
        <v>25215</v>
      </c>
      <c r="E280" s="369">
        <f t="shared" si="28"/>
        <v>666</v>
      </c>
      <c r="F280" s="415">
        <f t="shared" si="29"/>
        <v>2.7129414640107541E-2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704</v>
      </c>
      <c r="C281" s="439">
        <f>IF(C280=0,0,C282/C280)</f>
        <v>1.4576620595543606</v>
      </c>
      <c r="D281" s="439">
        <f>IF(LN_IIB4=0,0,LN_IIB6/LN_IIB4)</f>
        <v>1.5592776363275829</v>
      </c>
      <c r="E281" s="439">
        <f t="shared" si="28"/>
        <v>0.1016155767732223</v>
      </c>
      <c r="F281" s="415">
        <f t="shared" si="29"/>
        <v>6.9711340915526346E-2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705</v>
      </c>
      <c r="C282" s="376">
        <f>C20+C193+C226</f>
        <v>35784.145899999996</v>
      </c>
      <c r="D282" s="376">
        <f>LN_IA6+LN_IF6+LN_IG5</f>
        <v>39317.185600000004</v>
      </c>
      <c r="E282" s="376">
        <f t="shared" si="28"/>
        <v>3533.0397000000085</v>
      </c>
      <c r="F282" s="415">
        <f t="shared" si="29"/>
        <v>9.8731983428449216E-2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706</v>
      </c>
      <c r="C283" s="361">
        <f>C27+C203+C233</f>
        <v>259598612</v>
      </c>
      <c r="D283" s="361">
        <f>LN_IA11+LN_IF14+LN_IG9</f>
        <v>297388568</v>
      </c>
      <c r="E283" s="361">
        <f t="shared" si="28"/>
        <v>37789956</v>
      </c>
      <c r="F283" s="415">
        <f t="shared" si="29"/>
        <v>0.14557071668780724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707</v>
      </c>
      <c r="C284" s="366">
        <f>IF(C277=0,0,C283/C277)</f>
        <v>0.3280881261247971</v>
      </c>
      <c r="D284" s="366">
        <f>IF(D277=0,0,LN_IIB7/D277)</f>
        <v>0.33617241170156337</v>
      </c>
      <c r="E284" s="367">
        <f t="shared" si="28"/>
        <v>8.0842855767662702E-3</v>
      </c>
      <c r="F284" s="371">
        <f t="shared" si="29"/>
        <v>2.464059175884712E-2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708</v>
      </c>
      <c r="C285" s="361">
        <f>C28+C204+C234</f>
        <v>80165446</v>
      </c>
      <c r="D285" s="361">
        <f>LN_IA12+LN_IF15+LN_IG10</f>
        <v>88222580</v>
      </c>
      <c r="E285" s="361">
        <f t="shared" si="28"/>
        <v>8057134</v>
      </c>
      <c r="F285" s="415">
        <f t="shared" si="29"/>
        <v>0.10050632039145643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709</v>
      </c>
      <c r="C286" s="366">
        <f>IF(C283=0,0,C285/C283)</f>
        <v>0.30880537219513332</v>
      </c>
      <c r="D286" s="366">
        <f>IF(LN_IIB7=0,0,LN_IIB9/LN_IIB7)</f>
        <v>0.29665760386592938</v>
      </c>
      <c r="E286" s="367">
        <f t="shared" si="28"/>
        <v>-1.2147768329203945E-2</v>
      </c>
      <c r="F286" s="371">
        <f t="shared" si="29"/>
        <v>-3.9337943646679183E-2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710</v>
      </c>
      <c r="C287" s="353">
        <f>C277+C283</f>
        <v>1050845205</v>
      </c>
      <c r="D287" s="353">
        <f>D277+LN_IIB7</f>
        <v>1182019661</v>
      </c>
      <c r="E287" s="353">
        <f t="shared" si="28"/>
        <v>131174456</v>
      </c>
      <c r="F287" s="415">
        <f t="shared" si="29"/>
        <v>0.12482757248723422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711</v>
      </c>
      <c r="C288" s="353">
        <f>C278+C285</f>
        <v>369135829</v>
      </c>
      <c r="D288" s="353">
        <f>LN_IIB2+LN_IIB9</f>
        <v>423830928</v>
      </c>
      <c r="E288" s="353">
        <f t="shared" si="28"/>
        <v>54695099</v>
      </c>
      <c r="F288" s="415">
        <f t="shared" si="29"/>
        <v>0.1481706588823162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712</v>
      </c>
      <c r="C289" s="366">
        <f>IF(C287=0,0,C288/C287)</f>
        <v>0.35127517092300953</v>
      </c>
      <c r="D289" s="366">
        <f>IF(LN_IIB11=0,0,LN_IIB12/LN_IIB11)</f>
        <v>0.35856504082295465</v>
      </c>
      <c r="E289" s="367">
        <f t="shared" si="28"/>
        <v>7.2898698999451228E-3</v>
      </c>
      <c r="F289" s="371">
        <f t="shared" si="29"/>
        <v>2.0752590855739345E-2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145073</v>
      </c>
      <c r="D290" s="421">
        <f>LN_IA8+LN_IF11+LN_IG6</f>
        <v>151744</v>
      </c>
      <c r="E290" s="442">
        <f t="shared" si="28"/>
        <v>6671</v>
      </c>
      <c r="F290" s="371">
        <f t="shared" si="29"/>
        <v>4.5983746114025351E-2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713</v>
      </c>
      <c r="C291" s="361">
        <f>C287-C288</f>
        <v>681709376</v>
      </c>
      <c r="D291" s="429">
        <f>LN_IIB11-LN_IIB12</f>
        <v>758188733</v>
      </c>
      <c r="E291" s="353">
        <f t="shared" si="28"/>
        <v>76479357</v>
      </c>
      <c r="F291" s="415">
        <f t="shared" si="29"/>
        <v>0.11218762671088743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610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601</v>
      </c>
      <c r="C294" s="379">
        <f>IF(C18=0,0,C22/C18)</f>
        <v>6.2297045000965685</v>
      </c>
      <c r="D294" s="379">
        <f>IF(LN_IA4=0,0,LN_IA8/LN_IA4)</f>
        <v>6.4033124723433845</v>
      </c>
      <c r="E294" s="379">
        <f t="shared" ref="E294:E300" si="30">D294-C294</f>
        <v>0.17360797224681601</v>
      </c>
      <c r="F294" s="415">
        <f t="shared" ref="F294:F300" si="31">IF(C294=0,0,E294/C294)</f>
        <v>2.7867770011262151E-2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622</v>
      </c>
      <c r="C295" s="379">
        <f>IF(C45=0,0,C51/C45)</f>
        <v>4.2601718853296475</v>
      </c>
      <c r="D295" s="379">
        <f>IF(LN_IB4=0,0,(LN_IB10)/(LN_IB4))</f>
        <v>4.2598130841121495</v>
      </c>
      <c r="E295" s="379">
        <f t="shared" si="30"/>
        <v>-3.5880121749798377E-4</v>
      </c>
      <c r="F295" s="415">
        <f t="shared" si="31"/>
        <v>-8.4222239655060331E-5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637</v>
      </c>
      <c r="C296" s="379">
        <f>IF(C86=0,0,C93/C86)</f>
        <v>4.3991354466858787</v>
      </c>
      <c r="D296" s="379">
        <f>IF(LN_IC4=0,0,LN_IC11/LN_IC4)</f>
        <v>4.2594202898550728</v>
      </c>
      <c r="E296" s="379">
        <f t="shared" si="30"/>
        <v>-0.13971515683080593</v>
      </c>
      <c r="F296" s="415">
        <f t="shared" si="31"/>
        <v>-3.1759685175427224E-2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5.2680783635839816</v>
      </c>
      <c r="D297" s="379">
        <f>IF(LN_ID4=0,0,LN_ID11/LN_ID4)</f>
        <v>5.3068282216332197</v>
      </c>
      <c r="E297" s="379">
        <f t="shared" si="30"/>
        <v>3.8749858049238028E-2</v>
      </c>
      <c r="F297" s="415">
        <f t="shared" si="31"/>
        <v>7.3555963626318775E-3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714</v>
      </c>
      <c r="C298" s="379">
        <f>IF(C156=0,0,C163/C156)</f>
        <v>5.5746822033898304</v>
      </c>
      <c r="D298" s="379">
        <f>IF(LN_IE4=0,0,LN_IE11/LN_IE4)</f>
        <v>5.7023718439173683</v>
      </c>
      <c r="E298" s="379">
        <f t="shared" si="30"/>
        <v>0.12768964052753784</v>
      </c>
      <c r="F298" s="415">
        <f t="shared" si="31"/>
        <v>2.2905277084654767E-2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6.510752688172043</v>
      </c>
      <c r="D299" s="379">
        <f>IF(LN_IG3=0,0,LN_IG6/LN_IG3)</f>
        <v>5.7289156626506026</v>
      </c>
      <c r="E299" s="379">
        <f t="shared" si="30"/>
        <v>-0.78183702552144041</v>
      </c>
      <c r="F299" s="415">
        <f t="shared" si="31"/>
        <v>-0.12008396923781001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715</v>
      </c>
      <c r="C300" s="379">
        <f>IF(C264=0,0,C274/C264)</f>
        <v>5.2432261823832187</v>
      </c>
      <c r="D300" s="379">
        <f>IF(LN_IIA4=0,0,LN_IIA14/LN_IIA4)</f>
        <v>5.3341572761420091</v>
      </c>
      <c r="E300" s="379">
        <f t="shared" si="30"/>
        <v>9.0931093758790382E-2</v>
      </c>
      <c r="F300" s="415">
        <f t="shared" si="31"/>
        <v>1.7342584621718379E-2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716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710</v>
      </c>
      <c r="C304" s="353">
        <f>C35+C66+C214+C221+C233</f>
        <v>1714431648</v>
      </c>
      <c r="D304" s="353">
        <f>LN_IIA11</f>
        <v>1901719123</v>
      </c>
      <c r="E304" s="353">
        <f t="shared" ref="E304:E316" si="32">D304-C304</f>
        <v>187287475</v>
      </c>
      <c r="F304" s="362">
        <f>IF(C304=0,0,E304/C304)</f>
        <v>0.10924172755355016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713</v>
      </c>
      <c r="C305" s="353">
        <f>C291</f>
        <v>681709376</v>
      </c>
      <c r="D305" s="353">
        <f>LN_IIB14</f>
        <v>758188733</v>
      </c>
      <c r="E305" s="353">
        <f t="shared" si="32"/>
        <v>76479357</v>
      </c>
      <c r="F305" s="362">
        <f>IF(C305=0,0,E305/C305)</f>
        <v>0.11218762671088743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717</v>
      </c>
      <c r="C306" s="353">
        <f>C250</f>
        <v>47835187</v>
      </c>
      <c r="D306" s="353">
        <f>LN_IH6</f>
        <v>65331919</v>
      </c>
      <c r="E306" s="353">
        <f t="shared" si="32"/>
        <v>17496732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718</v>
      </c>
      <c r="C307" s="353">
        <f>C73-C74</f>
        <v>296368008</v>
      </c>
      <c r="D307" s="353">
        <f>LN_IB32-LN_IB33</f>
        <v>303305941</v>
      </c>
      <c r="E307" s="353">
        <f t="shared" si="32"/>
        <v>6937933</v>
      </c>
      <c r="F307" s="362">
        <f t="shared" ref="F307:F316" si="33">IF(C307=0,0,E307/C307)</f>
        <v>2.3409858057283971E-2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719</v>
      </c>
      <c r="C308" s="353">
        <v>10340167</v>
      </c>
      <c r="D308" s="353">
        <v>12426593</v>
      </c>
      <c r="E308" s="353">
        <f t="shared" si="32"/>
        <v>2086426</v>
      </c>
      <c r="F308" s="362">
        <f t="shared" si="33"/>
        <v>0.20177875270293022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720</v>
      </c>
      <c r="C309" s="353">
        <f>C305+C307+C308+C306</f>
        <v>1036252738</v>
      </c>
      <c r="D309" s="353">
        <f>LN_III2+LN_III3+LN_III4+LN_III5</f>
        <v>1139253186</v>
      </c>
      <c r="E309" s="353">
        <f t="shared" si="32"/>
        <v>103000448</v>
      </c>
      <c r="F309" s="362">
        <f t="shared" si="33"/>
        <v>9.9397033390516365E-2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721</v>
      </c>
      <c r="C310" s="353">
        <f>C304-C309</f>
        <v>678178910</v>
      </c>
      <c r="D310" s="353">
        <f>LN_III1-LN_III6</f>
        <v>762465937</v>
      </c>
      <c r="E310" s="353">
        <f t="shared" si="32"/>
        <v>84287027</v>
      </c>
      <c r="F310" s="362">
        <f t="shared" si="33"/>
        <v>0.12428435292981907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722</v>
      </c>
      <c r="C311" s="353">
        <f>C245</f>
        <v>4364687</v>
      </c>
      <c r="D311" s="353">
        <f>LN_IH3</f>
        <v>3946217</v>
      </c>
      <c r="E311" s="353">
        <f t="shared" si="32"/>
        <v>-418470</v>
      </c>
      <c r="F311" s="362">
        <f t="shared" si="33"/>
        <v>-9.5876290785570653E-2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723</v>
      </c>
      <c r="C312" s="353">
        <f>C310+C311</f>
        <v>682543597</v>
      </c>
      <c r="D312" s="353">
        <f>LN_III7+LN_III8</f>
        <v>766412154</v>
      </c>
      <c r="E312" s="353">
        <f t="shared" si="32"/>
        <v>83868557</v>
      </c>
      <c r="F312" s="362">
        <f t="shared" si="33"/>
        <v>0.12287648344901256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724</v>
      </c>
      <c r="C313" s="448">
        <f>IF(C304=0,0,C312/C304)</f>
        <v>0.39811654071845504</v>
      </c>
      <c r="D313" s="448">
        <f>IF(LN_III1=0,0,LN_III9/LN_III1)</f>
        <v>0.40301017365328351</v>
      </c>
      <c r="E313" s="448">
        <f t="shared" si="32"/>
        <v>4.8936329348284735E-3</v>
      </c>
      <c r="F313" s="362">
        <f t="shared" si="33"/>
        <v>1.2291960856479996E-2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682</v>
      </c>
      <c r="C314" s="353">
        <f>C306*C313</f>
        <v>19043979.17306041</v>
      </c>
      <c r="D314" s="353">
        <f>D313*LN_III5</f>
        <v>26329428.021292251</v>
      </c>
      <c r="E314" s="353">
        <f t="shared" si="32"/>
        <v>7285448.8482318409</v>
      </c>
      <c r="F314" s="362">
        <f t="shared" si="33"/>
        <v>0.38255916906997189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685</v>
      </c>
      <c r="C315" s="353">
        <f>(C214*C313)-C215</f>
        <v>33245600.988328651</v>
      </c>
      <c r="D315" s="353">
        <f>D313*LN_IH8-LN_IH9</f>
        <v>34386511.402994543</v>
      </c>
      <c r="E315" s="353">
        <f t="shared" si="32"/>
        <v>1140910.4146658927</v>
      </c>
      <c r="F315" s="362">
        <f t="shared" si="33"/>
        <v>3.4317635438939002E-2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725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726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727</v>
      </c>
      <c r="C318" s="353">
        <f>C314+C315+C316</f>
        <v>52289580.16138906</v>
      </c>
      <c r="D318" s="353">
        <f>D314+D315+D316</f>
        <v>60715939.424286798</v>
      </c>
      <c r="E318" s="353">
        <f>D318-C318</f>
        <v>8426359.2628977373</v>
      </c>
      <c r="F318" s="362">
        <f>IF(C318=0,0,E318/C318)</f>
        <v>0.1611479617332979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728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19419593.823716789</v>
      </c>
      <c r="D322" s="353">
        <f>LN_ID22</f>
        <v>28775912.150611885</v>
      </c>
      <c r="E322" s="353">
        <f>LN_IV2-C322</f>
        <v>9356318.3268950954</v>
      </c>
      <c r="F322" s="362">
        <f>IF(C322=0,0,E322/C322)</f>
        <v>0.4817978384011512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714</v>
      </c>
      <c r="C323" s="353">
        <f>C162+C176</f>
        <v>18501409.836655762</v>
      </c>
      <c r="D323" s="353">
        <f>LN_IE10+LN_IE22</f>
        <v>12643306.646181852</v>
      </c>
      <c r="E323" s="353">
        <f>LN_IV3-C323</f>
        <v>-5858103.1904739104</v>
      </c>
      <c r="F323" s="362">
        <f>IF(C323=0,0,E323/C323)</f>
        <v>-0.31663009695983235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729</v>
      </c>
      <c r="C324" s="353">
        <f>C92+C106</f>
        <v>17020408.833661359</v>
      </c>
      <c r="D324" s="353">
        <f>LN_IC10+LN_IC22</f>
        <v>18840621.120453641</v>
      </c>
      <c r="E324" s="353">
        <f>LN_IV1-C324</f>
        <v>1820212.286792282</v>
      </c>
      <c r="F324" s="362">
        <f>IF(C324=0,0,E324/C324)</f>
        <v>0.10694292390864536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730</v>
      </c>
      <c r="C325" s="429">
        <f>C324+C322+C323</f>
        <v>54941412.494033918</v>
      </c>
      <c r="D325" s="429">
        <f>LN_IV1+LN_IV2+LN_IV3</f>
        <v>60259839.917247377</v>
      </c>
      <c r="E325" s="353">
        <f>LN_IV4-C325</f>
        <v>5318427.4232134596</v>
      </c>
      <c r="F325" s="362">
        <f>IF(C325=0,0,E325/C325)</f>
        <v>9.6801796346080243E-2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731</v>
      </c>
      <c r="B327" s="446" t="s">
        <v>732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733</v>
      </c>
      <c r="C329" s="431">
        <v>19836452</v>
      </c>
      <c r="D329" s="431">
        <v>22538851</v>
      </c>
      <c r="E329" s="431">
        <f t="shared" ref="E329:E335" si="34">D329-C329</f>
        <v>2702399</v>
      </c>
      <c r="F329" s="462">
        <f t="shared" ref="F329:F335" si="35">IF(C329=0,0,E329/C329)</f>
        <v>0.13623398982842294</v>
      </c>
    </row>
    <row r="330" spans="1:22" s="333" customFormat="1" ht="11.25" customHeight="1" x14ac:dyDescent="0.2">
      <c r="A330" s="364">
        <v>2</v>
      </c>
      <c r="B330" s="360" t="s">
        <v>734</v>
      </c>
      <c r="C330" s="429">
        <v>14296570</v>
      </c>
      <c r="D330" s="429">
        <v>22154628</v>
      </c>
      <c r="E330" s="431">
        <f t="shared" si="34"/>
        <v>7858058</v>
      </c>
      <c r="F330" s="463">
        <f t="shared" si="35"/>
        <v>0.54964638371301644</v>
      </c>
    </row>
    <row r="331" spans="1:22" s="333" customFormat="1" ht="11.25" customHeight="1" x14ac:dyDescent="0.2">
      <c r="A331" s="339">
        <v>3</v>
      </c>
      <c r="B331" s="360" t="s">
        <v>735</v>
      </c>
      <c r="C331" s="429">
        <v>707180334</v>
      </c>
      <c r="D331" s="429">
        <v>800993375</v>
      </c>
      <c r="E331" s="431">
        <f t="shared" si="34"/>
        <v>93813041</v>
      </c>
      <c r="F331" s="462">
        <f t="shared" si="35"/>
        <v>0.13265787591881761</v>
      </c>
    </row>
    <row r="332" spans="1:22" s="333" customFormat="1" ht="11.25" customHeight="1" x14ac:dyDescent="0.2">
      <c r="A332" s="364">
        <v>4</v>
      </c>
      <c r="B332" s="360" t="s">
        <v>736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737</v>
      </c>
      <c r="C333" s="429">
        <v>1714431648</v>
      </c>
      <c r="D333" s="429">
        <v>1901719123</v>
      </c>
      <c r="E333" s="431">
        <f t="shared" si="34"/>
        <v>187287475</v>
      </c>
      <c r="F333" s="462">
        <f t="shared" si="35"/>
        <v>0.10924172755355016</v>
      </c>
    </row>
    <row r="334" spans="1:22" s="333" customFormat="1" ht="11.25" customHeight="1" x14ac:dyDescent="0.2">
      <c r="A334" s="339">
        <v>6</v>
      </c>
      <c r="B334" s="360" t="s">
        <v>738</v>
      </c>
      <c r="C334" s="429">
        <v>6257785</v>
      </c>
      <c r="D334" s="429">
        <v>2296537</v>
      </c>
      <c r="E334" s="429">
        <f t="shared" si="34"/>
        <v>-3961248</v>
      </c>
      <c r="F334" s="463">
        <f t="shared" si="35"/>
        <v>-0.63301120124772581</v>
      </c>
    </row>
    <row r="335" spans="1:22" s="333" customFormat="1" ht="11.25" customHeight="1" x14ac:dyDescent="0.2">
      <c r="A335" s="364">
        <v>7</v>
      </c>
      <c r="B335" s="360" t="s">
        <v>739</v>
      </c>
      <c r="C335" s="429">
        <v>54092972</v>
      </c>
      <c r="D335" s="429">
        <v>67628456</v>
      </c>
      <c r="E335" s="429">
        <f t="shared" si="34"/>
        <v>13535484</v>
      </c>
      <c r="F335" s="462">
        <f t="shared" si="35"/>
        <v>0.25022629557126203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FILING&amp;RHARTFORD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592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740</v>
      </c>
      <c r="B5" s="710"/>
      <c r="C5" s="710"/>
      <c r="D5" s="710"/>
      <c r="E5" s="710"/>
    </row>
    <row r="6" spans="1:5" s="338" customFormat="1" ht="15.75" customHeight="1" x14ac:dyDescent="0.25">
      <c r="A6" s="710" t="s">
        <v>741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742</v>
      </c>
      <c r="D9" s="494" t="s">
        <v>743</v>
      </c>
      <c r="E9" s="495" t="s">
        <v>744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745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746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622</v>
      </c>
      <c r="C14" s="513">
        <v>429192423</v>
      </c>
      <c r="D14" s="513">
        <v>439060292</v>
      </c>
      <c r="E14" s="514">
        <f t="shared" ref="E14:E22" si="0">D14-C14</f>
        <v>9867869</v>
      </c>
    </row>
    <row r="15" spans="1:5" s="506" customFormat="1" x14ac:dyDescent="0.2">
      <c r="A15" s="512">
        <v>2</v>
      </c>
      <c r="B15" s="511" t="s">
        <v>601</v>
      </c>
      <c r="C15" s="513">
        <v>583580333</v>
      </c>
      <c r="D15" s="515">
        <v>655024798</v>
      </c>
      <c r="E15" s="514">
        <f t="shared" si="0"/>
        <v>71444465</v>
      </c>
    </row>
    <row r="16" spans="1:5" s="506" customFormat="1" x14ac:dyDescent="0.2">
      <c r="A16" s="512">
        <v>3</v>
      </c>
      <c r="B16" s="511" t="s">
        <v>747</v>
      </c>
      <c r="C16" s="513">
        <v>200986600</v>
      </c>
      <c r="D16" s="515">
        <v>224815172</v>
      </c>
      <c r="E16" s="514">
        <f t="shared" si="0"/>
        <v>23828572</v>
      </c>
    </row>
    <row r="17" spans="1:5" s="506" customFormat="1" x14ac:dyDescent="0.2">
      <c r="A17" s="512">
        <v>4</v>
      </c>
      <c r="B17" s="511" t="s">
        <v>114</v>
      </c>
      <c r="C17" s="513">
        <v>151645210</v>
      </c>
      <c r="D17" s="515">
        <v>197558048</v>
      </c>
      <c r="E17" s="514">
        <f t="shared" si="0"/>
        <v>45912838</v>
      </c>
    </row>
    <row r="18" spans="1:5" s="506" customFormat="1" x14ac:dyDescent="0.2">
      <c r="A18" s="512">
        <v>5</v>
      </c>
      <c r="B18" s="511" t="s">
        <v>714</v>
      </c>
      <c r="C18" s="513">
        <v>49341390</v>
      </c>
      <c r="D18" s="515">
        <v>27257124</v>
      </c>
      <c r="E18" s="514">
        <f t="shared" si="0"/>
        <v>-22084266</v>
      </c>
    </row>
    <row r="19" spans="1:5" s="506" customFormat="1" x14ac:dyDescent="0.2">
      <c r="A19" s="512">
        <v>6</v>
      </c>
      <c r="B19" s="511" t="s">
        <v>418</v>
      </c>
      <c r="C19" s="513">
        <v>6679660</v>
      </c>
      <c r="D19" s="515">
        <v>4791123</v>
      </c>
      <c r="E19" s="514">
        <f t="shared" si="0"/>
        <v>-1888537</v>
      </c>
    </row>
    <row r="20" spans="1:5" s="506" customFormat="1" x14ac:dyDescent="0.2">
      <c r="A20" s="512">
        <v>7</v>
      </c>
      <c r="B20" s="511" t="s">
        <v>729</v>
      </c>
      <c r="C20" s="513">
        <v>19069035</v>
      </c>
      <c r="D20" s="515">
        <v>19801383</v>
      </c>
      <c r="E20" s="514">
        <f t="shared" si="0"/>
        <v>732348</v>
      </c>
    </row>
    <row r="21" spans="1:5" s="506" customFormat="1" x14ac:dyDescent="0.2">
      <c r="A21" s="512"/>
      <c r="B21" s="516" t="s">
        <v>748</v>
      </c>
      <c r="C21" s="517">
        <f>SUM(C15+C16+C19)</f>
        <v>791246593</v>
      </c>
      <c r="D21" s="517">
        <f>SUM(D15+D16+D19)</f>
        <v>884631093</v>
      </c>
      <c r="E21" s="517">
        <f t="shared" si="0"/>
        <v>93384500</v>
      </c>
    </row>
    <row r="22" spans="1:5" s="506" customFormat="1" x14ac:dyDescent="0.2">
      <c r="A22" s="512"/>
      <c r="B22" s="516" t="s">
        <v>688</v>
      </c>
      <c r="C22" s="517">
        <f>SUM(C14+C21)</f>
        <v>1220439016</v>
      </c>
      <c r="D22" s="517">
        <f>SUM(D14+D21)</f>
        <v>1323691385</v>
      </c>
      <c r="E22" s="517">
        <f t="shared" si="0"/>
        <v>103252369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749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622</v>
      </c>
      <c r="C25" s="513">
        <v>234394020</v>
      </c>
      <c r="D25" s="513">
        <v>280639170</v>
      </c>
      <c r="E25" s="514">
        <f t="shared" ref="E25:E33" si="1">D25-C25</f>
        <v>46245150</v>
      </c>
    </row>
    <row r="26" spans="1:5" s="506" customFormat="1" x14ac:dyDescent="0.2">
      <c r="A26" s="512">
        <v>2</v>
      </c>
      <c r="B26" s="511" t="s">
        <v>601</v>
      </c>
      <c r="C26" s="513">
        <v>165350528</v>
      </c>
      <c r="D26" s="515">
        <v>186830085</v>
      </c>
      <c r="E26" s="514">
        <f t="shared" si="1"/>
        <v>21479557</v>
      </c>
    </row>
    <row r="27" spans="1:5" s="506" customFormat="1" x14ac:dyDescent="0.2">
      <c r="A27" s="512">
        <v>3</v>
      </c>
      <c r="B27" s="511" t="s">
        <v>747</v>
      </c>
      <c r="C27" s="513">
        <v>92661910</v>
      </c>
      <c r="D27" s="515">
        <v>108241096</v>
      </c>
      <c r="E27" s="514">
        <f t="shared" si="1"/>
        <v>15579186</v>
      </c>
    </row>
    <row r="28" spans="1:5" s="506" customFormat="1" x14ac:dyDescent="0.2">
      <c r="A28" s="512">
        <v>4</v>
      </c>
      <c r="B28" s="511" t="s">
        <v>114</v>
      </c>
      <c r="C28" s="513">
        <v>71445231</v>
      </c>
      <c r="D28" s="515">
        <v>96206878</v>
      </c>
      <c r="E28" s="514">
        <f t="shared" si="1"/>
        <v>24761647</v>
      </c>
    </row>
    <row r="29" spans="1:5" s="506" customFormat="1" x14ac:dyDescent="0.2">
      <c r="A29" s="512">
        <v>5</v>
      </c>
      <c r="B29" s="511" t="s">
        <v>714</v>
      </c>
      <c r="C29" s="513">
        <v>21216679</v>
      </c>
      <c r="D29" s="515">
        <v>12034218</v>
      </c>
      <c r="E29" s="514">
        <f t="shared" si="1"/>
        <v>-9182461</v>
      </c>
    </row>
    <row r="30" spans="1:5" s="506" customFormat="1" x14ac:dyDescent="0.2">
      <c r="A30" s="512">
        <v>6</v>
      </c>
      <c r="B30" s="511" t="s">
        <v>418</v>
      </c>
      <c r="C30" s="513">
        <v>1586174</v>
      </c>
      <c r="D30" s="515">
        <v>2317387</v>
      </c>
      <c r="E30" s="514">
        <f t="shared" si="1"/>
        <v>731213</v>
      </c>
    </row>
    <row r="31" spans="1:5" s="506" customFormat="1" x14ac:dyDescent="0.2">
      <c r="A31" s="512">
        <v>7</v>
      </c>
      <c r="B31" s="511" t="s">
        <v>729</v>
      </c>
      <c r="C31" s="514">
        <v>26654052</v>
      </c>
      <c r="D31" s="518">
        <v>27329396</v>
      </c>
      <c r="E31" s="514">
        <f t="shared" si="1"/>
        <v>675344</v>
      </c>
    </row>
    <row r="32" spans="1:5" s="506" customFormat="1" x14ac:dyDescent="0.2">
      <c r="A32" s="512"/>
      <c r="B32" s="516" t="s">
        <v>750</v>
      </c>
      <c r="C32" s="517">
        <f>SUM(C26+C27+C30)</f>
        <v>259598612</v>
      </c>
      <c r="D32" s="517">
        <f>SUM(D26+D27+D30)</f>
        <v>297388568</v>
      </c>
      <c r="E32" s="517">
        <f t="shared" si="1"/>
        <v>37789956</v>
      </c>
    </row>
    <row r="33" spans="1:5" s="506" customFormat="1" x14ac:dyDescent="0.2">
      <c r="A33" s="512"/>
      <c r="B33" s="516" t="s">
        <v>694</v>
      </c>
      <c r="C33" s="517">
        <f>SUM(C25+C32)</f>
        <v>493992632</v>
      </c>
      <c r="D33" s="517">
        <f>SUM(D25+D32)</f>
        <v>578027738</v>
      </c>
      <c r="E33" s="517">
        <f t="shared" si="1"/>
        <v>84035106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619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751</v>
      </c>
      <c r="C36" s="514">
        <f t="shared" ref="C36:D42" si="2">C14+C25</f>
        <v>663586443</v>
      </c>
      <c r="D36" s="514">
        <f t="shared" si="2"/>
        <v>719699462</v>
      </c>
      <c r="E36" s="514">
        <f t="shared" ref="E36:E44" si="3">D36-C36</f>
        <v>56113019</v>
      </c>
    </row>
    <row r="37" spans="1:5" s="506" customFormat="1" x14ac:dyDescent="0.2">
      <c r="A37" s="512">
        <v>2</v>
      </c>
      <c r="B37" s="511" t="s">
        <v>752</v>
      </c>
      <c r="C37" s="514">
        <f t="shared" si="2"/>
        <v>748930861</v>
      </c>
      <c r="D37" s="514">
        <f t="shared" si="2"/>
        <v>841854883</v>
      </c>
      <c r="E37" s="514">
        <f t="shared" si="3"/>
        <v>92924022</v>
      </c>
    </row>
    <row r="38" spans="1:5" s="506" customFormat="1" x14ac:dyDescent="0.2">
      <c r="A38" s="512">
        <v>3</v>
      </c>
      <c r="B38" s="511" t="s">
        <v>753</v>
      </c>
      <c r="C38" s="514">
        <f t="shared" si="2"/>
        <v>293648510</v>
      </c>
      <c r="D38" s="514">
        <f t="shared" si="2"/>
        <v>333056268</v>
      </c>
      <c r="E38" s="514">
        <f t="shared" si="3"/>
        <v>39407758</v>
      </c>
    </row>
    <row r="39" spans="1:5" s="506" customFormat="1" x14ac:dyDescent="0.2">
      <c r="A39" s="512">
        <v>4</v>
      </c>
      <c r="B39" s="511" t="s">
        <v>754</v>
      </c>
      <c r="C39" s="514">
        <f t="shared" si="2"/>
        <v>223090441</v>
      </c>
      <c r="D39" s="514">
        <f t="shared" si="2"/>
        <v>293764926</v>
      </c>
      <c r="E39" s="514">
        <f t="shared" si="3"/>
        <v>70674485</v>
      </c>
    </row>
    <row r="40" spans="1:5" s="506" customFormat="1" x14ac:dyDescent="0.2">
      <c r="A40" s="512">
        <v>5</v>
      </c>
      <c r="B40" s="511" t="s">
        <v>755</v>
      </c>
      <c r="C40" s="514">
        <f t="shared" si="2"/>
        <v>70558069</v>
      </c>
      <c r="D40" s="514">
        <f t="shared" si="2"/>
        <v>39291342</v>
      </c>
      <c r="E40" s="514">
        <f t="shared" si="3"/>
        <v>-31266727</v>
      </c>
    </row>
    <row r="41" spans="1:5" s="506" customFormat="1" x14ac:dyDescent="0.2">
      <c r="A41" s="512">
        <v>6</v>
      </c>
      <c r="B41" s="511" t="s">
        <v>756</v>
      </c>
      <c r="C41" s="514">
        <f t="shared" si="2"/>
        <v>8265834</v>
      </c>
      <c r="D41" s="514">
        <f t="shared" si="2"/>
        <v>7108510</v>
      </c>
      <c r="E41" s="514">
        <f t="shared" si="3"/>
        <v>-1157324</v>
      </c>
    </row>
    <row r="42" spans="1:5" s="506" customFormat="1" x14ac:dyDescent="0.2">
      <c r="A42" s="512">
        <v>7</v>
      </c>
      <c r="B42" s="511" t="s">
        <v>757</v>
      </c>
      <c r="C42" s="514">
        <f t="shared" si="2"/>
        <v>45723087</v>
      </c>
      <c r="D42" s="514">
        <f t="shared" si="2"/>
        <v>47130779</v>
      </c>
      <c r="E42" s="514">
        <f t="shared" si="3"/>
        <v>1407692</v>
      </c>
    </row>
    <row r="43" spans="1:5" s="506" customFormat="1" x14ac:dyDescent="0.2">
      <c r="A43" s="512"/>
      <c r="B43" s="516" t="s">
        <v>758</v>
      </c>
      <c r="C43" s="517">
        <f>SUM(C37+C38+C41)</f>
        <v>1050845205</v>
      </c>
      <c r="D43" s="517">
        <f>SUM(D37+D38+D41)</f>
        <v>1182019661</v>
      </c>
      <c r="E43" s="517">
        <f t="shared" si="3"/>
        <v>131174456</v>
      </c>
    </row>
    <row r="44" spans="1:5" s="506" customFormat="1" x14ac:dyDescent="0.2">
      <c r="A44" s="512"/>
      <c r="B44" s="516" t="s">
        <v>696</v>
      </c>
      <c r="C44" s="517">
        <f>SUM(C36+C43)</f>
        <v>1714431648</v>
      </c>
      <c r="D44" s="517">
        <f>SUM(D36+D43)</f>
        <v>1901719123</v>
      </c>
      <c r="E44" s="517">
        <f t="shared" si="3"/>
        <v>187287475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759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622</v>
      </c>
      <c r="C47" s="513">
        <v>208825893</v>
      </c>
      <c r="D47" s="513">
        <v>218469522</v>
      </c>
      <c r="E47" s="514">
        <f t="shared" ref="E47:E55" si="4">D47-C47</f>
        <v>9643629</v>
      </c>
    </row>
    <row r="48" spans="1:5" s="506" customFormat="1" x14ac:dyDescent="0.2">
      <c r="A48" s="512">
        <v>2</v>
      </c>
      <c r="B48" s="511" t="s">
        <v>601</v>
      </c>
      <c r="C48" s="513">
        <v>228690205</v>
      </c>
      <c r="D48" s="515">
        <v>260942379</v>
      </c>
      <c r="E48" s="514">
        <f t="shared" si="4"/>
        <v>32252174</v>
      </c>
    </row>
    <row r="49" spans="1:5" s="506" customFormat="1" x14ac:dyDescent="0.2">
      <c r="A49" s="512">
        <v>3</v>
      </c>
      <c r="B49" s="511" t="s">
        <v>747</v>
      </c>
      <c r="C49" s="513">
        <v>58357937</v>
      </c>
      <c r="D49" s="515">
        <v>73768006</v>
      </c>
      <c r="E49" s="514">
        <f t="shared" si="4"/>
        <v>15410069</v>
      </c>
    </row>
    <row r="50" spans="1:5" s="506" customFormat="1" x14ac:dyDescent="0.2">
      <c r="A50" s="512">
        <v>4</v>
      </c>
      <c r="B50" s="511" t="s">
        <v>114</v>
      </c>
      <c r="C50" s="513">
        <v>50841503</v>
      </c>
      <c r="D50" s="515">
        <v>66489002</v>
      </c>
      <c r="E50" s="514">
        <f t="shared" si="4"/>
        <v>15647499</v>
      </c>
    </row>
    <row r="51" spans="1:5" s="506" customFormat="1" x14ac:dyDescent="0.2">
      <c r="A51" s="512">
        <v>5</v>
      </c>
      <c r="B51" s="511" t="s">
        <v>714</v>
      </c>
      <c r="C51" s="513">
        <v>7516434</v>
      </c>
      <c r="D51" s="515">
        <v>7279004</v>
      </c>
      <c r="E51" s="514">
        <f t="shared" si="4"/>
        <v>-237430</v>
      </c>
    </row>
    <row r="52" spans="1:5" s="506" customFormat="1" x14ac:dyDescent="0.2">
      <c r="A52" s="512">
        <v>6</v>
      </c>
      <c r="B52" s="511" t="s">
        <v>418</v>
      </c>
      <c r="C52" s="513">
        <v>1922241</v>
      </c>
      <c r="D52" s="515">
        <v>897963</v>
      </c>
      <c r="E52" s="514">
        <f t="shared" si="4"/>
        <v>-1024278</v>
      </c>
    </row>
    <row r="53" spans="1:5" s="506" customFormat="1" x14ac:dyDescent="0.2">
      <c r="A53" s="512">
        <v>7</v>
      </c>
      <c r="B53" s="511" t="s">
        <v>729</v>
      </c>
      <c r="C53" s="513">
        <v>1264171</v>
      </c>
      <c r="D53" s="515">
        <v>1057043</v>
      </c>
      <c r="E53" s="514">
        <f t="shared" si="4"/>
        <v>-207128</v>
      </c>
    </row>
    <row r="54" spans="1:5" s="506" customFormat="1" x14ac:dyDescent="0.2">
      <c r="A54" s="512"/>
      <c r="B54" s="516" t="s">
        <v>760</v>
      </c>
      <c r="C54" s="517">
        <f>SUM(C48+C49+C52)</f>
        <v>288970383</v>
      </c>
      <c r="D54" s="517">
        <f>SUM(D48+D49+D52)</f>
        <v>335608348</v>
      </c>
      <c r="E54" s="517">
        <f t="shared" si="4"/>
        <v>46637965</v>
      </c>
    </row>
    <row r="55" spans="1:5" s="506" customFormat="1" x14ac:dyDescent="0.2">
      <c r="A55" s="512"/>
      <c r="B55" s="516" t="s">
        <v>689</v>
      </c>
      <c r="C55" s="517">
        <f>SUM(C47+C54)</f>
        <v>497796276</v>
      </c>
      <c r="D55" s="517">
        <f>SUM(D47+D54)</f>
        <v>554077870</v>
      </c>
      <c r="E55" s="517">
        <f t="shared" si="4"/>
        <v>56281594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761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622</v>
      </c>
      <c r="C58" s="513">
        <v>110557355</v>
      </c>
      <c r="D58" s="513">
        <v>132592080</v>
      </c>
      <c r="E58" s="514">
        <f t="shared" ref="E58:E66" si="5">D58-C58</f>
        <v>22034725</v>
      </c>
    </row>
    <row r="59" spans="1:5" s="506" customFormat="1" x14ac:dyDescent="0.2">
      <c r="A59" s="512">
        <v>2</v>
      </c>
      <c r="B59" s="511" t="s">
        <v>601</v>
      </c>
      <c r="C59" s="513">
        <v>54345423</v>
      </c>
      <c r="D59" s="515">
        <v>61060113</v>
      </c>
      <c r="E59" s="514">
        <f t="shared" si="5"/>
        <v>6714690</v>
      </c>
    </row>
    <row r="60" spans="1:5" s="506" customFormat="1" x14ac:dyDescent="0.2">
      <c r="A60" s="512">
        <v>3</v>
      </c>
      <c r="B60" s="511" t="s">
        <v>747</v>
      </c>
      <c r="C60" s="513">
        <f>C61+C62</f>
        <v>25302791</v>
      </c>
      <c r="D60" s="515">
        <f>D61+D62</f>
        <v>26070547</v>
      </c>
      <c r="E60" s="514">
        <f t="shared" si="5"/>
        <v>767756</v>
      </c>
    </row>
    <row r="61" spans="1:5" s="506" customFormat="1" x14ac:dyDescent="0.2">
      <c r="A61" s="512">
        <v>4</v>
      </c>
      <c r="B61" s="511" t="s">
        <v>114</v>
      </c>
      <c r="C61" s="513">
        <v>20966500</v>
      </c>
      <c r="D61" s="515">
        <v>23438520</v>
      </c>
      <c r="E61" s="514">
        <f t="shared" si="5"/>
        <v>2472020</v>
      </c>
    </row>
    <row r="62" spans="1:5" s="506" customFormat="1" x14ac:dyDescent="0.2">
      <c r="A62" s="512">
        <v>5</v>
      </c>
      <c r="B62" s="511" t="s">
        <v>714</v>
      </c>
      <c r="C62" s="513">
        <v>4336291</v>
      </c>
      <c r="D62" s="515">
        <v>2632027</v>
      </c>
      <c r="E62" s="514">
        <f t="shared" si="5"/>
        <v>-1704264</v>
      </c>
    </row>
    <row r="63" spans="1:5" s="506" customFormat="1" x14ac:dyDescent="0.2">
      <c r="A63" s="512">
        <v>6</v>
      </c>
      <c r="B63" s="511" t="s">
        <v>418</v>
      </c>
      <c r="C63" s="513">
        <v>517232</v>
      </c>
      <c r="D63" s="515">
        <v>1091920</v>
      </c>
      <c r="E63" s="514">
        <f t="shared" si="5"/>
        <v>574688</v>
      </c>
    </row>
    <row r="64" spans="1:5" s="506" customFormat="1" x14ac:dyDescent="0.2">
      <c r="A64" s="512">
        <v>7</v>
      </c>
      <c r="B64" s="511" t="s">
        <v>729</v>
      </c>
      <c r="C64" s="513">
        <v>1767017</v>
      </c>
      <c r="D64" s="515">
        <v>1458906</v>
      </c>
      <c r="E64" s="514">
        <f t="shared" si="5"/>
        <v>-308111</v>
      </c>
    </row>
    <row r="65" spans="1:5" s="506" customFormat="1" x14ac:dyDescent="0.2">
      <c r="A65" s="512"/>
      <c r="B65" s="516" t="s">
        <v>762</v>
      </c>
      <c r="C65" s="517">
        <f>SUM(C59+C60+C63)</f>
        <v>80165446</v>
      </c>
      <c r="D65" s="517">
        <f>SUM(D59+D60+D63)</f>
        <v>88222580</v>
      </c>
      <c r="E65" s="517">
        <f t="shared" si="5"/>
        <v>8057134</v>
      </c>
    </row>
    <row r="66" spans="1:5" s="506" customFormat="1" x14ac:dyDescent="0.2">
      <c r="A66" s="512"/>
      <c r="B66" s="516" t="s">
        <v>695</v>
      </c>
      <c r="C66" s="517">
        <f>SUM(C58+C65)</f>
        <v>190722801</v>
      </c>
      <c r="D66" s="517">
        <f>SUM(D58+D65)</f>
        <v>220814660</v>
      </c>
      <c r="E66" s="517">
        <f t="shared" si="5"/>
        <v>30091859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620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751</v>
      </c>
      <c r="C69" s="514">
        <f t="shared" ref="C69:D75" si="6">C47+C58</f>
        <v>319383248</v>
      </c>
      <c r="D69" s="514">
        <f t="shared" si="6"/>
        <v>351061602</v>
      </c>
      <c r="E69" s="514">
        <f t="shared" ref="E69:E77" si="7">D69-C69</f>
        <v>31678354</v>
      </c>
    </row>
    <row r="70" spans="1:5" s="506" customFormat="1" x14ac:dyDescent="0.2">
      <c r="A70" s="512">
        <v>2</v>
      </c>
      <c r="B70" s="511" t="s">
        <v>752</v>
      </c>
      <c r="C70" s="514">
        <f t="shared" si="6"/>
        <v>283035628</v>
      </c>
      <c r="D70" s="514">
        <f t="shared" si="6"/>
        <v>322002492</v>
      </c>
      <c r="E70" s="514">
        <f t="shared" si="7"/>
        <v>38966864</v>
      </c>
    </row>
    <row r="71" spans="1:5" s="506" customFormat="1" x14ac:dyDescent="0.2">
      <c r="A71" s="512">
        <v>3</v>
      </c>
      <c r="B71" s="511" t="s">
        <v>753</v>
      </c>
      <c r="C71" s="514">
        <f t="shared" si="6"/>
        <v>83660728</v>
      </c>
      <c r="D71" s="514">
        <f t="shared" si="6"/>
        <v>99838553</v>
      </c>
      <c r="E71" s="514">
        <f t="shared" si="7"/>
        <v>16177825</v>
      </c>
    </row>
    <row r="72" spans="1:5" s="506" customFormat="1" x14ac:dyDescent="0.2">
      <c r="A72" s="512">
        <v>4</v>
      </c>
      <c r="B72" s="511" t="s">
        <v>754</v>
      </c>
      <c r="C72" s="514">
        <f t="shared" si="6"/>
        <v>71808003</v>
      </c>
      <c r="D72" s="514">
        <f t="shared" si="6"/>
        <v>89927522</v>
      </c>
      <c r="E72" s="514">
        <f t="shared" si="7"/>
        <v>18119519</v>
      </c>
    </row>
    <row r="73" spans="1:5" s="506" customFormat="1" x14ac:dyDescent="0.2">
      <c r="A73" s="512">
        <v>5</v>
      </c>
      <c r="B73" s="511" t="s">
        <v>755</v>
      </c>
      <c r="C73" s="514">
        <f t="shared" si="6"/>
        <v>11852725</v>
      </c>
      <c r="D73" s="514">
        <f t="shared" si="6"/>
        <v>9911031</v>
      </c>
      <c r="E73" s="514">
        <f t="shared" si="7"/>
        <v>-1941694</v>
      </c>
    </row>
    <row r="74" spans="1:5" s="506" customFormat="1" x14ac:dyDescent="0.2">
      <c r="A74" s="512">
        <v>6</v>
      </c>
      <c r="B74" s="511" t="s">
        <v>756</v>
      </c>
      <c r="C74" s="514">
        <f t="shared" si="6"/>
        <v>2439473</v>
      </c>
      <c r="D74" s="514">
        <f t="shared" si="6"/>
        <v>1989883</v>
      </c>
      <c r="E74" s="514">
        <f t="shared" si="7"/>
        <v>-449590</v>
      </c>
    </row>
    <row r="75" spans="1:5" s="506" customFormat="1" x14ac:dyDescent="0.2">
      <c r="A75" s="512">
        <v>7</v>
      </c>
      <c r="B75" s="511" t="s">
        <v>757</v>
      </c>
      <c r="C75" s="514">
        <f t="shared" si="6"/>
        <v>3031188</v>
      </c>
      <c r="D75" s="514">
        <f t="shared" si="6"/>
        <v>2515949</v>
      </c>
      <c r="E75" s="514">
        <f t="shared" si="7"/>
        <v>-515239</v>
      </c>
    </row>
    <row r="76" spans="1:5" s="506" customFormat="1" x14ac:dyDescent="0.2">
      <c r="A76" s="512"/>
      <c r="B76" s="516" t="s">
        <v>763</v>
      </c>
      <c r="C76" s="517">
        <f>SUM(C70+C71+C74)</f>
        <v>369135829</v>
      </c>
      <c r="D76" s="517">
        <f>SUM(D70+D71+D74)</f>
        <v>423830928</v>
      </c>
      <c r="E76" s="517">
        <f t="shared" si="7"/>
        <v>54695099</v>
      </c>
    </row>
    <row r="77" spans="1:5" s="506" customFormat="1" x14ac:dyDescent="0.2">
      <c r="A77" s="512"/>
      <c r="B77" s="516" t="s">
        <v>697</v>
      </c>
      <c r="C77" s="517">
        <f>SUM(C69+C76)</f>
        <v>688519077</v>
      </c>
      <c r="D77" s="517">
        <f>SUM(D69+D76)</f>
        <v>774892530</v>
      </c>
      <c r="E77" s="517">
        <f t="shared" si="7"/>
        <v>86373453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764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765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622</v>
      </c>
      <c r="C83" s="523">
        <f t="shared" ref="C83:D89" si="8">IF(C$44=0,0,C14/C$44)</f>
        <v>0.25034093572682342</v>
      </c>
      <c r="D83" s="523">
        <f t="shared" si="8"/>
        <v>0.23087546772279052</v>
      </c>
      <c r="E83" s="523">
        <f t="shared" ref="E83:E91" si="9">D83-C83</f>
        <v>-1.9465468004032899E-2</v>
      </c>
    </row>
    <row r="84" spans="1:5" s="506" customFormat="1" x14ac:dyDescent="0.2">
      <c r="A84" s="512">
        <v>2</v>
      </c>
      <c r="B84" s="511" t="s">
        <v>601</v>
      </c>
      <c r="C84" s="523">
        <f t="shared" si="8"/>
        <v>0.34039288395124168</v>
      </c>
      <c r="D84" s="523">
        <f t="shared" si="8"/>
        <v>0.34443824541590834</v>
      </c>
      <c r="E84" s="523">
        <f t="shared" si="9"/>
        <v>4.0453614646666636E-3</v>
      </c>
    </row>
    <row r="85" spans="1:5" s="506" customFormat="1" x14ac:dyDescent="0.2">
      <c r="A85" s="512">
        <v>3</v>
      </c>
      <c r="B85" s="511" t="s">
        <v>747</v>
      </c>
      <c r="C85" s="523">
        <f t="shared" si="8"/>
        <v>0.1172322035903061</v>
      </c>
      <c r="D85" s="523">
        <f t="shared" si="8"/>
        <v>0.11821681197870565</v>
      </c>
      <c r="E85" s="523">
        <f t="shared" si="9"/>
        <v>9.8460838839954656E-4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8.8452176076488295E-2</v>
      </c>
      <c r="D86" s="523">
        <f t="shared" si="8"/>
        <v>0.10388392566003554</v>
      </c>
      <c r="E86" s="523">
        <f t="shared" si="9"/>
        <v>1.5431749583547247E-2</v>
      </c>
    </row>
    <row r="87" spans="1:5" s="506" customFormat="1" x14ac:dyDescent="0.2">
      <c r="A87" s="512">
        <v>5</v>
      </c>
      <c r="B87" s="511" t="s">
        <v>714</v>
      </c>
      <c r="C87" s="523">
        <f t="shared" si="8"/>
        <v>2.8780027513817804E-2</v>
      </c>
      <c r="D87" s="523">
        <f t="shared" si="8"/>
        <v>1.43328863186701E-2</v>
      </c>
      <c r="E87" s="523">
        <f t="shared" si="9"/>
        <v>-1.4447141195147704E-2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3.8961366630114844E-3</v>
      </c>
      <c r="D88" s="523">
        <f t="shared" si="8"/>
        <v>2.5193641595410302E-3</v>
      </c>
      <c r="E88" s="523">
        <f t="shared" si="9"/>
        <v>-1.3767725034704542E-3</v>
      </c>
    </row>
    <row r="89" spans="1:5" s="506" customFormat="1" x14ac:dyDescent="0.2">
      <c r="A89" s="512">
        <v>7</v>
      </c>
      <c r="B89" s="511" t="s">
        <v>729</v>
      </c>
      <c r="C89" s="523">
        <f t="shared" si="8"/>
        <v>1.1122656900463377E-2</v>
      </c>
      <c r="D89" s="523">
        <f t="shared" si="8"/>
        <v>1.0412359407083693E-2</v>
      </c>
      <c r="E89" s="523">
        <f t="shared" si="9"/>
        <v>-7.1029749337968469E-4</v>
      </c>
    </row>
    <row r="90" spans="1:5" s="506" customFormat="1" x14ac:dyDescent="0.2">
      <c r="A90" s="512"/>
      <c r="B90" s="516" t="s">
        <v>766</v>
      </c>
      <c r="C90" s="524">
        <f>SUM(C84+C85+C88)</f>
        <v>0.46152122420455927</v>
      </c>
      <c r="D90" s="524">
        <f>SUM(D84+D85+D88)</f>
        <v>0.465174421554155</v>
      </c>
      <c r="E90" s="525">
        <f t="shared" si="9"/>
        <v>3.6531973495957382E-3</v>
      </c>
    </row>
    <row r="91" spans="1:5" s="506" customFormat="1" x14ac:dyDescent="0.2">
      <c r="A91" s="512"/>
      <c r="B91" s="516" t="s">
        <v>767</v>
      </c>
      <c r="C91" s="524">
        <f>SUM(C83+C90)</f>
        <v>0.71186215993138269</v>
      </c>
      <c r="D91" s="524">
        <f>SUM(D83+D90)</f>
        <v>0.69604988927694555</v>
      </c>
      <c r="E91" s="525">
        <f t="shared" si="9"/>
        <v>-1.5812270654437133E-2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768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622</v>
      </c>
      <c r="C95" s="523">
        <f t="shared" ref="C95:D101" si="10">IF(C$44=0,0,C25/C$44)</f>
        <v>0.13671820645252111</v>
      </c>
      <c r="D95" s="523">
        <f t="shared" si="10"/>
        <v>0.14757130356731443</v>
      </c>
      <c r="E95" s="523">
        <f t="shared" ref="E95:E103" si="11">D95-C95</f>
        <v>1.085309711479332E-2</v>
      </c>
    </row>
    <row r="96" spans="1:5" s="506" customFormat="1" x14ac:dyDescent="0.2">
      <c r="A96" s="512">
        <v>2</v>
      </c>
      <c r="B96" s="511" t="s">
        <v>601</v>
      </c>
      <c r="C96" s="523">
        <f t="shared" si="10"/>
        <v>9.6446264389071751E-2</v>
      </c>
      <c r="D96" s="523">
        <f t="shared" si="10"/>
        <v>9.8242733503816168E-2</v>
      </c>
      <c r="E96" s="523">
        <f t="shared" si="11"/>
        <v>1.7964691147444173E-3</v>
      </c>
    </row>
    <row r="97" spans="1:5" s="506" customFormat="1" x14ac:dyDescent="0.2">
      <c r="A97" s="512">
        <v>3</v>
      </c>
      <c r="B97" s="511" t="s">
        <v>747</v>
      </c>
      <c r="C97" s="523">
        <f t="shared" si="10"/>
        <v>5.404817981988163E-2</v>
      </c>
      <c r="D97" s="523">
        <f t="shared" si="10"/>
        <v>5.6917498851905904E-2</v>
      </c>
      <c r="E97" s="523">
        <f t="shared" si="11"/>
        <v>2.8693190320242742E-3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4.1672837224712732E-2</v>
      </c>
      <c r="D98" s="523">
        <f t="shared" si="10"/>
        <v>5.0589425555247994E-2</v>
      </c>
      <c r="E98" s="523">
        <f t="shared" si="11"/>
        <v>8.916588330535262E-3</v>
      </c>
    </row>
    <row r="99" spans="1:5" s="506" customFormat="1" x14ac:dyDescent="0.2">
      <c r="A99" s="512">
        <v>5</v>
      </c>
      <c r="B99" s="511" t="s">
        <v>714</v>
      </c>
      <c r="C99" s="523">
        <f t="shared" si="10"/>
        <v>1.2375342595168893E-2</v>
      </c>
      <c r="D99" s="523">
        <f t="shared" si="10"/>
        <v>6.3280732966579101E-3</v>
      </c>
      <c r="E99" s="523">
        <f t="shared" si="11"/>
        <v>-6.0472692985109825E-3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9.2518940714281543E-4</v>
      </c>
      <c r="D100" s="523">
        <f t="shared" si="10"/>
        <v>1.2185748000179309E-3</v>
      </c>
      <c r="E100" s="523">
        <f t="shared" si="11"/>
        <v>2.9338539287511543E-4</v>
      </c>
    </row>
    <row r="101" spans="1:5" s="506" customFormat="1" x14ac:dyDescent="0.2">
      <c r="A101" s="512">
        <v>7</v>
      </c>
      <c r="B101" s="511" t="s">
        <v>729</v>
      </c>
      <c r="C101" s="523">
        <f t="shared" si="10"/>
        <v>1.55468735257505E-2</v>
      </c>
      <c r="D101" s="523">
        <f t="shared" si="10"/>
        <v>1.4370889827771901E-2</v>
      </c>
      <c r="E101" s="523">
        <f t="shared" si="11"/>
        <v>-1.1759836979785988E-3</v>
      </c>
    </row>
    <row r="102" spans="1:5" s="506" customFormat="1" x14ac:dyDescent="0.2">
      <c r="A102" s="512"/>
      <c r="B102" s="516" t="s">
        <v>769</v>
      </c>
      <c r="C102" s="524">
        <f>SUM(C96+C97+C100)</f>
        <v>0.1514196336160962</v>
      </c>
      <c r="D102" s="524">
        <f>SUM(D96+D97+D100)</f>
        <v>0.15637880715574001</v>
      </c>
      <c r="E102" s="525">
        <f t="shared" si="11"/>
        <v>4.959173539643813E-3</v>
      </c>
    </row>
    <row r="103" spans="1:5" s="506" customFormat="1" x14ac:dyDescent="0.2">
      <c r="A103" s="512"/>
      <c r="B103" s="516" t="s">
        <v>770</v>
      </c>
      <c r="C103" s="524">
        <f>SUM(C95+C102)</f>
        <v>0.28813784006861731</v>
      </c>
      <c r="D103" s="524">
        <f>SUM(D95+D102)</f>
        <v>0.30395011072305445</v>
      </c>
      <c r="E103" s="525">
        <f t="shared" si="11"/>
        <v>1.5812270654437133E-2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771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772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622</v>
      </c>
      <c r="C109" s="523">
        <f t="shared" ref="C109:D115" si="12">IF(C$77=0,0,C47/C$77)</f>
        <v>0.30329717792263872</v>
      </c>
      <c r="D109" s="523">
        <f t="shared" si="12"/>
        <v>0.28193525365381961</v>
      </c>
      <c r="E109" s="523">
        <f t="shared" ref="E109:E117" si="13">D109-C109</f>
        <v>-2.136192426881911E-2</v>
      </c>
    </row>
    <row r="110" spans="1:5" s="506" customFormat="1" x14ac:dyDescent="0.2">
      <c r="A110" s="512">
        <v>2</v>
      </c>
      <c r="B110" s="511" t="s">
        <v>601</v>
      </c>
      <c r="C110" s="523">
        <f t="shared" si="12"/>
        <v>0.33214795731796404</v>
      </c>
      <c r="D110" s="523">
        <f t="shared" si="12"/>
        <v>0.33674654083966971</v>
      </c>
      <c r="E110" s="523">
        <f t="shared" si="13"/>
        <v>4.5985835217056681E-3</v>
      </c>
    </row>
    <row r="111" spans="1:5" s="506" customFormat="1" x14ac:dyDescent="0.2">
      <c r="A111" s="512">
        <v>3</v>
      </c>
      <c r="B111" s="511" t="s">
        <v>747</v>
      </c>
      <c r="C111" s="523">
        <f t="shared" si="12"/>
        <v>8.4758634799599025E-2</v>
      </c>
      <c r="D111" s="523">
        <f t="shared" si="12"/>
        <v>9.5197725031624714E-2</v>
      </c>
      <c r="E111" s="523">
        <f t="shared" si="13"/>
        <v>1.0439090232025688E-2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7.3841821814909572E-2</v>
      </c>
      <c r="D112" s="523">
        <f t="shared" si="12"/>
        <v>8.5804159190952578E-2</v>
      </c>
      <c r="E112" s="523">
        <f t="shared" si="13"/>
        <v>1.1962337376043006E-2</v>
      </c>
    </row>
    <row r="113" spans="1:5" s="506" customFormat="1" x14ac:dyDescent="0.2">
      <c r="A113" s="512">
        <v>5</v>
      </c>
      <c r="B113" s="511" t="s">
        <v>714</v>
      </c>
      <c r="C113" s="523">
        <f t="shared" si="12"/>
        <v>1.0916812984689456E-2</v>
      </c>
      <c r="D113" s="523">
        <f t="shared" si="12"/>
        <v>9.3935658406721252E-3</v>
      </c>
      <c r="E113" s="523">
        <f t="shared" si="13"/>
        <v>-1.5232471440173312E-3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2.7918485692154612E-3</v>
      </c>
      <c r="D114" s="523">
        <f t="shared" si="12"/>
        <v>1.1588226305394892E-3</v>
      </c>
      <c r="E114" s="523">
        <f t="shared" si="13"/>
        <v>-1.633025938675972E-3</v>
      </c>
    </row>
    <row r="115" spans="1:5" s="506" customFormat="1" x14ac:dyDescent="0.2">
      <c r="A115" s="512">
        <v>7</v>
      </c>
      <c r="B115" s="511" t="s">
        <v>729</v>
      </c>
      <c r="C115" s="523">
        <f t="shared" si="12"/>
        <v>1.8360725827789954E-3</v>
      </c>
      <c r="D115" s="523">
        <f t="shared" si="12"/>
        <v>1.3641156148453256E-3</v>
      </c>
      <c r="E115" s="523">
        <f t="shared" si="13"/>
        <v>-4.7195696793366979E-4</v>
      </c>
    </row>
    <row r="116" spans="1:5" s="506" customFormat="1" x14ac:dyDescent="0.2">
      <c r="A116" s="512"/>
      <c r="B116" s="516" t="s">
        <v>766</v>
      </c>
      <c r="C116" s="524">
        <f>SUM(C110+C111+C114)</f>
        <v>0.41969844068677853</v>
      </c>
      <c r="D116" s="524">
        <f>SUM(D110+D111+D114)</f>
        <v>0.43310308850183393</v>
      </c>
      <c r="E116" s="525">
        <f t="shared" si="13"/>
        <v>1.3404647815055404E-2</v>
      </c>
    </row>
    <row r="117" spans="1:5" s="506" customFormat="1" x14ac:dyDescent="0.2">
      <c r="A117" s="512"/>
      <c r="B117" s="516" t="s">
        <v>767</v>
      </c>
      <c r="C117" s="524">
        <f>SUM(C109+C116)</f>
        <v>0.7229956186094173</v>
      </c>
      <c r="D117" s="524">
        <f>SUM(D109+D116)</f>
        <v>0.71503834215565354</v>
      </c>
      <c r="E117" s="525">
        <f t="shared" si="13"/>
        <v>-7.9572764537637619E-3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773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622</v>
      </c>
      <c r="C121" s="523">
        <f t="shared" ref="C121:D127" si="14">IF(C$77=0,0,C58/C$77)</f>
        <v>0.16057268228749455</v>
      </c>
      <c r="D121" s="523">
        <f t="shared" si="14"/>
        <v>0.17111028286722546</v>
      </c>
      <c r="E121" s="523">
        <f t="shared" ref="E121:E129" si="15">D121-C121</f>
        <v>1.053760057973091E-2</v>
      </c>
    </row>
    <row r="122" spans="1:5" s="506" customFormat="1" x14ac:dyDescent="0.2">
      <c r="A122" s="512">
        <v>2</v>
      </c>
      <c r="B122" s="511" t="s">
        <v>601</v>
      </c>
      <c r="C122" s="523">
        <f t="shared" si="14"/>
        <v>7.8930889230829554E-2</v>
      </c>
      <c r="D122" s="523">
        <f t="shared" si="14"/>
        <v>7.8798169599079759E-2</v>
      </c>
      <c r="E122" s="523">
        <f t="shared" si="15"/>
        <v>-1.3271963174979473E-4</v>
      </c>
    </row>
    <row r="123" spans="1:5" s="506" customFormat="1" x14ac:dyDescent="0.2">
      <c r="A123" s="512">
        <v>3</v>
      </c>
      <c r="B123" s="511" t="s">
        <v>747</v>
      </c>
      <c r="C123" s="523">
        <f t="shared" si="14"/>
        <v>3.6749585952285821E-2</v>
      </c>
      <c r="D123" s="523">
        <f t="shared" si="14"/>
        <v>3.3644080941133865E-2</v>
      </c>
      <c r="E123" s="523">
        <f t="shared" si="15"/>
        <v>-3.1055050111519558E-3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3.0451589070494264E-2</v>
      </c>
      <c r="D124" s="523">
        <f t="shared" si="14"/>
        <v>3.0247446055519468E-2</v>
      </c>
      <c r="E124" s="523">
        <f t="shared" si="15"/>
        <v>-2.0414301497479609E-4</v>
      </c>
    </row>
    <row r="125" spans="1:5" s="506" customFormat="1" x14ac:dyDescent="0.2">
      <c r="A125" s="512">
        <v>5</v>
      </c>
      <c r="B125" s="511" t="s">
        <v>714</v>
      </c>
      <c r="C125" s="523">
        <f t="shared" si="14"/>
        <v>6.2979968817915557E-3</v>
      </c>
      <c r="D125" s="523">
        <f t="shared" si="14"/>
        <v>3.396634885614396E-3</v>
      </c>
      <c r="E125" s="523">
        <f t="shared" si="15"/>
        <v>-2.9013619961771597E-3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7.5122391997280852E-4</v>
      </c>
      <c r="D126" s="523">
        <f t="shared" si="14"/>
        <v>1.4091244369073992E-3</v>
      </c>
      <c r="E126" s="523">
        <f t="shared" si="15"/>
        <v>6.5790051693459073E-4</v>
      </c>
    </row>
    <row r="127" spans="1:5" s="506" customFormat="1" x14ac:dyDescent="0.2">
      <c r="A127" s="512">
        <v>7</v>
      </c>
      <c r="B127" s="511" t="s">
        <v>729</v>
      </c>
      <c r="C127" s="523">
        <f t="shared" si="14"/>
        <v>2.566402383067158E-3</v>
      </c>
      <c r="D127" s="523">
        <f t="shared" si="14"/>
        <v>1.882720433503211E-3</v>
      </c>
      <c r="E127" s="523">
        <f t="shared" si="15"/>
        <v>-6.8368194956394701E-4</v>
      </c>
    </row>
    <row r="128" spans="1:5" s="506" customFormat="1" x14ac:dyDescent="0.2">
      <c r="A128" s="512"/>
      <c r="B128" s="516" t="s">
        <v>769</v>
      </c>
      <c r="C128" s="524">
        <f>SUM(C122+C123+C126)</f>
        <v>0.11643169910308818</v>
      </c>
      <c r="D128" s="524">
        <f>SUM(D122+D123+D126)</f>
        <v>0.11385137497712101</v>
      </c>
      <c r="E128" s="525">
        <f t="shared" si="15"/>
        <v>-2.5803241259671622E-3</v>
      </c>
    </row>
    <row r="129" spans="1:5" s="506" customFormat="1" x14ac:dyDescent="0.2">
      <c r="A129" s="512"/>
      <c r="B129" s="516" t="s">
        <v>770</v>
      </c>
      <c r="C129" s="524">
        <f>SUM(C121+C128)</f>
        <v>0.2770043813905827</v>
      </c>
      <c r="D129" s="524">
        <f>SUM(D121+D128)</f>
        <v>0.28496165784434646</v>
      </c>
      <c r="E129" s="525">
        <f t="shared" si="15"/>
        <v>7.9572764537637619E-3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774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775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776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622</v>
      </c>
      <c r="C137" s="530">
        <v>16639</v>
      </c>
      <c r="D137" s="530">
        <v>16050</v>
      </c>
      <c r="E137" s="531">
        <f t="shared" ref="E137:E145" si="16">D137-C137</f>
        <v>-589</v>
      </c>
    </row>
    <row r="138" spans="1:5" s="506" customFormat="1" x14ac:dyDescent="0.2">
      <c r="A138" s="512">
        <v>2</v>
      </c>
      <c r="B138" s="511" t="s">
        <v>601</v>
      </c>
      <c r="C138" s="530">
        <v>15533</v>
      </c>
      <c r="D138" s="530">
        <v>15819</v>
      </c>
      <c r="E138" s="531">
        <f t="shared" si="16"/>
        <v>286</v>
      </c>
    </row>
    <row r="139" spans="1:5" s="506" customFormat="1" x14ac:dyDescent="0.2">
      <c r="A139" s="512">
        <v>3</v>
      </c>
      <c r="B139" s="511" t="s">
        <v>747</v>
      </c>
      <c r="C139" s="530">
        <f>C140+C141</f>
        <v>8830</v>
      </c>
      <c r="D139" s="530">
        <f>D140+D141</f>
        <v>9230</v>
      </c>
      <c r="E139" s="531">
        <f t="shared" si="16"/>
        <v>400</v>
      </c>
    </row>
    <row r="140" spans="1:5" s="506" customFormat="1" x14ac:dyDescent="0.2">
      <c r="A140" s="512">
        <v>4</v>
      </c>
      <c r="B140" s="511" t="s">
        <v>114</v>
      </c>
      <c r="C140" s="530">
        <v>6942</v>
      </c>
      <c r="D140" s="530">
        <v>7923</v>
      </c>
      <c r="E140" s="531">
        <f t="shared" si="16"/>
        <v>981</v>
      </c>
    </row>
    <row r="141" spans="1:5" s="506" customFormat="1" x14ac:dyDescent="0.2">
      <c r="A141" s="512">
        <v>5</v>
      </c>
      <c r="B141" s="511" t="s">
        <v>714</v>
      </c>
      <c r="C141" s="530">
        <v>1888</v>
      </c>
      <c r="D141" s="530">
        <v>1307</v>
      </c>
      <c r="E141" s="531">
        <f t="shared" si="16"/>
        <v>-581</v>
      </c>
    </row>
    <row r="142" spans="1:5" s="506" customFormat="1" x14ac:dyDescent="0.2">
      <c r="A142" s="512">
        <v>6</v>
      </c>
      <c r="B142" s="511" t="s">
        <v>418</v>
      </c>
      <c r="C142" s="530">
        <v>186</v>
      </c>
      <c r="D142" s="530">
        <v>166</v>
      </c>
      <c r="E142" s="531">
        <f t="shared" si="16"/>
        <v>-20</v>
      </c>
    </row>
    <row r="143" spans="1:5" s="506" customFormat="1" x14ac:dyDescent="0.2">
      <c r="A143" s="512">
        <v>7</v>
      </c>
      <c r="B143" s="511" t="s">
        <v>729</v>
      </c>
      <c r="C143" s="530">
        <v>694</v>
      </c>
      <c r="D143" s="530">
        <v>690</v>
      </c>
      <c r="E143" s="531">
        <f t="shared" si="16"/>
        <v>-4</v>
      </c>
    </row>
    <row r="144" spans="1:5" s="506" customFormat="1" x14ac:dyDescent="0.2">
      <c r="A144" s="512"/>
      <c r="B144" s="516" t="s">
        <v>777</v>
      </c>
      <c r="C144" s="532">
        <f>SUM(C138+C139+C142)</f>
        <v>24549</v>
      </c>
      <c r="D144" s="532">
        <f>SUM(D138+D139+D142)</f>
        <v>25215</v>
      </c>
      <c r="E144" s="533">
        <f t="shared" si="16"/>
        <v>666</v>
      </c>
    </row>
    <row r="145" spans="1:5" s="506" customFormat="1" x14ac:dyDescent="0.2">
      <c r="A145" s="512"/>
      <c r="B145" s="516" t="s">
        <v>691</v>
      </c>
      <c r="C145" s="532">
        <f>SUM(C137+C144)</f>
        <v>41188</v>
      </c>
      <c r="D145" s="532">
        <f>SUM(D137+D144)</f>
        <v>41265</v>
      </c>
      <c r="E145" s="533">
        <f t="shared" si="16"/>
        <v>77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622</v>
      </c>
      <c r="C149" s="534">
        <v>70885</v>
      </c>
      <c r="D149" s="534">
        <v>68370</v>
      </c>
      <c r="E149" s="531">
        <f t="shared" ref="E149:E157" si="17">D149-C149</f>
        <v>-2515</v>
      </c>
    </row>
    <row r="150" spans="1:5" s="506" customFormat="1" x14ac:dyDescent="0.2">
      <c r="A150" s="512">
        <v>2</v>
      </c>
      <c r="B150" s="511" t="s">
        <v>601</v>
      </c>
      <c r="C150" s="534">
        <v>96766</v>
      </c>
      <c r="D150" s="534">
        <v>101294</v>
      </c>
      <c r="E150" s="531">
        <f t="shared" si="17"/>
        <v>4528</v>
      </c>
    </row>
    <row r="151" spans="1:5" s="506" customFormat="1" x14ac:dyDescent="0.2">
      <c r="A151" s="512">
        <v>3</v>
      </c>
      <c r="B151" s="511" t="s">
        <v>747</v>
      </c>
      <c r="C151" s="534">
        <f>C152+C153</f>
        <v>47096</v>
      </c>
      <c r="D151" s="534">
        <f>D152+D153</f>
        <v>49499</v>
      </c>
      <c r="E151" s="531">
        <f t="shared" si="17"/>
        <v>2403</v>
      </c>
    </row>
    <row r="152" spans="1:5" s="506" customFormat="1" x14ac:dyDescent="0.2">
      <c r="A152" s="512">
        <v>4</v>
      </c>
      <c r="B152" s="511" t="s">
        <v>114</v>
      </c>
      <c r="C152" s="534">
        <v>36571</v>
      </c>
      <c r="D152" s="534">
        <v>42046</v>
      </c>
      <c r="E152" s="531">
        <f t="shared" si="17"/>
        <v>5475</v>
      </c>
    </row>
    <row r="153" spans="1:5" s="506" customFormat="1" x14ac:dyDescent="0.2">
      <c r="A153" s="512">
        <v>5</v>
      </c>
      <c r="B153" s="511" t="s">
        <v>714</v>
      </c>
      <c r="C153" s="535">
        <v>10525</v>
      </c>
      <c r="D153" s="534">
        <v>7453</v>
      </c>
      <c r="E153" s="531">
        <f t="shared" si="17"/>
        <v>-3072</v>
      </c>
    </row>
    <row r="154" spans="1:5" s="506" customFormat="1" x14ac:dyDescent="0.2">
      <c r="A154" s="512">
        <v>6</v>
      </c>
      <c r="B154" s="511" t="s">
        <v>418</v>
      </c>
      <c r="C154" s="534">
        <v>1211</v>
      </c>
      <c r="D154" s="534">
        <v>951</v>
      </c>
      <c r="E154" s="531">
        <f t="shared" si="17"/>
        <v>-260</v>
      </c>
    </row>
    <row r="155" spans="1:5" s="506" customFormat="1" x14ac:dyDescent="0.2">
      <c r="A155" s="512">
        <v>7</v>
      </c>
      <c r="B155" s="511" t="s">
        <v>729</v>
      </c>
      <c r="C155" s="534">
        <v>3053</v>
      </c>
      <c r="D155" s="534">
        <v>2939</v>
      </c>
      <c r="E155" s="531">
        <f t="shared" si="17"/>
        <v>-114</v>
      </c>
    </row>
    <row r="156" spans="1:5" s="506" customFormat="1" x14ac:dyDescent="0.2">
      <c r="A156" s="512"/>
      <c r="B156" s="516" t="s">
        <v>778</v>
      </c>
      <c r="C156" s="532">
        <f>SUM(C150+C151+C154)</f>
        <v>145073</v>
      </c>
      <c r="D156" s="532">
        <f>SUM(D150+D151+D154)</f>
        <v>151744</v>
      </c>
      <c r="E156" s="533">
        <f t="shared" si="17"/>
        <v>6671</v>
      </c>
    </row>
    <row r="157" spans="1:5" s="506" customFormat="1" x14ac:dyDescent="0.2">
      <c r="A157" s="512"/>
      <c r="B157" s="516" t="s">
        <v>779</v>
      </c>
      <c r="C157" s="532">
        <f>SUM(C149+C156)</f>
        <v>215958</v>
      </c>
      <c r="D157" s="532">
        <f>SUM(D149+D156)</f>
        <v>220114</v>
      </c>
      <c r="E157" s="533">
        <f t="shared" si="17"/>
        <v>4156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780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622</v>
      </c>
      <c r="C161" s="536">
        <f t="shared" ref="C161:D169" si="18">IF(C137=0,0,C149/C137)</f>
        <v>4.2601718853296475</v>
      </c>
      <c r="D161" s="536">
        <f t="shared" si="18"/>
        <v>4.2598130841121495</v>
      </c>
      <c r="E161" s="537">
        <f t="shared" ref="E161:E169" si="19">D161-C161</f>
        <v>-3.5880121749798377E-4</v>
      </c>
    </row>
    <row r="162" spans="1:5" s="506" customFormat="1" x14ac:dyDescent="0.2">
      <c r="A162" s="512">
        <v>2</v>
      </c>
      <c r="B162" s="511" t="s">
        <v>601</v>
      </c>
      <c r="C162" s="536">
        <f t="shared" si="18"/>
        <v>6.2297045000965685</v>
      </c>
      <c r="D162" s="536">
        <f t="shared" si="18"/>
        <v>6.4033124723433845</v>
      </c>
      <c r="E162" s="537">
        <f t="shared" si="19"/>
        <v>0.17360797224681601</v>
      </c>
    </row>
    <row r="163" spans="1:5" s="506" customFormat="1" x14ac:dyDescent="0.2">
      <c r="A163" s="512">
        <v>3</v>
      </c>
      <c r="B163" s="511" t="s">
        <v>747</v>
      </c>
      <c r="C163" s="536">
        <f t="shared" si="18"/>
        <v>5.3336353340883349</v>
      </c>
      <c r="D163" s="536">
        <f t="shared" si="18"/>
        <v>5.3628385698808234</v>
      </c>
      <c r="E163" s="537">
        <f t="shared" si="19"/>
        <v>2.9203235792488513E-2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5.2680783635839816</v>
      </c>
      <c r="D164" s="536">
        <f t="shared" si="18"/>
        <v>5.3068282216332197</v>
      </c>
      <c r="E164" s="537">
        <f t="shared" si="19"/>
        <v>3.8749858049238028E-2</v>
      </c>
    </row>
    <row r="165" spans="1:5" s="506" customFormat="1" x14ac:dyDescent="0.2">
      <c r="A165" s="512">
        <v>5</v>
      </c>
      <c r="B165" s="511" t="s">
        <v>714</v>
      </c>
      <c r="C165" s="536">
        <f t="shared" si="18"/>
        <v>5.5746822033898304</v>
      </c>
      <c r="D165" s="536">
        <f t="shared" si="18"/>
        <v>5.7023718439173683</v>
      </c>
      <c r="E165" s="537">
        <f t="shared" si="19"/>
        <v>0.12768964052753784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6.510752688172043</v>
      </c>
      <c r="D166" s="536">
        <f t="shared" si="18"/>
        <v>5.7289156626506026</v>
      </c>
      <c r="E166" s="537">
        <f t="shared" si="19"/>
        <v>-0.78183702552144041</v>
      </c>
    </row>
    <row r="167" spans="1:5" s="506" customFormat="1" x14ac:dyDescent="0.2">
      <c r="A167" s="512">
        <v>7</v>
      </c>
      <c r="B167" s="511" t="s">
        <v>729</v>
      </c>
      <c r="C167" s="536">
        <f t="shared" si="18"/>
        <v>4.3991354466858787</v>
      </c>
      <c r="D167" s="536">
        <f t="shared" si="18"/>
        <v>4.2594202898550728</v>
      </c>
      <c r="E167" s="537">
        <f t="shared" si="19"/>
        <v>-0.13971515683080593</v>
      </c>
    </row>
    <row r="168" spans="1:5" s="506" customFormat="1" x14ac:dyDescent="0.2">
      <c r="A168" s="512"/>
      <c r="B168" s="516" t="s">
        <v>781</v>
      </c>
      <c r="C168" s="538">
        <f t="shared" si="18"/>
        <v>5.9095278830094911</v>
      </c>
      <c r="D168" s="538">
        <f t="shared" si="18"/>
        <v>6.0180051556613128</v>
      </c>
      <c r="E168" s="539">
        <f t="shared" si="19"/>
        <v>0.10847727265182172</v>
      </c>
    </row>
    <row r="169" spans="1:5" s="506" customFormat="1" x14ac:dyDescent="0.2">
      <c r="A169" s="512"/>
      <c r="B169" s="516" t="s">
        <v>715</v>
      </c>
      <c r="C169" s="538">
        <f t="shared" si="18"/>
        <v>5.2432261823832187</v>
      </c>
      <c r="D169" s="538">
        <f t="shared" si="18"/>
        <v>5.3341572761420091</v>
      </c>
      <c r="E169" s="539">
        <f t="shared" si="19"/>
        <v>9.0931093758790382E-2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782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622</v>
      </c>
      <c r="C173" s="541">
        <f t="shared" ref="C173:D181" si="20">IF(C137=0,0,C203/C137)</f>
        <v>1.3378000000000001</v>
      </c>
      <c r="D173" s="541">
        <f t="shared" si="20"/>
        <v>1.3722000000000001</v>
      </c>
      <c r="E173" s="542">
        <f t="shared" ref="E173:E181" si="21">D173-C173</f>
        <v>3.4399999999999986E-2</v>
      </c>
    </row>
    <row r="174" spans="1:5" s="506" customFormat="1" x14ac:dyDescent="0.2">
      <c r="A174" s="512">
        <v>2</v>
      </c>
      <c r="B174" s="511" t="s">
        <v>601</v>
      </c>
      <c r="C174" s="541">
        <f t="shared" si="20"/>
        <v>1.6591</v>
      </c>
      <c r="D174" s="541">
        <f t="shared" si="20"/>
        <v>1.8172999999999999</v>
      </c>
      <c r="E174" s="542">
        <f t="shared" si="21"/>
        <v>0.1581999999999999</v>
      </c>
    </row>
    <row r="175" spans="1:5" s="506" customFormat="1" x14ac:dyDescent="0.2">
      <c r="A175" s="512">
        <v>0</v>
      </c>
      <c r="B175" s="511" t="s">
        <v>747</v>
      </c>
      <c r="C175" s="541">
        <f t="shared" si="20"/>
        <v>1.1078941789354473</v>
      </c>
      <c r="D175" s="541">
        <f t="shared" si="20"/>
        <v>1.1259005525460455</v>
      </c>
      <c r="E175" s="542">
        <f t="shared" si="21"/>
        <v>1.8006373610598203E-2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1.0791999999999999</v>
      </c>
      <c r="D176" s="541">
        <f t="shared" si="20"/>
        <v>1.1066</v>
      </c>
      <c r="E176" s="542">
        <f t="shared" si="21"/>
        <v>2.7400000000000091E-2</v>
      </c>
    </row>
    <row r="177" spans="1:5" s="506" customFormat="1" x14ac:dyDescent="0.2">
      <c r="A177" s="512">
        <v>5</v>
      </c>
      <c r="B177" s="511" t="s">
        <v>714</v>
      </c>
      <c r="C177" s="541">
        <f t="shared" si="20"/>
        <v>1.2133999999999998</v>
      </c>
      <c r="D177" s="541">
        <f t="shared" si="20"/>
        <v>1.2428999999999999</v>
      </c>
      <c r="E177" s="542">
        <f t="shared" si="21"/>
        <v>2.9500000000000082E-2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1.24</v>
      </c>
      <c r="D178" s="541">
        <f t="shared" si="20"/>
        <v>1.0678000000000001</v>
      </c>
      <c r="E178" s="542">
        <f t="shared" si="21"/>
        <v>-0.17219999999999991</v>
      </c>
    </row>
    <row r="179" spans="1:5" s="506" customFormat="1" x14ac:dyDescent="0.2">
      <c r="A179" s="512">
        <v>7</v>
      </c>
      <c r="B179" s="511" t="s">
        <v>729</v>
      </c>
      <c r="C179" s="541">
        <f t="shared" si="20"/>
        <v>1.3109</v>
      </c>
      <c r="D179" s="541">
        <f t="shared" si="20"/>
        <v>1.3522000000000001</v>
      </c>
      <c r="E179" s="542">
        <f t="shared" si="21"/>
        <v>4.1300000000000114E-2</v>
      </c>
    </row>
    <row r="180" spans="1:5" s="506" customFormat="1" x14ac:dyDescent="0.2">
      <c r="A180" s="512"/>
      <c r="B180" s="516" t="s">
        <v>783</v>
      </c>
      <c r="C180" s="543">
        <f t="shared" si="20"/>
        <v>1.4576620595543606</v>
      </c>
      <c r="D180" s="543">
        <f t="shared" si="20"/>
        <v>1.5592776363275829</v>
      </c>
      <c r="E180" s="544">
        <f t="shared" si="21"/>
        <v>0.1016155767732223</v>
      </c>
    </row>
    <row r="181" spans="1:5" s="506" customFormat="1" x14ac:dyDescent="0.2">
      <c r="A181" s="512"/>
      <c r="B181" s="516" t="s">
        <v>692</v>
      </c>
      <c r="C181" s="543">
        <f t="shared" si="20"/>
        <v>1.4092405579294938</v>
      </c>
      <c r="D181" s="543">
        <f t="shared" si="20"/>
        <v>1.4865138882830489</v>
      </c>
      <c r="E181" s="544">
        <f t="shared" si="21"/>
        <v>7.7273330353555103E-2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784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785</v>
      </c>
      <c r="C185" s="513">
        <v>599039787</v>
      </c>
      <c r="D185" s="513">
        <v>651518348</v>
      </c>
      <c r="E185" s="514">
        <f>D185-C185</f>
        <v>52478561</v>
      </c>
    </row>
    <row r="186" spans="1:5" s="506" customFormat="1" ht="25.5" x14ac:dyDescent="0.2">
      <c r="A186" s="512">
        <v>2</v>
      </c>
      <c r="B186" s="511" t="s">
        <v>786</v>
      </c>
      <c r="C186" s="513">
        <v>302671779</v>
      </c>
      <c r="D186" s="513">
        <v>348212407</v>
      </c>
      <c r="E186" s="514">
        <f>D186-C186</f>
        <v>45540628</v>
      </c>
    </row>
    <row r="187" spans="1:5" s="506" customFormat="1" x14ac:dyDescent="0.2">
      <c r="A187" s="512"/>
      <c r="B187" s="511" t="s">
        <v>634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718</v>
      </c>
      <c r="C188" s="546">
        <f>+C185-C186</f>
        <v>296368008</v>
      </c>
      <c r="D188" s="546">
        <f>+D185-D186</f>
        <v>303305941</v>
      </c>
      <c r="E188" s="514">
        <f t="shared" ref="E188:E197" si="22">D188-C188</f>
        <v>6937933</v>
      </c>
    </row>
    <row r="189" spans="1:5" s="506" customFormat="1" x14ac:dyDescent="0.2">
      <c r="A189" s="512">
        <v>4</v>
      </c>
      <c r="B189" s="511" t="s">
        <v>636</v>
      </c>
      <c r="C189" s="547">
        <f>IF(C185=0,0,+C188/C185)</f>
        <v>0.49473843713155569</v>
      </c>
      <c r="D189" s="547">
        <f>IF(D185=0,0,+D188/D185)</f>
        <v>0.46553706726920913</v>
      </c>
      <c r="E189" s="523">
        <f t="shared" si="22"/>
        <v>-2.920136986234656E-2</v>
      </c>
    </row>
    <row r="190" spans="1:5" s="506" customFormat="1" x14ac:dyDescent="0.2">
      <c r="A190" s="512">
        <v>5</v>
      </c>
      <c r="B190" s="511" t="s">
        <v>733</v>
      </c>
      <c r="C190" s="513">
        <v>19836452</v>
      </c>
      <c r="D190" s="513">
        <v>22538851</v>
      </c>
      <c r="E190" s="546">
        <f t="shared" si="22"/>
        <v>2702399</v>
      </c>
    </row>
    <row r="191" spans="1:5" s="506" customFormat="1" x14ac:dyDescent="0.2">
      <c r="A191" s="512">
        <v>6</v>
      </c>
      <c r="B191" s="511" t="s">
        <v>719</v>
      </c>
      <c r="C191" s="513">
        <v>10340167</v>
      </c>
      <c r="D191" s="513">
        <v>12426593</v>
      </c>
      <c r="E191" s="546">
        <f t="shared" si="22"/>
        <v>2086426</v>
      </c>
    </row>
    <row r="192" spans="1:5" ht="29.25" x14ac:dyDescent="0.2">
      <c r="A192" s="512">
        <v>7</v>
      </c>
      <c r="B192" s="548" t="s">
        <v>787</v>
      </c>
      <c r="C192" s="513">
        <v>4364687</v>
      </c>
      <c r="D192" s="513">
        <v>3946217</v>
      </c>
      <c r="E192" s="546">
        <f t="shared" si="22"/>
        <v>-418470</v>
      </c>
    </row>
    <row r="193" spans="1:5" s="506" customFormat="1" x14ac:dyDescent="0.2">
      <c r="A193" s="512">
        <v>8</v>
      </c>
      <c r="B193" s="511" t="s">
        <v>788</v>
      </c>
      <c r="C193" s="513">
        <v>23984656</v>
      </c>
      <c r="D193" s="513">
        <v>27507152</v>
      </c>
      <c r="E193" s="546">
        <f t="shared" si="22"/>
        <v>3522496</v>
      </c>
    </row>
    <row r="194" spans="1:5" s="506" customFormat="1" x14ac:dyDescent="0.2">
      <c r="A194" s="512">
        <v>9</v>
      </c>
      <c r="B194" s="511" t="s">
        <v>789</v>
      </c>
      <c r="C194" s="513">
        <v>23850531</v>
      </c>
      <c r="D194" s="513">
        <v>37824767</v>
      </c>
      <c r="E194" s="546">
        <f t="shared" si="22"/>
        <v>13974236</v>
      </c>
    </row>
    <row r="195" spans="1:5" s="506" customFormat="1" x14ac:dyDescent="0.2">
      <c r="A195" s="512">
        <v>10</v>
      </c>
      <c r="B195" s="511" t="s">
        <v>790</v>
      </c>
      <c r="C195" s="513">
        <f>+C193+C194</f>
        <v>47835187</v>
      </c>
      <c r="D195" s="513">
        <f>+D193+D194</f>
        <v>65331919</v>
      </c>
      <c r="E195" s="549">
        <f t="shared" si="22"/>
        <v>17496732</v>
      </c>
    </row>
    <row r="196" spans="1:5" s="506" customFormat="1" x14ac:dyDescent="0.2">
      <c r="A196" s="512">
        <v>11</v>
      </c>
      <c r="B196" s="511" t="s">
        <v>791</v>
      </c>
      <c r="C196" s="513">
        <v>599039787</v>
      </c>
      <c r="D196" s="513">
        <v>651518348</v>
      </c>
      <c r="E196" s="546">
        <f t="shared" si="22"/>
        <v>52478561</v>
      </c>
    </row>
    <row r="197" spans="1:5" s="506" customFormat="1" x14ac:dyDescent="0.2">
      <c r="A197" s="512">
        <v>12</v>
      </c>
      <c r="B197" s="511" t="s">
        <v>676</v>
      </c>
      <c r="C197" s="513">
        <v>824454105</v>
      </c>
      <c r="D197" s="513">
        <v>920001155</v>
      </c>
      <c r="E197" s="546">
        <f t="shared" si="22"/>
        <v>95547050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792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793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622</v>
      </c>
      <c r="C203" s="553">
        <v>22259.654200000001</v>
      </c>
      <c r="D203" s="553">
        <v>22023.81</v>
      </c>
      <c r="E203" s="554">
        <f t="shared" ref="E203:E211" si="23">D203-C203</f>
        <v>-235.84419999999955</v>
      </c>
    </row>
    <row r="204" spans="1:5" s="506" customFormat="1" x14ac:dyDescent="0.2">
      <c r="A204" s="512">
        <v>2</v>
      </c>
      <c r="B204" s="511" t="s">
        <v>601</v>
      </c>
      <c r="C204" s="553">
        <v>25770.800299999999</v>
      </c>
      <c r="D204" s="553">
        <v>28747.868699999999</v>
      </c>
      <c r="E204" s="554">
        <f t="shared" si="23"/>
        <v>2977.0684000000001</v>
      </c>
    </row>
    <row r="205" spans="1:5" s="506" customFormat="1" x14ac:dyDescent="0.2">
      <c r="A205" s="512">
        <v>3</v>
      </c>
      <c r="B205" s="511" t="s">
        <v>747</v>
      </c>
      <c r="C205" s="553">
        <f>C206+C207</f>
        <v>9782.7055999999993</v>
      </c>
      <c r="D205" s="553">
        <f>D206+D207</f>
        <v>10392.062099999999</v>
      </c>
      <c r="E205" s="554">
        <f t="shared" si="23"/>
        <v>609.35649999999987</v>
      </c>
    </row>
    <row r="206" spans="1:5" s="506" customFormat="1" x14ac:dyDescent="0.2">
      <c r="A206" s="512">
        <v>4</v>
      </c>
      <c r="B206" s="511" t="s">
        <v>114</v>
      </c>
      <c r="C206" s="553">
        <v>7491.8063999999995</v>
      </c>
      <c r="D206" s="553">
        <v>8767.5918000000001</v>
      </c>
      <c r="E206" s="554">
        <f t="shared" si="23"/>
        <v>1275.7854000000007</v>
      </c>
    </row>
    <row r="207" spans="1:5" s="506" customFormat="1" x14ac:dyDescent="0.2">
      <c r="A207" s="512">
        <v>5</v>
      </c>
      <c r="B207" s="511" t="s">
        <v>714</v>
      </c>
      <c r="C207" s="553">
        <v>2290.8991999999998</v>
      </c>
      <c r="D207" s="553">
        <v>1624.4703</v>
      </c>
      <c r="E207" s="554">
        <f t="shared" si="23"/>
        <v>-666.42889999999989</v>
      </c>
    </row>
    <row r="208" spans="1:5" s="506" customFormat="1" x14ac:dyDescent="0.2">
      <c r="A208" s="512">
        <v>6</v>
      </c>
      <c r="B208" s="511" t="s">
        <v>418</v>
      </c>
      <c r="C208" s="553">
        <v>230.64</v>
      </c>
      <c r="D208" s="553">
        <v>177.25480000000002</v>
      </c>
      <c r="E208" s="554">
        <f t="shared" si="23"/>
        <v>-53.385199999999969</v>
      </c>
    </row>
    <row r="209" spans="1:5" s="506" customFormat="1" x14ac:dyDescent="0.2">
      <c r="A209" s="512">
        <v>7</v>
      </c>
      <c r="B209" s="511" t="s">
        <v>729</v>
      </c>
      <c r="C209" s="553">
        <v>909.76459999999997</v>
      </c>
      <c r="D209" s="553">
        <v>933.01800000000003</v>
      </c>
      <c r="E209" s="554">
        <f t="shared" si="23"/>
        <v>23.253400000000056</v>
      </c>
    </row>
    <row r="210" spans="1:5" s="506" customFormat="1" x14ac:dyDescent="0.2">
      <c r="A210" s="512"/>
      <c r="B210" s="516" t="s">
        <v>794</v>
      </c>
      <c r="C210" s="555">
        <f>C204+C205+C208</f>
        <v>35784.145899999996</v>
      </c>
      <c r="D210" s="555">
        <f>D204+D205+D208</f>
        <v>39317.185600000004</v>
      </c>
      <c r="E210" s="556">
        <f t="shared" si="23"/>
        <v>3533.0397000000085</v>
      </c>
    </row>
    <row r="211" spans="1:5" s="506" customFormat="1" x14ac:dyDescent="0.2">
      <c r="A211" s="512"/>
      <c r="B211" s="516" t="s">
        <v>693</v>
      </c>
      <c r="C211" s="555">
        <f>C210+C203</f>
        <v>58043.800099999993</v>
      </c>
      <c r="D211" s="555">
        <f>D210+D203</f>
        <v>61340.995600000009</v>
      </c>
      <c r="E211" s="556">
        <f t="shared" si="23"/>
        <v>3297.1955000000162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795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622</v>
      </c>
      <c r="C215" s="557">
        <f>IF(C14*C137=0,0,C25/C14*C137)</f>
        <v>9087.0245833300742</v>
      </c>
      <c r="D215" s="557">
        <f>IF(D14*D137=0,0,D25/D14*D137)</f>
        <v>10258.861392321036</v>
      </c>
      <c r="E215" s="557">
        <f t="shared" ref="E215:E223" si="24">D215-C215</f>
        <v>1171.8368089909618</v>
      </c>
    </row>
    <row r="216" spans="1:5" s="506" customFormat="1" x14ac:dyDescent="0.2">
      <c r="A216" s="512">
        <v>2</v>
      </c>
      <c r="B216" s="511" t="s">
        <v>601</v>
      </c>
      <c r="C216" s="557">
        <f>IF(C15*C138=0,0,C26/C15*C138)</f>
        <v>4401.0903147142217</v>
      </c>
      <c r="D216" s="557">
        <f>IF(D15*D138=0,0,D26/D15*D138)</f>
        <v>4511.9896584663356</v>
      </c>
      <c r="E216" s="557">
        <f t="shared" si="24"/>
        <v>110.89934375211396</v>
      </c>
    </row>
    <row r="217" spans="1:5" s="506" customFormat="1" x14ac:dyDescent="0.2">
      <c r="A217" s="512">
        <v>3</v>
      </c>
      <c r="B217" s="511" t="s">
        <v>747</v>
      </c>
      <c r="C217" s="557">
        <f>C218+C219</f>
        <v>4082.4484474323717</v>
      </c>
      <c r="D217" s="557">
        <f>D218+D219</f>
        <v>4435.3949201119576</v>
      </c>
      <c r="E217" s="557">
        <f t="shared" si="24"/>
        <v>352.9464726795859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3270.6129893717052</v>
      </c>
      <c r="D218" s="557">
        <f t="shared" si="25"/>
        <v>3858.3449376559947</v>
      </c>
      <c r="E218" s="557">
        <f t="shared" si="24"/>
        <v>587.7319482842895</v>
      </c>
    </row>
    <row r="219" spans="1:5" s="506" customFormat="1" x14ac:dyDescent="0.2">
      <c r="A219" s="512">
        <v>5</v>
      </c>
      <c r="B219" s="511" t="s">
        <v>714</v>
      </c>
      <c r="C219" s="557">
        <f t="shared" si="25"/>
        <v>811.83545806066672</v>
      </c>
      <c r="D219" s="557">
        <f t="shared" si="25"/>
        <v>577.04998245596266</v>
      </c>
      <c r="E219" s="557">
        <f t="shared" si="24"/>
        <v>-234.78547560470406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44.168170835042503</v>
      </c>
      <c r="D220" s="557">
        <f t="shared" si="25"/>
        <v>80.291456094948927</v>
      </c>
      <c r="E220" s="557">
        <f t="shared" si="24"/>
        <v>36.123285259906424</v>
      </c>
    </row>
    <row r="221" spans="1:5" s="506" customFormat="1" x14ac:dyDescent="0.2">
      <c r="A221" s="512">
        <v>7</v>
      </c>
      <c r="B221" s="511" t="s">
        <v>729</v>
      </c>
      <c r="C221" s="557">
        <f t="shared" si="25"/>
        <v>970.04972134143134</v>
      </c>
      <c r="D221" s="557">
        <f t="shared" si="25"/>
        <v>952.32152420868795</v>
      </c>
      <c r="E221" s="557">
        <f t="shared" si="24"/>
        <v>-17.728197132743389</v>
      </c>
    </row>
    <row r="222" spans="1:5" s="506" customFormat="1" x14ac:dyDescent="0.2">
      <c r="A222" s="512"/>
      <c r="B222" s="516" t="s">
        <v>796</v>
      </c>
      <c r="C222" s="558">
        <f>C216+C218+C219+C220</f>
        <v>8527.7069329816368</v>
      </c>
      <c r="D222" s="558">
        <f>D216+D218+D219+D220</f>
        <v>9027.6760346732426</v>
      </c>
      <c r="E222" s="558">
        <f t="shared" si="24"/>
        <v>499.96910169160583</v>
      </c>
    </row>
    <row r="223" spans="1:5" s="506" customFormat="1" x14ac:dyDescent="0.2">
      <c r="A223" s="512"/>
      <c r="B223" s="516" t="s">
        <v>797</v>
      </c>
      <c r="C223" s="558">
        <f>C215+C222</f>
        <v>17614.731516311709</v>
      </c>
      <c r="D223" s="558">
        <f>D215+D222</f>
        <v>19286.537426994277</v>
      </c>
      <c r="E223" s="558">
        <f t="shared" si="24"/>
        <v>1671.8059106825676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798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622</v>
      </c>
      <c r="C227" s="560">
        <f t="shared" ref="C227:D235" si="26">IF(C203=0,0,C47/C203)</f>
        <v>9381.362851539714</v>
      </c>
      <c r="D227" s="560">
        <f t="shared" si="26"/>
        <v>9919.6970006552001</v>
      </c>
      <c r="E227" s="560">
        <f t="shared" ref="E227:E235" si="27">D227-C227</f>
        <v>538.33414911548607</v>
      </c>
    </row>
    <row r="228" spans="1:5" s="506" customFormat="1" x14ac:dyDescent="0.2">
      <c r="A228" s="512">
        <v>2</v>
      </c>
      <c r="B228" s="511" t="s">
        <v>601</v>
      </c>
      <c r="C228" s="560">
        <f t="shared" si="26"/>
        <v>8874.0047781907651</v>
      </c>
      <c r="D228" s="560">
        <f t="shared" si="26"/>
        <v>9076.929553389813</v>
      </c>
      <c r="E228" s="560">
        <f t="shared" si="27"/>
        <v>202.92477519904787</v>
      </c>
    </row>
    <row r="229" spans="1:5" s="506" customFormat="1" x14ac:dyDescent="0.2">
      <c r="A229" s="512">
        <v>3</v>
      </c>
      <c r="B229" s="511" t="s">
        <v>747</v>
      </c>
      <c r="C229" s="560">
        <f t="shared" si="26"/>
        <v>5965.4189123303477</v>
      </c>
      <c r="D229" s="560">
        <f t="shared" si="26"/>
        <v>7098.4954949412786</v>
      </c>
      <c r="E229" s="560">
        <f t="shared" si="27"/>
        <v>1133.0765826109309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6786.2809428711353</v>
      </c>
      <c r="D230" s="560">
        <f t="shared" si="26"/>
        <v>7583.4965309402287</v>
      </c>
      <c r="E230" s="560">
        <f t="shared" si="27"/>
        <v>797.21558806909343</v>
      </c>
    </row>
    <row r="231" spans="1:5" s="506" customFormat="1" x14ac:dyDescent="0.2">
      <c r="A231" s="512">
        <v>5</v>
      </c>
      <c r="B231" s="511" t="s">
        <v>714</v>
      </c>
      <c r="C231" s="560">
        <f t="shared" si="26"/>
        <v>3280.9972608135708</v>
      </c>
      <c r="D231" s="560">
        <f t="shared" si="26"/>
        <v>4480.8476953995405</v>
      </c>
      <c r="E231" s="560">
        <f t="shared" si="27"/>
        <v>1199.8504345859697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8334.378251821021</v>
      </c>
      <c r="D232" s="560">
        <f t="shared" si="26"/>
        <v>5065.9446175787616</v>
      </c>
      <c r="E232" s="560">
        <f t="shared" si="27"/>
        <v>-3268.4336342422594</v>
      </c>
    </row>
    <row r="233" spans="1:5" s="506" customFormat="1" x14ac:dyDescent="0.2">
      <c r="A233" s="512">
        <v>7</v>
      </c>
      <c r="B233" s="511" t="s">
        <v>729</v>
      </c>
      <c r="C233" s="560">
        <f t="shared" si="26"/>
        <v>1389.5583538862691</v>
      </c>
      <c r="D233" s="560">
        <f t="shared" si="26"/>
        <v>1132.9288395293552</v>
      </c>
      <c r="E233" s="560">
        <f t="shared" si="27"/>
        <v>-256.62951435691389</v>
      </c>
    </row>
    <row r="234" spans="1:5" x14ac:dyDescent="0.2">
      <c r="A234" s="512"/>
      <c r="B234" s="516" t="s">
        <v>799</v>
      </c>
      <c r="C234" s="561">
        <f t="shared" si="26"/>
        <v>8075.3746032541194</v>
      </c>
      <c r="D234" s="561">
        <f t="shared" si="26"/>
        <v>8535.919926069173</v>
      </c>
      <c r="E234" s="561">
        <f t="shared" si="27"/>
        <v>460.54532281505362</v>
      </c>
    </row>
    <row r="235" spans="1:5" s="506" customFormat="1" x14ac:dyDescent="0.2">
      <c r="A235" s="512"/>
      <c r="B235" s="516" t="s">
        <v>800</v>
      </c>
      <c r="C235" s="561">
        <f t="shared" si="26"/>
        <v>8576.2178758519985</v>
      </c>
      <c r="D235" s="561">
        <f t="shared" si="26"/>
        <v>9032.7498694853257</v>
      </c>
      <c r="E235" s="561">
        <f t="shared" si="27"/>
        <v>456.53199363332715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801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622</v>
      </c>
      <c r="C239" s="560">
        <f t="shared" ref="C239:D247" si="28">IF(C215=0,0,C58/C215)</f>
        <v>12166.50774807133</v>
      </c>
      <c r="D239" s="560">
        <f t="shared" si="28"/>
        <v>12924.63899543938</v>
      </c>
      <c r="E239" s="562">
        <f t="shared" ref="E239:E247" si="29">D239-C239</f>
        <v>758.13124736805003</v>
      </c>
    </row>
    <row r="240" spans="1:5" s="506" customFormat="1" x14ac:dyDescent="0.2">
      <c r="A240" s="512">
        <v>2</v>
      </c>
      <c r="B240" s="511" t="s">
        <v>601</v>
      </c>
      <c r="C240" s="560">
        <f t="shared" si="28"/>
        <v>12348.172637654412</v>
      </c>
      <c r="D240" s="560">
        <f t="shared" si="28"/>
        <v>13532.857480164274</v>
      </c>
      <c r="E240" s="562">
        <f t="shared" si="29"/>
        <v>1184.6848425098615</v>
      </c>
    </row>
    <row r="241" spans="1:5" x14ac:dyDescent="0.2">
      <c r="A241" s="512">
        <v>3</v>
      </c>
      <c r="B241" s="511" t="s">
        <v>747</v>
      </c>
      <c r="C241" s="560">
        <f t="shared" si="28"/>
        <v>6197.9450140794843</v>
      </c>
      <c r="D241" s="560">
        <f t="shared" si="28"/>
        <v>5877.8412000665612</v>
      </c>
      <c r="E241" s="562">
        <f t="shared" si="29"/>
        <v>-320.10381401292307</v>
      </c>
    </row>
    <row r="242" spans="1:5" x14ac:dyDescent="0.2">
      <c r="A242" s="512">
        <v>4</v>
      </c>
      <c r="B242" s="511" t="s">
        <v>114</v>
      </c>
      <c r="C242" s="560">
        <f t="shared" si="28"/>
        <v>6410.5719839471831</v>
      </c>
      <c r="D242" s="560">
        <f t="shared" si="28"/>
        <v>6074.760131280349</v>
      </c>
      <c r="E242" s="562">
        <f t="shared" si="29"/>
        <v>-335.81185266683406</v>
      </c>
    </row>
    <row r="243" spans="1:5" x14ac:dyDescent="0.2">
      <c r="A243" s="512">
        <v>5</v>
      </c>
      <c r="B243" s="511" t="s">
        <v>714</v>
      </c>
      <c r="C243" s="560">
        <f t="shared" si="28"/>
        <v>5341.3422103521352</v>
      </c>
      <c r="D243" s="560">
        <f t="shared" si="28"/>
        <v>4561.1768131383005</v>
      </c>
      <c r="E243" s="562">
        <f t="shared" si="29"/>
        <v>-780.16539721383469</v>
      </c>
    </row>
    <row r="244" spans="1:5" x14ac:dyDescent="0.2">
      <c r="A244" s="512">
        <v>6</v>
      </c>
      <c r="B244" s="511" t="s">
        <v>418</v>
      </c>
      <c r="C244" s="560">
        <f t="shared" si="28"/>
        <v>11710.514386745541</v>
      </c>
      <c r="D244" s="560">
        <f t="shared" si="28"/>
        <v>13599.454451401982</v>
      </c>
      <c r="E244" s="562">
        <f t="shared" si="29"/>
        <v>1888.9400646564409</v>
      </c>
    </row>
    <row r="245" spans="1:5" x14ac:dyDescent="0.2">
      <c r="A245" s="512">
        <v>7</v>
      </c>
      <c r="B245" s="511" t="s">
        <v>729</v>
      </c>
      <c r="C245" s="560">
        <f t="shared" si="28"/>
        <v>1821.5736380569072</v>
      </c>
      <c r="D245" s="560">
        <f t="shared" si="28"/>
        <v>1531.9468928440403</v>
      </c>
      <c r="E245" s="562">
        <f t="shared" si="29"/>
        <v>-289.62674521286681</v>
      </c>
    </row>
    <row r="246" spans="1:5" ht="25.5" x14ac:dyDescent="0.2">
      <c r="A246" s="512"/>
      <c r="B246" s="516" t="s">
        <v>802</v>
      </c>
      <c r="C246" s="561">
        <f t="shared" si="28"/>
        <v>9400.5864214157355</v>
      </c>
      <c r="D246" s="561">
        <f t="shared" si="28"/>
        <v>9772.4574587255029</v>
      </c>
      <c r="E246" s="563">
        <f t="shared" si="29"/>
        <v>371.87103730976742</v>
      </c>
    </row>
    <row r="247" spans="1:5" x14ac:dyDescent="0.2">
      <c r="A247" s="512"/>
      <c r="B247" s="516" t="s">
        <v>803</v>
      </c>
      <c r="C247" s="561">
        <f t="shared" si="28"/>
        <v>10827.460005472443</v>
      </c>
      <c r="D247" s="561">
        <f t="shared" si="28"/>
        <v>11449.160370846983</v>
      </c>
      <c r="E247" s="563">
        <f t="shared" si="29"/>
        <v>621.70036537453962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731</v>
      </c>
      <c r="B249" s="550" t="s">
        <v>728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19419593.823716789</v>
      </c>
      <c r="D251" s="546">
        <f>((IF((IF(D15=0,0,D26/D15)*D138)=0,0,D59/(IF(D15=0,0,D26/D15)*D138)))-(IF((IF(D17=0,0,D28/D17)*D140)=0,0,D61/(IF(D17=0,0,D28/D17)*D140))))*(IF(D17=0,0,D28/D17)*D140)</f>
        <v>28775912.150611885</v>
      </c>
      <c r="E251" s="546">
        <f>D251-C251</f>
        <v>9356318.3268950954</v>
      </c>
    </row>
    <row r="252" spans="1:5" x14ac:dyDescent="0.2">
      <c r="A252" s="512">
        <v>2</v>
      </c>
      <c r="B252" s="511" t="s">
        <v>714</v>
      </c>
      <c r="C252" s="546">
        <f>IF(C231=0,0,(C228-C231)*C207)+IF(C243=0,0,(C240-C243)*C219)</f>
        <v>18501409.836655762</v>
      </c>
      <c r="D252" s="546">
        <f>IF(D231=0,0,(D228-D231)*D207)+IF(D243=0,0,(D240-D243)*D219)</f>
        <v>12643306.646181852</v>
      </c>
      <c r="E252" s="546">
        <f>D252-C252</f>
        <v>-5858103.1904739104</v>
      </c>
    </row>
    <row r="253" spans="1:5" x14ac:dyDescent="0.2">
      <c r="A253" s="512">
        <v>3</v>
      </c>
      <c r="B253" s="511" t="s">
        <v>729</v>
      </c>
      <c r="C253" s="546">
        <f>IF(C233=0,0,(C228-C233)*C209+IF(C221=0,0,(C240-C245)*C221))</f>
        <v>17020408.833661359</v>
      </c>
      <c r="D253" s="546">
        <f>IF(D233=0,0,(D228-D233)*D209+IF(D221=0,0,(D240-D245)*D221))</f>
        <v>18840621.120453641</v>
      </c>
      <c r="E253" s="546">
        <f>D253-C253</f>
        <v>1820212.286792282</v>
      </c>
    </row>
    <row r="254" spans="1:5" ht="15" customHeight="1" x14ac:dyDescent="0.2">
      <c r="A254" s="512"/>
      <c r="B254" s="516" t="s">
        <v>730</v>
      </c>
      <c r="C254" s="564">
        <f>+C251+C252+C253</f>
        <v>54941412.494033918</v>
      </c>
      <c r="D254" s="564">
        <f>+D251+D252+D253</f>
        <v>60259839.917247377</v>
      </c>
      <c r="E254" s="564">
        <f>D254-C254</f>
        <v>5318427.4232134596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804</v>
      </c>
      <c r="B256" s="550" t="s">
        <v>805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696</v>
      </c>
      <c r="C258" s="546">
        <f>+C44</f>
        <v>1714431648</v>
      </c>
      <c r="D258" s="549">
        <f>+D44</f>
        <v>1901719123</v>
      </c>
      <c r="E258" s="546">
        <f t="shared" ref="E258:E271" si="30">D258-C258</f>
        <v>187287475</v>
      </c>
    </row>
    <row r="259" spans="1:5" x14ac:dyDescent="0.2">
      <c r="A259" s="512">
        <v>2</v>
      </c>
      <c r="B259" s="511" t="s">
        <v>713</v>
      </c>
      <c r="C259" s="546">
        <f>+(C43-C76)</f>
        <v>681709376</v>
      </c>
      <c r="D259" s="549">
        <f>+(D43-D76)</f>
        <v>758188733</v>
      </c>
      <c r="E259" s="546">
        <f t="shared" si="30"/>
        <v>76479357</v>
      </c>
    </row>
    <row r="260" spans="1:5" x14ac:dyDescent="0.2">
      <c r="A260" s="512">
        <v>3</v>
      </c>
      <c r="B260" s="511" t="s">
        <v>717</v>
      </c>
      <c r="C260" s="546">
        <f>C195</f>
        <v>47835187</v>
      </c>
      <c r="D260" s="546">
        <f>D195</f>
        <v>65331919</v>
      </c>
      <c r="E260" s="546">
        <f t="shared" si="30"/>
        <v>17496732</v>
      </c>
    </row>
    <row r="261" spans="1:5" x14ac:dyDescent="0.2">
      <c r="A261" s="512">
        <v>4</v>
      </c>
      <c r="B261" s="511" t="s">
        <v>718</v>
      </c>
      <c r="C261" s="546">
        <f>C188</f>
        <v>296368008</v>
      </c>
      <c r="D261" s="546">
        <f>D188</f>
        <v>303305941</v>
      </c>
      <c r="E261" s="546">
        <f t="shared" si="30"/>
        <v>6937933</v>
      </c>
    </row>
    <row r="262" spans="1:5" x14ac:dyDescent="0.2">
      <c r="A262" s="512">
        <v>5</v>
      </c>
      <c r="B262" s="511" t="s">
        <v>719</v>
      </c>
      <c r="C262" s="546">
        <f>C191</f>
        <v>10340167</v>
      </c>
      <c r="D262" s="546">
        <f>D191</f>
        <v>12426593</v>
      </c>
      <c r="E262" s="546">
        <f t="shared" si="30"/>
        <v>2086426</v>
      </c>
    </row>
    <row r="263" spans="1:5" x14ac:dyDescent="0.2">
      <c r="A263" s="512">
        <v>6</v>
      </c>
      <c r="B263" s="511" t="s">
        <v>720</v>
      </c>
      <c r="C263" s="546">
        <f>+C259+C260+C261+C262</f>
        <v>1036252738</v>
      </c>
      <c r="D263" s="546">
        <f>+D259+D260+D261+D262</f>
        <v>1139253186</v>
      </c>
      <c r="E263" s="546">
        <f t="shared" si="30"/>
        <v>103000448</v>
      </c>
    </row>
    <row r="264" spans="1:5" x14ac:dyDescent="0.2">
      <c r="A264" s="512">
        <v>7</v>
      </c>
      <c r="B264" s="511" t="s">
        <v>620</v>
      </c>
      <c r="C264" s="546">
        <f>+C258-C263</f>
        <v>678178910</v>
      </c>
      <c r="D264" s="546">
        <f>+D258-D263</f>
        <v>762465937</v>
      </c>
      <c r="E264" s="546">
        <f t="shared" si="30"/>
        <v>84287027</v>
      </c>
    </row>
    <row r="265" spans="1:5" x14ac:dyDescent="0.2">
      <c r="A265" s="512">
        <v>8</v>
      </c>
      <c r="B265" s="511" t="s">
        <v>806</v>
      </c>
      <c r="C265" s="565">
        <f>C192</f>
        <v>4364687</v>
      </c>
      <c r="D265" s="565">
        <f>D192</f>
        <v>3946217</v>
      </c>
      <c r="E265" s="546">
        <f t="shared" si="30"/>
        <v>-418470</v>
      </c>
    </row>
    <row r="266" spans="1:5" x14ac:dyDescent="0.2">
      <c r="A266" s="512">
        <v>9</v>
      </c>
      <c r="B266" s="511" t="s">
        <v>807</v>
      </c>
      <c r="C266" s="546">
        <f>+C264+C265</f>
        <v>682543597</v>
      </c>
      <c r="D266" s="546">
        <f>+D264+D265</f>
        <v>766412154</v>
      </c>
      <c r="E266" s="565">
        <f t="shared" si="30"/>
        <v>83868557</v>
      </c>
    </row>
    <row r="267" spans="1:5" x14ac:dyDescent="0.2">
      <c r="A267" s="512">
        <v>10</v>
      </c>
      <c r="B267" s="511" t="s">
        <v>808</v>
      </c>
      <c r="C267" s="566">
        <f>IF(C258=0,0,C266/C258)</f>
        <v>0.39811654071845504</v>
      </c>
      <c r="D267" s="566">
        <f>IF(D258=0,0,D266/D258)</f>
        <v>0.40301017365328351</v>
      </c>
      <c r="E267" s="567">
        <f t="shared" si="30"/>
        <v>4.8936329348284735E-3</v>
      </c>
    </row>
    <row r="268" spans="1:5" x14ac:dyDescent="0.2">
      <c r="A268" s="512">
        <v>11</v>
      </c>
      <c r="B268" s="511" t="s">
        <v>682</v>
      </c>
      <c r="C268" s="546">
        <f>+C260*C267</f>
        <v>19043979.17306041</v>
      </c>
      <c r="D268" s="568">
        <f>+D260*D267</f>
        <v>26329428.021292251</v>
      </c>
      <c r="E268" s="546">
        <f t="shared" si="30"/>
        <v>7285448.8482318409</v>
      </c>
    </row>
    <row r="269" spans="1:5" x14ac:dyDescent="0.2">
      <c r="A269" s="512">
        <v>12</v>
      </c>
      <c r="B269" s="511" t="s">
        <v>809</v>
      </c>
      <c r="C269" s="546">
        <f>((C17+C18+C28+C29)*C267)-(C50+C51+C61+C62)</f>
        <v>33245600.988328651</v>
      </c>
      <c r="D269" s="568">
        <f>((D17+D18+D28+D29)*D267)-(D50+D51+D61+D62)</f>
        <v>34386511.402994543</v>
      </c>
      <c r="E269" s="546">
        <f t="shared" si="30"/>
        <v>1140910.4146658927</v>
      </c>
    </row>
    <row r="270" spans="1:5" s="569" customFormat="1" x14ac:dyDescent="0.2">
      <c r="A270" s="570">
        <v>13</v>
      </c>
      <c r="B270" s="571" t="s">
        <v>810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811</v>
      </c>
      <c r="C271" s="546">
        <f>+C268+C269+C270</f>
        <v>52289580.16138906</v>
      </c>
      <c r="D271" s="546">
        <f>+D268+D269+D270</f>
        <v>60715939.424286798</v>
      </c>
      <c r="E271" s="549">
        <f t="shared" si="30"/>
        <v>8426359.2628977373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812</v>
      </c>
      <c r="B273" s="550" t="s">
        <v>813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814</v>
      </c>
      <c r="C275" s="340"/>
      <c r="D275" s="340"/>
      <c r="E275" s="520"/>
    </row>
    <row r="276" spans="1:5" x14ac:dyDescent="0.2">
      <c r="A276" s="512">
        <v>1</v>
      </c>
      <c r="B276" s="511" t="s">
        <v>622</v>
      </c>
      <c r="C276" s="547">
        <f t="shared" ref="C276:D284" si="31">IF(C14=0,0,+C47/C14)</f>
        <v>0.48655540454403595</v>
      </c>
      <c r="D276" s="547">
        <f t="shared" si="31"/>
        <v>0.49758433176644451</v>
      </c>
      <c r="E276" s="574">
        <f t="shared" ref="E276:E284" si="32">D276-C276</f>
        <v>1.1028927222408558E-2</v>
      </c>
    </row>
    <row r="277" spans="1:5" x14ac:dyDescent="0.2">
      <c r="A277" s="512">
        <v>2</v>
      </c>
      <c r="B277" s="511" t="s">
        <v>601</v>
      </c>
      <c r="C277" s="547">
        <f t="shared" si="31"/>
        <v>0.3918744208263098</v>
      </c>
      <c r="D277" s="547">
        <f t="shared" si="31"/>
        <v>0.39837022933595867</v>
      </c>
      <c r="E277" s="574">
        <f t="shared" si="32"/>
        <v>6.4958085096488705E-3</v>
      </c>
    </row>
    <row r="278" spans="1:5" x14ac:dyDescent="0.2">
      <c r="A278" s="512">
        <v>3</v>
      </c>
      <c r="B278" s="511" t="s">
        <v>747</v>
      </c>
      <c r="C278" s="547">
        <f t="shared" si="31"/>
        <v>0.29035735218168773</v>
      </c>
      <c r="D278" s="547">
        <f t="shared" si="31"/>
        <v>0.3281273472059083</v>
      </c>
      <c r="E278" s="574">
        <f t="shared" si="32"/>
        <v>3.7769995024220571E-2</v>
      </c>
    </row>
    <row r="279" spans="1:5" x14ac:dyDescent="0.2">
      <c r="A279" s="512">
        <v>4</v>
      </c>
      <c r="B279" s="511" t="s">
        <v>114</v>
      </c>
      <c r="C279" s="547">
        <f t="shared" si="31"/>
        <v>0.33526613204597761</v>
      </c>
      <c r="D279" s="547">
        <f t="shared" si="31"/>
        <v>0.33655425670130129</v>
      </c>
      <c r="E279" s="574">
        <f t="shared" si="32"/>
        <v>1.2881246553236858E-3</v>
      </c>
    </row>
    <row r="280" spans="1:5" x14ac:dyDescent="0.2">
      <c r="A280" s="512">
        <v>5</v>
      </c>
      <c r="B280" s="511" t="s">
        <v>714</v>
      </c>
      <c r="C280" s="547">
        <f t="shared" si="31"/>
        <v>0.15233527065208338</v>
      </c>
      <c r="D280" s="547">
        <f t="shared" si="31"/>
        <v>0.26704959774919762</v>
      </c>
      <c r="E280" s="574">
        <f t="shared" si="32"/>
        <v>0.11471432709711424</v>
      </c>
    </row>
    <row r="281" spans="1:5" x14ac:dyDescent="0.2">
      <c r="A281" s="512">
        <v>6</v>
      </c>
      <c r="B281" s="511" t="s">
        <v>418</v>
      </c>
      <c r="C281" s="547">
        <f t="shared" si="31"/>
        <v>0.28777527598710112</v>
      </c>
      <c r="D281" s="547">
        <f t="shared" si="31"/>
        <v>0.18742223900325664</v>
      </c>
      <c r="E281" s="574">
        <f t="shared" si="32"/>
        <v>-0.10035303698384448</v>
      </c>
    </row>
    <row r="282" spans="1:5" x14ac:dyDescent="0.2">
      <c r="A282" s="512">
        <v>7</v>
      </c>
      <c r="B282" s="511" t="s">
        <v>729</v>
      </c>
      <c r="C282" s="547">
        <f t="shared" si="31"/>
        <v>6.6294440174869892E-2</v>
      </c>
      <c r="D282" s="547">
        <f t="shared" si="31"/>
        <v>5.3382281429534495E-2</v>
      </c>
      <c r="E282" s="574">
        <f t="shared" si="32"/>
        <v>-1.2912158745335398E-2</v>
      </c>
    </row>
    <row r="283" spans="1:5" ht="29.25" customHeight="1" x14ac:dyDescent="0.2">
      <c r="A283" s="512"/>
      <c r="B283" s="516" t="s">
        <v>815</v>
      </c>
      <c r="C283" s="575">
        <f t="shared" si="31"/>
        <v>0.36520900760453573</v>
      </c>
      <c r="D283" s="575">
        <f t="shared" si="31"/>
        <v>0.37937661320706029</v>
      </c>
      <c r="E283" s="576">
        <f t="shared" si="32"/>
        <v>1.4167605602524558E-2</v>
      </c>
    </row>
    <row r="284" spans="1:5" x14ac:dyDescent="0.2">
      <c r="A284" s="512"/>
      <c r="B284" s="516" t="s">
        <v>816</v>
      </c>
      <c r="C284" s="575">
        <f t="shared" si="31"/>
        <v>0.40788295807809538</v>
      </c>
      <c r="D284" s="575">
        <f t="shared" si="31"/>
        <v>0.4185853865023077</v>
      </c>
      <c r="E284" s="576">
        <f t="shared" si="32"/>
        <v>1.0702428424212318E-2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817</v>
      </c>
      <c r="C286" s="520"/>
      <c r="D286" s="520"/>
      <c r="E286" s="520"/>
    </row>
    <row r="287" spans="1:5" x14ac:dyDescent="0.2">
      <c r="A287" s="512">
        <v>1</v>
      </c>
      <c r="B287" s="511" t="s">
        <v>622</v>
      </c>
      <c r="C287" s="547">
        <f t="shared" ref="C287:D295" si="33">IF(C25=0,0,+C58/C25)</f>
        <v>0.471673104117588</v>
      </c>
      <c r="D287" s="547">
        <f t="shared" si="33"/>
        <v>0.47246462423616775</v>
      </c>
      <c r="E287" s="574">
        <f t="shared" ref="E287:E295" si="34">D287-C287</f>
        <v>7.9152011857974713E-4</v>
      </c>
    </row>
    <row r="288" spans="1:5" x14ac:dyDescent="0.2">
      <c r="A288" s="512">
        <v>2</v>
      </c>
      <c r="B288" s="511" t="s">
        <v>601</v>
      </c>
      <c r="C288" s="547">
        <f t="shared" si="33"/>
        <v>0.3286679737726631</v>
      </c>
      <c r="D288" s="547">
        <f t="shared" si="33"/>
        <v>0.32682163046706314</v>
      </c>
      <c r="E288" s="574">
        <f t="shared" si="34"/>
        <v>-1.8463433055999623E-3</v>
      </c>
    </row>
    <row r="289" spans="1:5" x14ac:dyDescent="0.2">
      <c r="A289" s="512">
        <v>3</v>
      </c>
      <c r="B289" s="511" t="s">
        <v>747</v>
      </c>
      <c r="C289" s="547">
        <f t="shared" si="33"/>
        <v>0.27306571815754715</v>
      </c>
      <c r="D289" s="547">
        <f t="shared" si="33"/>
        <v>0.2408562732956806</v>
      </c>
      <c r="E289" s="574">
        <f t="shared" si="34"/>
        <v>-3.2209444861866554E-2</v>
      </c>
    </row>
    <row r="290" spans="1:5" x14ac:dyDescent="0.2">
      <c r="A290" s="512">
        <v>4</v>
      </c>
      <c r="B290" s="511" t="s">
        <v>114</v>
      </c>
      <c r="C290" s="547">
        <f t="shared" si="33"/>
        <v>0.293462554554551</v>
      </c>
      <c r="D290" s="547">
        <f t="shared" si="33"/>
        <v>0.24362624052721055</v>
      </c>
      <c r="E290" s="574">
        <f t="shared" si="34"/>
        <v>-4.9836314027340456E-2</v>
      </c>
    </row>
    <row r="291" spans="1:5" x14ac:dyDescent="0.2">
      <c r="A291" s="512">
        <v>5</v>
      </c>
      <c r="B291" s="511" t="s">
        <v>714</v>
      </c>
      <c r="C291" s="547">
        <f t="shared" si="33"/>
        <v>0.20438123233141248</v>
      </c>
      <c r="D291" s="547">
        <f t="shared" si="33"/>
        <v>0.21871192627555858</v>
      </c>
      <c r="E291" s="574">
        <f t="shared" si="34"/>
        <v>1.43306939441461E-2</v>
      </c>
    </row>
    <row r="292" spans="1:5" x14ac:dyDescent="0.2">
      <c r="A292" s="512">
        <v>6</v>
      </c>
      <c r="B292" s="511" t="s">
        <v>418</v>
      </c>
      <c r="C292" s="547">
        <f t="shared" si="33"/>
        <v>0.32608780625580802</v>
      </c>
      <c r="D292" s="547">
        <f t="shared" si="33"/>
        <v>0.47118586580489147</v>
      </c>
      <c r="E292" s="574">
        <f t="shared" si="34"/>
        <v>0.14509805954908345</v>
      </c>
    </row>
    <row r="293" spans="1:5" x14ac:dyDescent="0.2">
      <c r="A293" s="512">
        <v>7</v>
      </c>
      <c r="B293" s="511" t="s">
        <v>729</v>
      </c>
      <c r="C293" s="547">
        <f t="shared" si="33"/>
        <v>6.629449811233204E-2</v>
      </c>
      <c r="D293" s="547">
        <f t="shared" si="33"/>
        <v>5.3382299411227387E-2</v>
      </c>
      <c r="E293" s="574">
        <f t="shared" si="34"/>
        <v>-1.2912198701104653E-2</v>
      </c>
    </row>
    <row r="294" spans="1:5" ht="29.25" customHeight="1" x14ac:dyDescent="0.2">
      <c r="A294" s="512"/>
      <c r="B294" s="516" t="s">
        <v>818</v>
      </c>
      <c r="C294" s="575">
        <f t="shared" si="33"/>
        <v>0.30880537219513332</v>
      </c>
      <c r="D294" s="575">
        <f t="shared" si="33"/>
        <v>0.29665760386592938</v>
      </c>
      <c r="E294" s="576">
        <f t="shared" si="34"/>
        <v>-1.2147768329203945E-2</v>
      </c>
    </row>
    <row r="295" spans="1:5" x14ac:dyDescent="0.2">
      <c r="A295" s="512"/>
      <c r="B295" s="516" t="s">
        <v>819</v>
      </c>
      <c r="C295" s="575">
        <f t="shared" si="33"/>
        <v>0.38608430297397633</v>
      </c>
      <c r="D295" s="575">
        <f t="shared" si="33"/>
        <v>0.38201395103291741</v>
      </c>
      <c r="E295" s="576">
        <f t="shared" si="34"/>
        <v>-4.0703519410589251E-3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820</v>
      </c>
      <c r="B297" s="501" t="s">
        <v>821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822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620</v>
      </c>
      <c r="C301" s="514">
        <f>+C48+C47+C50+C51+C52+C59+C58+C61+C62+C63</f>
        <v>688519077</v>
      </c>
      <c r="D301" s="514">
        <f>+D48+D47+D50+D51+D52+D59+D58+D61+D62+D63</f>
        <v>774892530</v>
      </c>
      <c r="E301" s="514">
        <f>D301-C301</f>
        <v>86373453</v>
      </c>
    </row>
    <row r="302" spans="1:5" ht="25.5" x14ac:dyDescent="0.2">
      <c r="A302" s="512">
        <v>2</v>
      </c>
      <c r="B302" s="511" t="s">
        <v>823</v>
      </c>
      <c r="C302" s="546">
        <f>C265</f>
        <v>4364687</v>
      </c>
      <c r="D302" s="546">
        <f>D265</f>
        <v>3946217</v>
      </c>
      <c r="E302" s="514">
        <f>D302-C302</f>
        <v>-418470</v>
      </c>
    </row>
    <row r="303" spans="1:5" x14ac:dyDescent="0.2">
      <c r="A303" s="512"/>
      <c r="B303" s="516" t="s">
        <v>824</v>
      </c>
      <c r="C303" s="517">
        <f>+C301+C302</f>
        <v>692883764</v>
      </c>
      <c r="D303" s="517">
        <f>+D301+D302</f>
        <v>778838747</v>
      </c>
      <c r="E303" s="517">
        <f>D303-C303</f>
        <v>85954983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825</v>
      </c>
      <c r="C305" s="513">
        <v>14296570</v>
      </c>
      <c r="D305" s="578">
        <v>22154628</v>
      </c>
      <c r="E305" s="579">
        <f>D305-C305</f>
        <v>7858058</v>
      </c>
    </row>
    <row r="306" spans="1:5" x14ac:dyDescent="0.2">
      <c r="A306" s="512">
        <v>4</v>
      </c>
      <c r="B306" s="516" t="s">
        <v>826</v>
      </c>
      <c r="C306" s="580">
        <f>+C303+C305</f>
        <v>707180334</v>
      </c>
      <c r="D306" s="580">
        <f>+D303+D305</f>
        <v>800993375</v>
      </c>
      <c r="E306" s="580">
        <f>D306-C306</f>
        <v>93813041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827</v>
      </c>
      <c r="C308" s="513">
        <v>707180334</v>
      </c>
      <c r="D308" s="513">
        <v>800993375</v>
      </c>
      <c r="E308" s="514">
        <f>D308-C308</f>
        <v>93813041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828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829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830</v>
      </c>
      <c r="C314" s="514">
        <f>+C14+C15+C16+C19+C25+C26+C27+C30</f>
        <v>1714431648</v>
      </c>
      <c r="D314" s="514">
        <f>+D14+D15+D16+D19+D25+D26+D27+D30</f>
        <v>1901719123</v>
      </c>
      <c r="E314" s="514">
        <f>D314-C314</f>
        <v>187287475</v>
      </c>
    </row>
    <row r="315" spans="1:5" x14ac:dyDescent="0.2">
      <c r="A315" s="512">
        <v>2</v>
      </c>
      <c r="B315" s="583" t="s">
        <v>831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832</v>
      </c>
      <c r="C316" s="581">
        <f>C314+C315</f>
        <v>1714431648</v>
      </c>
      <c r="D316" s="581">
        <f>D314+D315</f>
        <v>1901719123</v>
      </c>
      <c r="E316" s="517">
        <f>D316-C316</f>
        <v>187287475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833</v>
      </c>
      <c r="C318" s="513">
        <v>1714431648</v>
      </c>
      <c r="D318" s="513">
        <v>1901719123</v>
      </c>
      <c r="E318" s="514">
        <f>D318-C318</f>
        <v>187287475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828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834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835</v>
      </c>
      <c r="C324" s="513">
        <f>+C193+C194</f>
        <v>47835187</v>
      </c>
      <c r="D324" s="513">
        <f>+D193+D194</f>
        <v>65331919</v>
      </c>
      <c r="E324" s="514">
        <f>D324-C324</f>
        <v>17496732</v>
      </c>
    </row>
    <row r="325" spans="1:5" x14ac:dyDescent="0.2">
      <c r="A325" s="512">
        <v>2</v>
      </c>
      <c r="B325" s="511" t="s">
        <v>836</v>
      </c>
      <c r="C325" s="513">
        <v>6257785</v>
      </c>
      <c r="D325" s="513">
        <v>2296537</v>
      </c>
      <c r="E325" s="514">
        <f>D325-C325</f>
        <v>-3961248</v>
      </c>
    </row>
    <row r="326" spans="1:5" x14ac:dyDescent="0.2">
      <c r="A326" s="512"/>
      <c r="B326" s="516" t="s">
        <v>837</v>
      </c>
      <c r="C326" s="581">
        <f>C324+C325</f>
        <v>54092972</v>
      </c>
      <c r="D326" s="581">
        <f>D324+D325</f>
        <v>67628456</v>
      </c>
      <c r="E326" s="517">
        <f>D326-C326</f>
        <v>13535484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838</v>
      </c>
      <c r="C328" s="513">
        <v>54092972</v>
      </c>
      <c r="D328" s="513">
        <v>67628456</v>
      </c>
      <c r="E328" s="514">
        <f>D328-C328</f>
        <v>13535484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839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FILING&amp;RHARTFORD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592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840</v>
      </c>
      <c r="B5" s="696"/>
      <c r="C5" s="697"/>
      <c r="D5" s="585"/>
    </row>
    <row r="6" spans="1:58" s="338" customFormat="1" ht="15.75" customHeight="1" x14ac:dyDescent="0.25">
      <c r="A6" s="695" t="s">
        <v>841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842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843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746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622</v>
      </c>
      <c r="C14" s="513">
        <v>439060292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601</v>
      </c>
      <c r="C15" s="515">
        <v>655024798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747</v>
      </c>
      <c r="C16" s="515">
        <v>224815172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197558048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714</v>
      </c>
      <c r="C18" s="515">
        <v>27257124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4791123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729</v>
      </c>
      <c r="C20" s="515">
        <v>19801383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748</v>
      </c>
      <c r="C21" s="517">
        <f>SUM(C15+C16+C19)</f>
        <v>884631093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688</v>
      </c>
      <c r="C22" s="517">
        <f>SUM(C14+C21)</f>
        <v>1323691385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749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622</v>
      </c>
      <c r="C25" s="513">
        <v>280639170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601</v>
      </c>
      <c r="C26" s="515">
        <v>186830085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747</v>
      </c>
      <c r="C27" s="515">
        <v>108241096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96206878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714</v>
      </c>
      <c r="C29" s="515">
        <v>12034218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2317387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729</v>
      </c>
      <c r="C31" s="518">
        <v>27329396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750</v>
      </c>
      <c r="C32" s="517">
        <f>SUM(C26+C27+C30)</f>
        <v>297388568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694</v>
      </c>
      <c r="C33" s="517">
        <f>SUM(C25+C32)</f>
        <v>578027738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619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844</v>
      </c>
      <c r="C36" s="514">
        <f>SUM(C14+C25)</f>
        <v>719699462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845</v>
      </c>
      <c r="C37" s="518">
        <f>SUM(C21+C32)</f>
        <v>1182019661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619</v>
      </c>
      <c r="C38" s="517">
        <f>SUM(+C36+C37)</f>
        <v>1901719123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759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622</v>
      </c>
      <c r="C41" s="513">
        <v>218469522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601</v>
      </c>
      <c r="C42" s="515">
        <v>260942379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747</v>
      </c>
      <c r="C43" s="515">
        <v>73768006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66489002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714</v>
      </c>
      <c r="C45" s="515">
        <v>7279004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897963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729</v>
      </c>
      <c r="C47" s="515">
        <v>1057043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760</v>
      </c>
      <c r="C48" s="517">
        <f>SUM(C42+C43+C46)</f>
        <v>335608348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689</v>
      </c>
      <c r="C49" s="517">
        <f>SUM(C41+C48)</f>
        <v>554077870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761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622</v>
      </c>
      <c r="C52" s="513">
        <v>132592080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601</v>
      </c>
      <c r="C53" s="515">
        <v>61060113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747</v>
      </c>
      <c r="C54" s="515">
        <v>26070547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23438520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714</v>
      </c>
      <c r="C56" s="515">
        <v>2632027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1091920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729</v>
      </c>
      <c r="C58" s="515">
        <v>1458906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762</v>
      </c>
      <c r="C59" s="517">
        <f>SUM(C53+C54+C57)</f>
        <v>88222580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695</v>
      </c>
      <c r="C60" s="517">
        <f>SUM(C52+C59)</f>
        <v>220814660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620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846</v>
      </c>
      <c r="C63" s="514">
        <f>SUM(C41+C52)</f>
        <v>351061602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847</v>
      </c>
      <c r="C64" s="518">
        <f>SUM(C48+C59)</f>
        <v>423830928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620</v>
      </c>
      <c r="C65" s="517">
        <f>SUM(+C63+C64)</f>
        <v>774892530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848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849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622</v>
      </c>
      <c r="C70" s="530">
        <v>16050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601</v>
      </c>
      <c r="C71" s="530">
        <v>15819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747</v>
      </c>
      <c r="C72" s="530">
        <v>9230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7923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714</v>
      </c>
      <c r="C74" s="530">
        <v>1307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166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729</v>
      </c>
      <c r="C76" s="545">
        <v>690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777</v>
      </c>
      <c r="C77" s="532">
        <f>SUM(C71+C72+C75)</f>
        <v>25215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691</v>
      </c>
      <c r="C78" s="596">
        <f>SUM(C70+C77)</f>
        <v>41265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782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622</v>
      </c>
      <c r="C81" s="541">
        <v>1.3722000000000001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601</v>
      </c>
      <c r="C82" s="541">
        <v>1.8172999999999999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747</v>
      </c>
      <c r="C83" s="541">
        <f>((C73*C84)+(C74*C85))/(C73+C74)</f>
        <v>1.1259005525460455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1.1066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714</v>
      </c>
      <c r="C85" s="541">
        <v>1.2428999999999999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1.0678000000000001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729</v>
      </c>
      <c r="C87" s="541">
        <v>1.3522000000000001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783</v>
      </c>
      <c r="C88" s="543">
        <f>((C71*C82)+(C73*C84)+(C74*C85)+(C75*C86))/(C71+C73+C74+C75)</f>
        <v>1.5592776363275829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692</v>
      </c>
      <c r="C89" s="543">
        <f>((C70*C81)+(C71*C82)+(C73*C84)+(C74*C85)+(C75*C86))/(C70+C71+C73+C74+C75)</f>
        <v>1.4865138882830489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784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785</v>
      </c>
      <c r="C92" s="513">
        <v>651518348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786</v>
      </c>
      <c r="C93" s="546">
        <v>348212407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634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718</v>
      </c>
      <c r="C95" s="513">
        <f>+C92-C93</f>
        <v>303305941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636</v>
      </c>
      <c r="C96" s="597">
        <f>(+C92-C93)/C92</f>
        <v>0.46553706726920913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733</v>
      </c>
      <c r="C98" s="513">
        <v>22538851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719</v>
      </c>
      <c r="C99" s="513">
        <v>12426593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850</v>
      </c>
      <c r="C101" s="513">
        <v>3946217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788</v>
      </c>
      <c r="C103" s="513">
        <v>27507152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789</v>
      </c>
      <c r="C104" s="513">
        <v>37824767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790</v>
      </c>
      <c r="C105" s="578">
        <f>+C103+C104</f>
        <v>65331919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791</v>
      </c>
      <c r="C107" s="513">
        <v>129170425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676</v>
      </c>
      <c r="C108" s="513">
        <v>920001155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821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822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620</v>
      </c>
      <c r="C114" s="514">
        <f>+C65</f>
        <v>774892530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823</v>
      </c>
      <c r="C115" s="546">
        <f>+C101</f>
        <v>3946217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824</v>
      </c>
      <c r="C116" s="517">
        <f>+C114+C115</f>
        <v>778838747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825</v>
      </c>
      <c r="C118" s="578">
        <v>22154628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826</v>
      </c>
      <c r="C119" s="580">
        <f>+C116+C118</f>
        <v>800993375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827</v>
      </c>
      <c r="C121" s="513">
        <v>800993375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828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829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830</v>
      </c>
      <c r="C127" s="514">
        <f>+C38</f>
        <v>1901719123</v>
      </c>
      <c r="D127" s="588"/>
      <c r="AR127" s="507"/>
    </row>
    <row r="128" spans="1:58" s="506" customFormat="1" x14ac:dyDescent="0.2">
      <c r="A128" s="512">
        <v>2</v>
      </c>
      <c r="B128" s="583" t="s">
        <v>831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832</v>
      </c>
      <c r="C129" s="581">
        <f>C127+C128</f>
        <v>1901719123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833</v>
      </c>
      <c r="C131" s="513">
        <v>1901719123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828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834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835</v>
      </c>
      <c r="C137" s="513">
        <f>C105</f>
        <v>65331919</v>
      </c>
      <c r="D137" s="588"/>
      <c r="AR137" s="507"/>
    </row>
    <row r="138" spans="1:44" s="506" customFormat="1" x14ac:dyDescent="0.2">
      <c r="A138" s="512">
        <v>2</v>
      </c>
      <c r="B138" s="511" t="s">
        <v>851</v>
      </c>
      <c r="C138" s="513">
        <v>2296537</v>
      </c>
      <c r="D138" s="588"/>
      <c r="AR138" s="507"/>
    </row>
    <row r="139" spans="1:44" s="506" customFormat="1" x14ac:dyDescent="0.2">
      <c r="A139" s="512"/>
      <c r="B139" s="516" t="s">
        <v>837</v>
      </c>
      <c r="C139" s="581">
        <f>C137+C138</f>
        <v>67628456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852</v>
      </c>
      <c r="C141" s="513">
        <v>67628456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839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FILING&amp;RHARTFORD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853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596</v>
      </c>
      <c r="D8" s="35" t="s">
        <v>596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598</v>
      </c>
      <c r="D9" s="607" t="s">
        <v>599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854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855</v>
      </c>
      <c r="C12" s="49">
        <v>12382</v>
      </c>
      <c r="D12" s="49">
        <v>11293</v>
      </c>
      <c r="E12" s="49">
        <f>+D12-C12</f>
        <v>-1089</v>
      </c>
      <c r="F12" s="70">
        <f>IF(C12=0,0,+E12/C12)</f>
        <v>-8.7950250363430793E-2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856</v>
      </c>
      <c r="C13" s="49">
        <v>11763</v>
      </c>
      <c r="D13" s="49">
        <v>10728</v>
      </c>
      <c r="E13" s="49">
        <f>+D13-C13</f>
        <v>-1035</v>
      </c>
      <c r="F13" s="70">
        <f>IF(C13=0,0,+E13/C13)</f>
        <v>-8.7987758224942619E-2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857</v>
      </c>
      <c r="C15" s="51">
        <v>23984656</v>
      </c>
      <c r="D15" s="51">
        <v>27507152</v>
      </c>
      <c r="E15" s="51">
        <f>+D15-C15</f>
        <v>3522496</v>
      </c>
      <c r="F15" s="70">
        <f>IF(C15=0,0,+E15/C15)</f>
        <v>0.14686456207668769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858</v>
      </c>
      <c r="C16" s="27">
        <f>IF(C13=0,0,+C15/+C13)</f>
        <v>2038.9914137549945</v>
      </c>
      <c r="D16" s="27">
        <f>IF(D13=0,0,+D15/+D13)</f>
        <v>2564.0521998508575</v>
      </c>
      <c r="E16" s="27">
        <f>+D16-C16</f>
        <v>525.06078609586302</v>
      </c>
      <c r="F16" s="28">
        <f>IF(C16=0,0,+E16/C16)</f>
        <v>0.25751005254549564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859</v>
      </c>
      <c r="C18" s="210">
        <v>0.47872900000000002</v>
      </c>
      <c r="D18" s="210">
        <v>0.44865899999999997</v>
      </c>
      <c r="E18" s="210">
        <f>+D18-C18</f>
        <v>-3.0070000000000041E-2</v>
      </c>
      <c r="F18" s="70">
        <f>IF(C18=0,0,+E18/C18)</f>
        <v>-6.2812154684591989E-2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860</v>
      </c>
      <c r="C19" s="27">
        <f>+C15*C18</f>
        <v>11482150.382224001</v>
      </c>
      <c r="D19" s="27">
        <f>+D15*D18</f>
        <v>12341331.309168</v>
      </c>
      <c r="E19" s="27">
        <f>+D19-C19</f>
        <v>859180.92694399878</v>
      </c>
      <c r="F19" s="28">
        <f>IF(C19=0,0,+E19/C19)</f>
        <v>7.4827527801249918E-2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861</v>
      </c>
      <c r="C20" s="27">
        <f>IF(C13=0,0,+C19/C13)</f>
        <v>976.1243205155148</v>
      </c>
      <c r="D20" s="27">
        <f>IF(D13=0,0,+D19/D13)</f>
        <v>1150.3850959328859</v>
      </c>
      <c r="E20" s="27">
        <f>+D20-C20</f>
        <v>174.26077541737106</v>
      </c>
      <c r="F20" s="28">
        <f>IF(C20=0,0,+E20/C20)</f>
        <v>0.17852313660757857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862</v>
      </c>
      <c r="C22" s="51">
        <v>13785970</v>
      </c>
      <c r="D22" s="51">
        <v>17294944</v>
      </c>
      <c r="E22" s="51">
        <f>+D22-C22</f>
        <v>3508974</v>
      </c>
      <c r="F22" s="70">
        <f>IF(C22=0,0,+E22/C22)</f>
        <v>0.25453225271779933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863</v>
      </c>
      <c r="C23" s="49">
        <v>6466196</v>
      </c>
      <c r="D23" s="49">
        <v>6588371</v>
      </c>
      <c r="E23" s="49">
        <f>+D23-C23</f>
        <v>122175</v>
      </c>
      <c r="F23" s="70">
        <f>IF(C23=0,0,+E23/C23)</f>
        <v>1.8894416438969681E-2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864</v>
      </c>
      <c r="C24" s="49">
        <v>3732490</v>
      </c>
      <c r="D24" s="49">
        <v>3623837</v>
      </c>
      <c r="E24" s="49">
        <f>+D24-C24</f>
        <v>-108653</v>
      </c>
      <c r="F24" s="70">
        <f>IF(C24=0,0,+E24/C24)</f>
        <v>-2.9110057897007092E-2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857</v>
      </c>
      <c r="C25" s="27">
        <f>+C22+C23+C24</f>
        <v>23984656</v>
      </c>
      <c r="D25" s="27">
        <f>+D22+D23+D24</f>
        <v>27507152</v>
      </c>
      <c r="E25" s="27">
        <f>+E22+E23+E24</f>
        <v>3522496</v>
      </c>
      <c r="F25" s="28">
        <f>IF(C25=0,0,+E25/C25)</f>
        <v>0.14686456207668769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865</v>
      </c>
      <c r="C27" s="49">
        <v>2139</v>
      </c>
      <c r="D27" s="49">
        <v>2425</v>
      </c>
      <c r="E27" s="49">
        <f>+D27-C27</f>
        <v>286</v>
      </c>
      <c r="F27" s="70">
        <f>IF(C27=0,0,+E27/C27)</f>
        <v>0.13370733987844788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866</v>
      </c>
      <c r="C28" s="49">
        <v>437</v>
      </c>
      <c r="D28" s="49">
        <v>408</v>
      </c>
      <c r="E28" s="49">
        <f>+D28-C28</f>
        <v>-29</v>
      </c>
      <c r="F28" s="70">
        <f>IF(C28=0,0,+E28/C28)</f>
        <v>-6.6361556064073221E-2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867</v>
      </c>
      <c r="C29" s="49">
        <v>7139</v>
      </c>
      <c r="D29" s="49">
        <v>7422</v>
      </c>
      <c r="E29" s="49">
        <f>+D29-C29</f>
        <v>283</v>
      </c>
      <c r="F29" s="70">
        <f>IF(C29=0,0,+E29/C29)</f>
        <v>3.9641406359434098E-2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868</v>
      </c>
      <c r="C30" s="49">
        <v>11953</v>
      </c>
      <c r="D30" s="49">
        <v>11907</v>
      </c>
      <c r="E30" s="49">
        <f>+D30-C30</f>
        <v>-46</v>
      </c>
      <c r="F30" s="70">
        <f>IF(C30=0,0,+E30/C30)</f>
        <v>-3.8484062578432194E-3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869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870</v>
      </c>
      <c r="C33" s="51">
        <v>10541182</v>
      </c>
      <c r="D33" s="51">
        <v>17445641</v>
      </c>
      <c r="E33" s="51">
        <f>+D33-C33</f>
        <v>6904459</v>
      </c>
      <c r="F33" s="70">
        <f>IF(C33=0,0,+E33/C33)</f>
        <v>0.65499855708781041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871</v>
      </c>
      <c r="C34" s="49">
        <v>4135605</v>
      </c>
      <c r="D34" s="49">
        <v>6280347</v>
      </c>
      <c r="E34" s="49">
        <f>+D34-C34</f>
        <v>2144742</v>
      </c>
      <c r="F34" s="70">
        <f>IF(C34=0,0,+E34/C34)</f>
        <v>0.51860417036926887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872</v>
      </c>
      <c r="C35" s="49">
        <v>9173744</v>
      </c>
      <c r="D35" s="49">
        <v>14098779</v>
      </c>
      <c r="E35" s="49">
        <f>+D35-C35</f>
        <v>4925035</v>
      </c>
      <c r="F35" s="70">
        <f>IF(C35=0,0,+E35/C35)</f>
        <v>0.5368620489082756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873</v>
      </c>
      <c r="C36" s="27">
        <f>+C33+C34+C35</f>
        <v>23850531</v>
      </c>
      <c r="D36" s="27">
        <f>+D33+D34+D35</f>
        <v>37824767</v>
      </c>
      <c r="E36" s="27">
        <f>+E33+E34+E35</f>
        <v>13974236</v>
      </c>
      <c r="F36" s="28">
        <f>IF(C36=0,0,+E36/C36)</f>
        <v>0.58590880010176716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874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875</v>
      </c>
      <c r="C39" s="51">
        <f>+C25</f>
        <v>23984656</v>
      </c>
      <c r="D39" s="51">
        <f>+D25</f>
        <v>27507152</v>
      </c>
      <c r="E39" s="51">
        <f>+D39-C39</f>
        <v>3522496</v>
      </c>
      <c r="F39" s="70">
        <f>IF(C39=0,0,+E39/C39)</f>
        <v>0.14686456207668769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876</v>
      </c>
      <c r="C40" s="49">
        <f>+C36</f>
        <v>23850531</v>
      </c>
      <c r="D40" s="49">
        <f>+D36</f>
        <v>37824767</v>
      </c>
      <c r="E40" s="49">
        <f>+D40-C40</f>
        <v>13974236</v>
      </c>
      <c r="F40" s="70">
        <f>IF(C40=0,0,+E40/C40)</f>
        <v>0.58590880010176716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877</v>
      </c>
      <c r="C41" s="27">
        <f>+C39+C40</f>
        <v>47835187</v>
      </c>
      <c r="D41" s="27">
        <f>+D39+D40</f>
        <v>65331919</v>
      </c>
      <c r="E41" s="27">
        <f>+E39+E40</f>
        <v>17496732</v>
      </c>
      <c r="F41" s="28">
        <f>IF(C41=0,0,+E41/C41)</f>
        <v>0.36577116339066468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878</v>
      </c>
      <c r="C43" s="51">
        <f t="shared" ref="C43:D45" si="0">+C22+C33</f>
        <v>24327152</v>
      </c>
      <c r="D43" s="51">
        <f t="shared" si="0"/>
        <v>34740585</v>
      </c>
      <c r="E43" s="51">
        <f>+D43-C43</f>
        <v>10413433</v>
      </c>
      <c r="F43" s="70">
        <f>IF(C43=0,0,+E43/C43)</f>
        <v>0.42805803983959978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879</v>
      </c>
      <c r="C44" s="49">
        <f t="shared" si="0"/>
        <v>10601801</v>
      </c>
      <c r="D44" s="49">
        <f t="shared" si="0"/>
        <v>12868718</v>
      </c>
      <c r="E44" s="49">
        <f>+D44-C44</f>
        <v>2266917</v>
      </c>
      <c r="F44" s="70">
        <f>IF(C44=0,0,+E44/C44)</f>
        <v>0.21382376447171569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880</v>
      </c>
      <c r="C45" s="49">
        <f t="shared" si="0"/>
        <v>12906234</v>
      </c>
      <c r="D45" s="49">
        <f t="shared" si="0"/>
        <v>17722616</v>
      </c>
      <c r="E45" s="49">
        <f>+D45-C45</f>
        <v>4816382</v>
      </c>
      <c r="F45" s="70">
        <f>IF(C45=0,0,+E45/C45)</f>
        <v>0.37318260307383239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877</v>
      </c>
      <c r="C46" s="27">
        <f>+C43+C44+C45</f>
        <v>47835187</v>
      </c>
      <c r="D46" s="27">
        <f>+D43+D44+D45</f>
        <v>65331919</v>
      </c>
      <c r="E46" s="27">
        <f>+E43+E44+E45</f>
        <v>17496732</v>
      </c>
      <c r="F46" s="28">
        <f>IF(C46=0,0,+E46/C46)</f>
        <v>0.36577116339066468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881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FILING&amp;RHARTFORD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592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593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882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883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598</v>
      </c>
      <c r="D9" s="35" t="s">
        <v>599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884</v>
      </c>
      <c r="D10" s="35" t="s">
        <v>884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885</v>
      </c>
      <c r="D11" s="605" t="s">
        <v>885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886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599039787</v>
      </c>
      <c r="D15" s="51">
        <v>651518348</v>
      </c>
      <c r="E15" s="51">
        <f>+D15-C15</f>
        <v>52478561</v>
      </c>
      <c r="F15" s="70">
        <f>+E15/C15</f>
        <v>8.760446657944608E-2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887</v>
      </c>
      <c r="C17" s="51">
        <v>296368008</v>
      </c>
      <c r="D17" s="51">
        <v>303305941</v>
      </c>
      <c r="E17" s="51">
        <f>+D17-C17</f>
        <v>6937933</v>
      </c>
      <c r="F17" s="70">
        <f>+E17/C17</f>
        <v>2.3409858057283971E-2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888</v>
      </c>
      <c r="C19" s="27">
        <f>+C15-C17</f>
        <v>302671779</v>
      </c>
      <c r="D19" s="27">
        <f>+D15-D17</f>
        <v>348212407</v>
      </c>
      <c r="E19" s="27">
        <f>+D19-C19</f>
        <v>45540628</v>
      </c>
      <c r="F19" s="28">
        <f>+E19/C19</f>
        <v>0.15046208850544998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889</v>
      </c>
      <c r="C21" s="628">
        <f>+C17/C15</f>
        <v>0.49473843713155569</v>
      </c>
      <c r="D21" s="628">
        <f>+D17/D15</f>
        <v>0.46553706726920913</v>
      </c>
      <c r="E21" s="628">
        <f>+D21-C21</f>
        <v>-2.920136986234656E-2</v>
      </c>
      <c r="F21" s="28">
        <f>+E21/C21</f>
        <v>-5.9023855174166778E-2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890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FILING&amp;R&amp;12HARTFORD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3" width="20.5703125" customWidth="1"/>
    <col min="4" max="4" width="19.85546875" customWidth="1"/>
    <col min="5" max="5" width="20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891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892</v>
      </c>
      <c r="B6" s="632" t="s">
        <v>893</v>
      </c>
      <c r="C6" s="632" t="s">
        <v>894</v>
      </c>
      <c r="D6" s="632" t="s">
        <v>895</v>
      </c>
      <c r="E6" s="632" t="s">
        <v>896</v>
      </c>
    </row>
    <row r="7" spans="1:6" ht="37.5" customHeight="1" x14ac:dyDescent="0.25">
      <c r="A7" s="633" t="s">
        <v>8</v>
      </c>
      <c r="B7" s="634" t="s">
        <v>897</v>
      </c>
      <c r="C7" s="631" t="s">
        <v>898</v>
      </c>
      <c r="D7" s="631" t="s">
        <v>899</v>
      </c>
      <c r="E7" s="631" t="s">
        <v>900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901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902</v>
      </c>
      <c r="C10" s="641">
        <v>1115172714</v>
      </c>
      <c r="D10" s="641">
        <v>1220439016</v>
      </c>
      <c r="E10" s="641">
        <v>1323691385</v>
      </c>
    </row>
    <row r="11" spans="1:6" ht="26.1" customHeight="1" x14ac:dyDescent="0.25">
      <c r="A11" s="639">
        <v>2</v>
      </c>
      <c r="B11" s="640" t="s">
        <v>903</v>
      </c>
      <c r="C11" s="641">
        <v>440699072</v>
      </c>
      <c r="D11" s="641">
        <v>493992632</v>
      </c>
      <c r="E11" s="641">
        <v>578027738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1555871786</v>
      </c>
      <c r="D12" s="641">
        <f>+D11+D10</f>
        <v>1714431648</v>
      </c>
      <c r="E12" s="641">
        <f>+E11+E10</f>
        <v>1901719123</v>
      </c>
    </row>
    <row r="13" spans="1:6" ht="26.1" customHeight="1" x14ac:dyDescent="0.25">
      <c r="A13" s="639">
        <v>4</v>
      </c>
      <c r="B13" s="640" t="s">
        <v>484</v>
      </c>
      <c r="C13" s="641">
        <v>639563211</v>
      </c>
      <c r="D13" s="641">
        <v>717211741</v>
      </c>
      <c r="E13" s="641">
        <v>794806049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904</v>
      </c>
      <c r="C16" s="641">
        <v>779129428</v>
      </c>
      <c r="D16" s="641">
        <v>824454105</v>
      </c>
      <c r="E16" s="641">
        <v>920001155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905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212013</v>
      </c>
      <c r="D19" s="644">
        <v>215958</v>
      </c>
      <c r="E19" s="644">
        <v>220114</v>
      </c>
    </row>
    <row r="20" spans="1:5" ht="26.1" customHeight="1" x14ac:dyDescent="0.25">
      <c r="A20" s="639">
        <v>2</v>
      </c>
      <c r="B20" s="640" t="s">
        <v>373</v>
      </c>
      <c r="C20" s="645">
        <v>39840</v>
      </c>
      <c r="D20" s="645">
        <v>41188</v>
      </c>
      <c r="E20" s="645">
        <v>41265</v>
      </c>
    </row>
    <row r="21" spans="1:5" ht="26.1" customHeight="1" x14ac:dyDescent="0.25">
      <c r="A21" s="639">
        <v>3</v>
      </c>
      <c r="B21" s="640" t="s">
        <v>906</v>
      </c>
      <c r="C21" s="646">
        <f>IF(C20=0,0,+C19/C20)</f>
        <v>5.3216114457831329</v>
      </c>
      <c r="D21" s="646">
        <f>IF(D20=0,0,+D19/D20)</f>
        <v>5.2432261823832187</v>
      </c>
      <c r="E21" s="646">
        <f>IF(E20=0,0,+E19/E20)</f>
        <v>5.3341572761420091</v>
      </c>
    </row>
    <row r="22" spans="1:5" ht="26.1" customHeight="1" x14ac:dyDescent="0.25">
      <c r="A22" s="639">
        <v>4</v>
      </c>
      <c r="B22" s="640" t="s">
        <v>907</v>
      </c>
      <c r="C22" s="645">
        <f>IF(C10=0,0,C19*(C12/C10))</f>
        <v>295797.27052505518</v>
      </c>
      <c r="D22" s="645">
        <f>IF(D10=0,0,D19*(D12/D10))</f>
        <v>303370.52895298786</v>
      </c>
      <c r="E22" s="645">
        <f>IF(E10=0,0,E19*(E12/E10))</f>
        <v>316233.07954068313</v>
      </c>
    </row>
    <row r="23" spans="1:5" ht="26.1" customHeight="1" x14ac:dyDescent="0.25">
      <c r="A23" s="639">
        <v>0</v>
      </c>
      <c r="B23" s="640" t="s">
        <v>908</v>
      </c>
      <c r="C23" s="645">
        <f>IF(C10=0,0,C20*(C12/C10))</f>
        <v>55584.15407412847</v>
      </c>
      <c r="D23" s="645">
        <f>IF(D10=0,0,D20*(D12/D10))</f>
        <v>57859.515954563678</v>
      </c>
      <c r="E23" s="645">
        <f>IF(E10=0,0,E20*(E12/E10))</f>
        <v>59284.543587624088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909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1.3965774347389557</v>
      </c>
      <c r="D26" s="647">
        <v>1.409240557929494</v>
      </c>
      <c r="E26" s="647">
        <v>1.4865138882830486</v>
      </c>
    </row>
    <row r="27" spans="1:5" ht="26.1" customHeight="1" x14ac:dyDescent="0.25">
      <c r="A27" s="639">
        <v>2</v>
      </c>
      <c r="B27" s="640" t="s">
        <v>910</v>
      </c>
      <c r="C27" s="645">
        <f>C19*C26</f>
        <v>296092.57167131023</v>
      </c>
      <c r="D27" s="645">
        <f>D19*D26</f>
        <v>304336.77240933769</v>
      </c>
      <c r="E27" s="645">
        <f>E19*E26</f>
        <v>327202.51800553495</v>
      </c>
    </row>
    <row r="28" spans="1:5" ht="26.1" customHeight="1" x14ac:dyDescent="0.25">
      <c r="A28" s="639">
        <v>3</v>
      </c>
      <c r="B28" s="640" t="s">
        <v>911</v>
      </c>
      <c r="C28" s="645">
        <f>C20*C26</f>
        <v>55639.644999999997</v>
      </c>
      <c r="D28" s="645">
        <f>D20*D26</f>
        <v>58043.8001</v>
      </c>
      <c r="E28" s="645">
        <f>E20*E26</f>
        <v>61340.995600000002</v>
      </c>
    </row>
    <row r="29" spans="1:5" ht="26.1" customHeight="1" x14ac:dyDescent="0.25">
      <c r="A29" s="639">
        <v>4</v>
      </c>
      <c r="B29" s="640" t="s">
        <v>912</v>
      </c>
      <c r="C29" s="645">
        <f>C22*C26</f>
        <v>413103.79327266646</v>
      </c>
      <c r="D29" s="645">
        <f>D22*D26</f>
        <v>427522.05348107434</v>
      </c>
      <c r="E29" s="645">
        <f>E22*E26</f>
        <v>470084.86467174347</v>
      </c>
    </row>
    <row r="30" spans="1:5" ht="26.1" customHeight="1" x14ac:dyDescent="0.25">
      <c r="A30" s="639">
        <v>5</v>
      </c>
      <c r="B30" s="640" t="s">
        <v>913</v>
      </c>
      <c r="C30" s="645">
        <f>C23*C26</f>
        <v>77627.575308981206</v>
      </c>
      <c r="D30" s="645">
        <f>D23*D26</f>
        <v>81537.97654533977</v>
      </c>
      <c r="E30" s="645">
        <f>E23*E26</f>
        <v>88127.297403524964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914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915</v>
      </c>
      <c r="C33" s="641">
        <f>IF(C19=0,0,C12/C19)</f>
        <v>7338.567851971341</v>
      </c>
      <c r="D33" s="641">
        <f>IF(D19=0,0,D12/D19)</f>
        <v>7938.7271969549638</v>
      </c>
      <c r="E33" s="641">
        <f>IF(E19=0,0,E12/E19)</f>
        <v>8639.7008958993974</v>
      </c>
    </row>
    <row r="34" spans="1:5" ht="26.1" customHeight="1" x14ac:dyDescent="0.25">
      <c r="A34" s="639">
        <v>2</v>
      </c>
      <c r="B34" s="640" t="s">
        <v>916</v>
      </c>
      <c r="C34" s="641">
        <f>IF(C20=0,0,C12/C20)</f>
        <v>39053.006676706827</v>
      </c>
      <c r="D34" s="641">
        <f>IF(D20=0,0,D12/D20)</f>
        <v>41624.542293872</v>
      </c>
      <c r="E34" s="641">
        <f>IF(E20=0,0,E12/E20)</f>
        <v>46085.523397552402</v>
      </c>
    </row>
    <row r="35" spans="1:5" ht="26.1" customHeight="1" x14ac:dyDescent="0.25">
      <c r="A35" s="639">
        <v>3</v>
      </c>
      <c r="B35" s="640" t="s">
        <v>917</v>
      </c>
      <c r="C35" s="641">
        <f>IF(C22=0,0,C12/C22)</f>
        <v>5259.9261083046795</v>
      </c>
      <c r="D35" s="641">
        <f>IF(D22=0,0,D12/D22)</f>
        <v>5651.2794895303714</v>
      </c>
      <c r="E35" s="641">
        <f>IF(E22=0,0,E12/E22)</f>
        <v>6013.6628519767028</v>
      </c>
    </row>
    <row r="36" spans="1:5" ht="26.1" customHeight="1" x14ac:dyDescent="0.25">
      <c r="A36" s="639">
        <v>4</v>
      </c>
      <c r="B36" s="640" t="s">
        <v>918</v>
      </c>
      <c r="C36" s="641">
        <f>IF(C23=0,0,C12/C23)</f>
        <v>27991.28298192771</v>
      </c>
      <c r="D36" s="641">
        <f>IF(D23=0,0,D12/D23)</f>
        <v>29630.936583470917</v>
      </c>
      <c r="E36" s="641">
        <f>IF(E23=0,0,E12/E23)</f>
        <v>32077.823458136438</v>
      </c>
    </row>
    <row r="37" spans="1:5" ht="26.1" customHeight="1" x14ac:dyDescent="0.25">
      <c r="A37" s="639">
        <v>5</v>
      </c>
      <c r="B37" s="640" t="s">
        <v>919</v>
      </c>
      <c r="C37" s="641">
        <f>IF(C29=0,0,C12/C29)</f>
        <v>3766.2975052205752</v>
      </c>
      <c r="D37" s="641">
        <f>IF(D29=0,0,D12/D29)</f>
        <v>4010.1595556073339</v>
      </c>
      <c r="E37" s="641">
        <f>IF(E29=0,0,E12/E29)</f>
        <v>4045.4804353846944</v>
      </c>
    </row>
    <row r="38" spans="1:5" ht="26.1" customHeight="1" x14ac:dyDescent="0.25">
      <c r="A38" s="639">
        <v>6</v>
      </c>
      <c r="B38" s="640" t="s">
        <v>920</v>
      </c>
      <c r="C38" s="641">
        <f>IF(C30=0,0,C12/C30)</f>
        <v>20042.771912006272</v>
      </c>
      <c r="D38" s="641">
        <f>IF(D30=0,0,D12/D30)</f>
        <v>21026.173577494632</v>
      </c>
      <c r="E38" s="641">
        <f>IF(E30=0,0,E12/E30)</f>
        <v>21579.228899897411</v>
      </c>
    </row>
    <row r="39" spans="1:5" ht="26.1" customHeight="1" x14ac:dyDescent="0.25">
      <c r="A39" s="639">
        <v>7</v>
      </c>
      <c r="B39" s="640" t="s">
        <v>921</v>
      </c>
      <c r="C39" s="641">
        <f>IF(C22=0,0,C10/C22)</f>
        <v>3770.0574857249758</v>
      </c>
      <c r="D39" s="641">
        <f>IF(D22=0,0,D10/D22)</f>
        <v>4022.9320237930119</v>
      </c>
      <c r="E39" s="641">
        <f>IF(E22=0,0,E10/E22)</f>
        <v>4185.809362267265</v>
      </c>
    </row>
    <row r="40" spans="1:5" ht="26.1" customHeight="1" x14ac:dyDescent="0.25">
      <c r="A40" s="639">
        <v>8</v>
      </c>
      <c r="B40" s="640" t="s">
        <v>922</v>
      </c>
      <c r="C40" s="641">
        <f>IF(C23=0,0,C10/C23)</f>
        <v>20062.781067294407</v>
      </c>
      <c r="D40" s="641">
        <f>IF(D23=0,0,D10/D23)</f>
        <v>21093.14251709943</v>
      </c>
      <c r="E40" s="641">
        <f>IF(E23=0,0,E10/E23)</f>
        <v>22327.765466281275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923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924</v>
      </c>
      <c r="C43" s="641">
        <f>IF(C19=0,0,C13/C19)</f>
        <v>3016.6226174810035</v>
      </c>
      <c r="D43" s="641">
        <f>IF(D19=0,0,D13/D19)</f>
        <v>3321.0704905583493</v>
      </c>
      <c r="E43" s="641">
        <f>IF(E19=0,0,E13/E19)</f>
        <v>3610.8836739144263</v>
      </c>
    </row>
    <row r="44" spans="1:5" ht="26.1" customHeight="1" x14ac:dyDescent="0.25">
      <c r="A44" s="639">
        <v>2</v>
      </c>
      <c r="B44" s="640" t="s">
        <v>925</v>
      </c>
      <c r="C44" s="641">
        <f>IF(C20=0,0,C13/C20)</f>
        <v>16053.293448795181</v>
      </c>
      <c r="D44" s="641">
        <f>IF(D20=0,0,D13/D20)</f>
        <v>17413.123749635815</v>
      </c>
      <c r="E44" s="641">
        <f>IF(E20=0,0,E13/E20)</f>
        <v>19261.021422513026</v>
      </c>
    </row>
    <row r="45" spans="1:5" ht="26.1" customHeight="1" x14ac:dyDescent="0.25">
      <c r="A45" s="639">
        <v>3</v>
      </c>
      <c r="B45" s="640" t="s">
        <v>926</v>
      </c>
      <c r="C45" s="641">
        <f>IF(C22=0,0,C13/C22)</f>
        <v>2162.1673853336874</v>
      </c>
      <c r="D45" s="641">
        <f>IF(D22=0,0,D13/D22)</f>
        <v>2364.1444126932429</v>
      </c>
      <c r="E45" s="641">
        <f>IF(E22=0,0,E13/E22)</f>
        <v>2513.3551814200664</v>
      </c>
    </row>
    <row r="46" spans="1:5" ht="26.1" customHeight="1" x14ac:dyDescent="0.25">
      <c r="A46" s="639">
        <v>4</v>
      </c>
      <c r="B46" s="640" t="s">
        <v>927</v>
      </c>
      <c r="C46" s="641">
        <f>IF(C23=0,0,C13/C23)</f>
        <v>11506.21470549074</v>
      </c>
      <c r="D46" s="641">
        <f>IF(D23=0,0,D13/D23)</f>
        <v>12395.74388356821</v>
      </c>
      <c r="E46" s="641">
        <f>IF(E23=0,0,E13/E23)</f>
        <v>13406.631828501068</v>
      </c>
    </row>
    <row r="47" spans="1:5" ht="26.1" customHeight="1" x14ac:dyDescent="0.25">
      <c r="A47" s="639">
        <v>5</v>
      </c>
      <c r="B47" s="640" t="s">
        <v>928</v>
      </c>
      <c r="C47" s="641">
        <f>IF(C29=0,0,C13/C29)</f>
        <v>1548.1901193239842</v>
      </c>
      <c r="D47" s="641">
        <f>IF(D29=0,0,D13/D29)</f>
        <v>1677.6017404485772</v>
      </c>
      <c r="E47" s="641">
        <f>IF(E29=0,0,E13/E29)</f>
        <v>1690.7714090199581</v>
      </c>
    </row>
    <row r="48" spans="1:5" ht="26.1" customHeight="1" x14ac:dyDescent="0.25">
      <c r="A48" s="639">
        <v>6</v>
      </c>
      <c r="B48" s="640" t="s">
        <v>929</v>
      </c>
      <c r="C48" s="641">
        <f>IF(C30=0,0,C13/C30)</f>
        <v>8238.8662592428682</v>
      </c>
      <c r="D48" s="641">
        <f>IF(D30=0,0,D13/D30)</f>
        <v>8796.0453691316379</v>
      </c>
      <c r="E48" s="641">
        <f>IF(E30=0,0,E13/E30)</f>
        <v>9018.8406137166858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930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931</v>
      </c>
      <c r="C51" s="641">
        <f>IF(C19=0,0,C16/C19)</f>
        <v>3674.9134628536931</v>
      </c>
      <c r="D51" s="641">
        <f>IF(D19=0,0,D16/D19)</f>
        <v>3817.6594754535604</v>
      </c>
      <c r="E51" s="641">
        <f>IF(E19=0,0,E16/E19)</f>
        <v>4179.6576092388486</v>
      </c>
    </row>
    <row r="52" spans="1:6" ht="26.1" customHeight="1" x14ac:dyDescent="0.25">
      <c r="A52" s="639">
        <v>2</v>
      </c>
      <c r="B52" s="640" t="s">
        <v>932</v>
      </c>
      <c r="C52" s="641">
        <f>IF(C20=0,0,C16/C20)</f>
        <v>19556.461546184739</v>
      </c>
      <c r="D52" s="641">
        <f>IF(D20=0,0,D16/D20)</f>
        <v>20016.852117121492</v>
      </c>
      <c r="E52" s="641">
        <f>IF(E20=0,0,E16/E20)</f>
        <v>22294.951048103721</v>
      </c>
    </row>
    <row r="53" spans="1:6" ht="26.1" customHeight="1" x14ac:dyDescent="0.25">
      <c r="A53" s="639">
        <v>3</v>
      </c>
      <c r="B53" s="640" t="s">
        <v>933</v>
      </c>
      <c r="C53" s="641">
        <f>IF(C22=0,0,C16/C22)</f>
        <v>2633.9980305328904</v>
      </c>
      <c r="D53" s="641">
        <f>IF(D22=0,0,D16/D22)</f>
        <v>2717.647320078881</v>
      </c>
      <c r="E53" s="641">
        <f>IF(E22=0,0,E16/E22)</f>
        <v>2909.2502161262437</v>
      </c>
    </row>
    <row r="54" spans="1:6" ht="26.1" customHeight="1" x14ac:dyDescent="0.25">
      <c r="A54" s="639">
        <v>4</v>
      </c>
      <c r="B54" s="640" t="s">
        <v>934</v>
      </c>
      <c r="C54" s="641">
        <f>IF(C23=0,0,C16/C23)</f>
        <v>14017.114067454058</v>
      </c>
      <c r="D54" s="641">
        <f>IF(D23=0,0,D16/D23)</f>
        <v>14249.239583121176</v>
      </c>
      <c r="E54" s="641">
        <f>IF(E23=0,0,E16/E23)</f>
        <v>15518.398208467515</v>
      </c>
    </row>
    <row r="55" spans="1:6" ht="26.1" customHeight="1" x14ac:dyDescent="0.25">
      <c r="A55" s="639">
        <v>5</v>
      </c>
      <c r="B55" s="640" t="s">
        <v>935</v>
      </c>
      <c r="C55" s="641">
        <f>IF(C29=0,0,C16/C29)</f>
        <v>1886.0379417667093</v>
      </c>
      <c r="D55" s="641">
        <f>IF(D29=0,0,D16/D29)</f>
        <v>1928.448131007345</v>
      </c>
      <c r="E55" s="641">
        <f>IF(E29=0,0,E16/E29)</f>
        <v>1957.0958865957734</v>
      </c>
    </row>
    <row r="56" spans="1:6" ht="26.1" customHeight="1" x14ac:dyDescent="0.25">
      <c r="A56" s="639">
        <v>6</v>
      </c>
      <c r="B56" s="640" t="s">
        <v>936</v>
      </c>
      <c r="C56" s="641">
        <f>IF(C30=0,0,C16/C30)</f>
        <v>10036.761098086981</v>
      </c>
      <c r="D56" s="641">
        <f>IF(D30=0,0,D16/D30)</f>
        <v>10111.289731865696</v>
      </c>
      <c r="E56" s="641">
        <f>IF(E30=0,0,E16/E30)</f>
        <v>10439.457263592441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937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938</v>
      </c>
      <c r="C59" s="649">
        <v>129019458</v>
      </c>
      <c r="D59" s="649">
        <v>121405571</v>
      </c>
      <c r="E59" s="649">
        <v>133233307</v>
      </c>
    </row>
    <row r="60" spans="1:6" ht="26.1" customHeight="1" x14ac:dyDescent="0.25">
      <c r="A60" s="639">
        <v>2</v>
      </c>
      <c r="B60" s="640" t="s">
        <v>939</v>
      </c>
      <c r="C60" s="649">
        <v>24857654</v>
      </c>
      <c r="D60" s="649">
        <v>26537268</v>
      </c>
      <c r="E60" s="649">
        <v>33209967</v>
      </c>
    </row>
    <row r="61" spans="1:6" ht="26.1" customHeight="1" x14ac:dyDescent="0.25">
      <c r="A61" s="650">
        <v>3</v>
      </c>
      <c r="B61" s="651" t="s">
        <v>940</v>
      </c>
      <c r="C61" s="652">
        <f>C59+C60</f>
        <v>153877112</v>
      </c>
      <c r="D61" s="652">
        <f>D59+D60</f>
        <v>147942839</v>
      </c>
      <c r="E61" s="652">
        <f>E59+E60</f>
        <v>166443274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941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942</v>
      </c>
      <c r="C64" s="641">
        <v>34042782</v>
      </c>
      <c r="D64" s="641">
        <v>36421774</v>
      </c>
      <c r="E64" s="649">
        <v>38244961</v>
      </c>
      <c r="F64" s="653"/>
    </row>
    <row r="65" spans="1:6" ht="26.1" customHeight="1" x14ac:dyDescent="0.25">
      <c r="A65" s="639">
        <v>2</v>
      </c>
      <c r="B65" s="640" t="s">
        <v>943</v>
      </c>
      <c r="C65" s="649">
        <v>6558884</v>
      </c>
      <c r="D65" s="649">
        <v>7961203</v>
      </c>
      <c r="E65" s="649">
        <v>10063626</v>
      </c>
      <c r="F65" s="653"/>
    </row>
    <row r="66" spans="1:6" ht="26.1" customHeight="1" x14ac:dyDescent="0.25">
      <c r="A66" s="650">
        <v>3</v>
      </c>
      <c r="B66" s="651" t="s">
        <v>944</v>
      </c>
      <c r="C66" s="654">
        <f>C64+C65</f>
        <v>40601666</v>
      </c>
      <c r="D66" s="654">
        <f>D64+D65</f>
        <v>44382977</v>
      </c>
      <c r="E66" s="654">
        <f>E64+E65</f>
        <v>48308587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945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946</v>
      </c>
      <c r="C69" s="649">
        <v>184912209</v>
      </c>
      <c r="D69" s="649">
        <v>207582325</v>
      </c>
      <c r="E69" s="649">
        <v>227027658</v>
      </c>
    </row>
    <row r="70" spans="1:6" ht="26.1" customHeight="1" x14ac:dyDescent="0.25">
      <c r="A70" s="639">
        <v>2</v>
      </c>
      <c r="B70" s="640" t="s">
        <v>947</v>
      </c>
      <c r="C70" s="649">
        <v>35626283</v>
      </c>
      <c r="D70" s="649">
        <v>42912522</v>
      </c>
      <c r="E70" s="649">
        <v>57362671</v>
      </c>
    </row>
    <row r="71" spans="1:6" ht="26.1" customHeight="1" x14ac:dyDescent="0.25">
      <c r="A71" s="650">
        <v>3</v>
      </c>
      <c r="B71" s="651" t="s">
        <v>948</v>
      </c>
      <c r="C71" s="652">
        <f>C69+C70</f>
        <v>220538492</v>
      </c>
      <c r="D71" s="652">
        <f>D69+D70</f>
        <v>250494847</v>
      </c>
      <c r="E71" s="652">
        <f>E69+E70</f>
        <v>284390329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949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950</v>
      </c>
      <c r="C75" s="641">
        <f t="shared" ref="C75:E76" si="0">+C59+C64+C69</f>
        <v>347974449</v>
      </c>
      <c r="D75" s="641">
        <f t="shared" si="0"/>
        <v>365409670</v>
      </c>
      <c r="E75" s="641">
        <f t="shared" si="0"/>
        <v>398505926</v>
      </c>
    </row>
    <row r="76" spans="1:6" ht="26.1" customHeight="1" x14ac:dyDescent="0.25">
      <c r="A76" s="639">
        <v>2</v>
      </c>
      <c r="B76" s="640" t="s">
        <v>951</v>
      </c>
      <c r="C76" s="641">
        <f t="shared" si="0"/>
        <v>67042821</v>
      </c>
      <c r="D76" s="641">
        <f t="shared" si="0"/>
        <v>77410993</v>
      </c>
      <c r="E76" s="641">
        <f t="shared" si="0"/>
        <v>100636264</v>
      </c>
    </row>
    <row r="77" spans="1:6" ht="26.1" customHeight="1" x14ac:dyDescent="0.25">
      <c r="A77" s="650">
        <v>3</v>
      </c>
      <c r="B77" s="651" t="s">
        <v>949</v>
      </c>
      <c r="C77" s="654">
        <f>C75+C76</f>
        <v>415017270</v>
      </c>
      <c r="D77" s="654">
        <f>D75+D76</f>
        <v>442820663</v>
      </c>
      <c r="E77" s="654">
        <f>E75+E76</f>
        <v>499142190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952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1449</v>
      </c>
      <c r="D80" s="646">
        <v>1406.4</v>
      </c>
      <c r="E80" s="646">
        <v>1499</v>
      </c>
    </row>
    <row r="81" spans="1:5" ht="26.1" customHeight="1" x14ac:dyDescent="0.25">
      <c r="A81" s="639">
        <v>2</v>
      </c>
      <c r="B81" s="640" t="s">
        <v>579</v>
      </c>
      <c r="C81" s="646">
        <v>202.7</v>
      </c>
      <c r="D81" s="646">
        <v>209.4</v>
      </c>
      <c r="E81" s="646">
        <v>210</v>
      </c>
    </row>
    <row r="82" spans="1:5" ht="26.1" customHeight="1" x14ac:dyDescent="0.25">
      <c r="A82" s="639">
        <v>3</v>
      </c>
      <c r="B82" s="640" t="s">
        <v>953</v>
      </c>
      <c r="C82" s="646">
        <v>3679.6</v>
      </c>
      <c r="D82" s="646">
        <v>3780.5</v>
      </c>
      <c r="E82" s="646">
        <v>3939</v>
      </c>
    </row>
    <row r="83" spans="1:5" ht="26.1" customHeight="1" x14ac:dyDescent="0.25">
      <c r="A83" s="650">
        <v>4</v>
      </c>
      <c r="B83" s="651" t="s">
        <v>952</v>
      </c>
      <c r="C83" s="656">
        <f>C80+C81+C82</f>
        <v>5331.3</v>
      </c>
      <c r="D83" s="656">
        <f>D80+D81+D82</f>
        <v>5396.3</v>
      </c>
      <c r="E83" s="656">
        <f>E80+E81+E82</f>
        <v>5648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954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955</v>
      </c>
      <c r="C86" s="649">
        <f>IF(C80=0,0,C59/C80)</f>
        <v>89040.343685300206</v>
      </c>
      <c r="D86" s="649">
        <f>IF(D80=0,0,D59/D80)</f>
        <v>86323.642633674623</v>
      </c>
      <c r="E86" s="649">
        <f>IF(E80=0,0,E59/E80)</f>
        <v>88881.458972648426</v>
      </c>
    </row>
    <row r="87" spans="1:5" ht="26.1" customHeight="1" x14ac:dyDescent="0.25">
      <c r="A87" s="639">
        <v>2</v>
      </c>
      <c r="B87" s="640" t="s">
        <v>956</v>
      </c>
      <c r="C87" s="649">
        <f>IF(C80=0,0,C60/C80)</f>
        <v>17155.04071773637</v>
      </c>
      <c r="D87" s="649">
        <f>IF(D80=0,0,D60/D80)</f>
        <v>18868.933447098974</v>
      </c>
      <c r="E87" s="649">
        <f>IF(E80=0,0,E60/E80)</f>
        <v>22154.747831887926</v>
      </c>
    </row>
    <row r="88" spans="1:5" ht="26.1" customHeight="1" x14ac:dyDescent="0.25">
      <c r="A88" s="650">
        <v>3</v>
      </c>
      <c r="B88" s="651" t="s">
        <v>957</v>
      </c>
      <c r="C88" s="652">
        <f>+C86+C87</f>
        <v>106195.38440303657</v>
      </c>
      <c r="D88" s="652">
        <f>+D86+D87</f>
        <v>105192.57608077359</v>
      </c>
      <c r="E88" s="652">
        <f>+E86+E87</f>
        <v>111036.20680453636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958</v>
      </c>
    </row>
    <row r="91" spans="1:5" ht="26.1" customHeight="1" x14ac:dyDescent="0.25">
      <c r="A91" s="639">
        <v>1</v>
      </c>
      <c r="B91" s="640" t="s">
        <v>959</v>
      </c>
      <c r="C91" s="641">
        <f>IF(C81=0,0,C64/C81)</f>
        <v>167946.63048840652</v>
      </c>
      <c r="D91" s="641">
        <f>IF(D81=0,0,D64/D81)</f>
        <v>173933.97325692454</v>
      </c>
      <c r="E91" s="641">
        <f>IF(E81=0,0,E64/E81)</f>
        <v>182118.8619047619</v>
      </c>
    </row>
    <row r="92" spans="1:5" ht="26.1" customHeight="1" x14ac:dyDescent="0.25">
      <c r="A92" s="639">
        <v>2</v>
      </c>
      <c r="B92" s="640" t="s">
        <v>960</v>
      </c>
      <c r="C92" s="641">
        <f>IF(C81=0,0,C65/C81)</f>
        <v>32357.59250123335</v>
      </c>
      <c r="D92" s="641">
        <f>IF(D81=0,0,D65/D81)</f>
        <v>38019.116523400189</v>
      </c>
      <c r="E92" s="641">
        <f>IF(E81=0,0,E65/E81)</f>
        <v>47922.028571428571</v>
      </c>
    </row>
    <row r="93" spans="1:5" ht="26.1" customHeight="1" x14ac:dyDescent="0.25">
      <c r="A93" s="650">
        <v>3</v>
      </c>
      <c r="B93" s="651" t="s">
        <v>961</v>
      </c>
      <c r="C93" s="654">
        <f>+C91+C92</f>
        <v>200304.22298963988</v>
      </c>
      <c r="D93" s="654">
        <f>+D91+D92</f>
        <v>211953.08978032472</v>
      </c>
      <c r="E93" s="654">
        <f>+E91+E92</f>
        <v>230040.89047619049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962</v>
      </c>
      <c r="B95" s="642" t="s">
        <v>963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964</v>
      </c>
      <c r="C96" s="649">
        <f>IF(C82=0,0,C69/C82)</f>
        <v>50253.34520056528</v>
      </c>
      <c r="D96" s="649">
        <f>IF(D82=0,0,D69/D82)</f>
        <v>54908.695939690515</v>
      </c>
      <c r="E96" s="649">
        <f>IF(E82=0,0,E69/E82)</f>
        <v>57635.861386138611</v>
      </c>
    </row>
    <row r="97" spans="1:5" ht="26.1" customHeight="1" x14ac:dyDescent="0.25">
      <c r="A97" s="639">
        <v>2</v>
      </c>
      <c r="B97" s="640" t="s">
        <v>965</v>
      </c>
      <c r="C97" s="649">
        <f>IF(C82=0,0,C70/C82)</f>
        <v>9682.1075660397873</v>
      </c>
      <c r="D97" s="649">
        <f>IF(D82=0,0,D70/D82)</f>
        <v>11351.017590265837</v>
      </c>
      <c r="E97" s="649">
        <f>IF(E82=0,0,E70/E82)</f>
        <v>14562.749682660573</v>
      </c>
    </row>
    <row r="98" spans="1:5" ht="26.1" customHeight="1" x14ac:dyDescent="0.25">
      <c r="A98" s="650">
        <v>3</v>
      </c>
      <c r="B98" s="651" t="s">
        <v>966</v>
      </c>
      <c r="C98" s="654">
        <f>+C96+C97</f>
        <v>59935.452766605071</v>
      </c>
      <c r="D98" s="654">
        <f>+D96+D97</f>
        <v>66259.713529956352</v>
      </c>
      <c r="E98" s="654">
        <f>+E96+E97</f>
        <v>72198.61106879919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967</v>
      </c>
      <c r="B100" s="642" t="s">
        <v>968</v>
      </c>
    </row>
    <row r="101" spans="1:5" ht="26.1" customHeight="1" x14ac:dyDescent="0.25">
      <c r="A101" s="639">
        <v>1</v>
      </c>
      <c r="B101" s="640" t="s">
        <v>969</v>
      </c>
      <c r="C101" s="641">
        <f>IF(C83=0,0,C75/C83)</f>
        <v>65270.093410612797</v>
      </c>
      <c r="D101" s="641">
        <f>IF(D83=0,0,D75/D83)</f>
        <v>67714.854622611791</v>
      </c>
      <c r="E101" s="641">
        <f>IF(E83=0,0,E75/E83)</f>
        <v>70556.998229461751</v>
      </c>
    </row>
    <row r="102" spans="1:5" ht="26.1" customHeight="1" x14ac:dyDescent="0.25">
      <c r="A102" s="639">
        <v>2</v>
      </c>
      <c r="B102" s="640" t="s">
        <v>970</v>
      </c>
      <c r="C102" s="658">
        <f>IF(C83=0,0,C76/C83)</f>
        <v>12575.32327950031</v>
      </c>
      <c r="D102" s="658">
        <f>IF(D83=0,0,D76/D83)</f>
        <v>14345.198191353335</v>
      </c>
      <c r="E102" s="658">
        <f>IF(E83=0,0,E76/E83)</f>
        <v>17818.035410764871</v>
      </c>
    </row>
    <row r="103" spans="1:5" ht="26.1" customHeight="1" x14ac:dyDescent="0.25">
      <c r="A103" s="650">
        <v>3</v>
      </c>
      <c r="B103" s="651" t="s">
        <v>968</v>
      </c>
      <c r="C103" s="654">
        <f>+C101+C102</f>
        <v>77845.41669011311</v>
      </c>
      <c r="D103" s="654">
        <f>+D101+D102</f>
        <v>82060.052813965129</v>
      </c>
      <c r="E103" s="654">
        <f>+E101+E102</f>
        <v>88375.033640226626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971</v>
      </c>
      <c r="B107" s="634" t="s">
        <v>972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973</v>
      </c>
      <c r="C108" s="641">
        <f>IF(C19=0,0,C77/C19)</f>
        <v>1957.5085961709894</v>
      </c>
      <c r="D108" s="641">
        <f>IF(D19=0,0,D77/D19)</f>
        <v>2050.4943692755073</v>
      </c>
      <c r="E108" s="641">
        <f>IF(E19=0,0,E77/E19)</f>
        <v>2267.6530797677569</v>
      </c>
    </row>
    <row r="109" spans="1:5" ht="26.1" customHeight="1" x14ac:dyDescent="0.25">
      <c r="A109" s="639">
        <v>2</v>
      </c>
      <c r="B109" s="640" t="s">
        <v>974</v>
      </c>
      <c r="C109" s="641">
        <f>IF(C20=0,0,C77/C20)</f>
        <v>10417.100150602409</v>
      </c>
      <c r="D109" s="641">
        <f>IF(D20=0,0,D77/D20)</f>
        <v>10751.205763814703</v>
      </c>
      <c r="E109" s="641">
        <f>IF(E20=0,0,E77/E20)</f>
        <v>12096.018175209016</v>
      </c>
    </row>
    <row r="110" spans="1:5" ht="26.1" customHeight="1" x14ac:dyDescent="0.25">
      <c r="A110" s="639">
        <v>3</v>
      </c>
      <c r="B110" s="640" t="s">
        <v>975</v>
      </c>
      <c r="C110" s="641">
        <f>IF(C22=0,0,C77/C22)</f>
        <v>1403.046313657064</v>
      </c>
      <c r="D110" s="641">
        <f>IF(D22=0,0,D77/D22)</f>
        <v>1459.6693506396007</v>
      </c>
      <c r="E110" s="641">
        <f>IF(E22=0,0,E77/E22)</f>
        <v>1578.3996750908716</v>
      </c>
    </row>
    <row r="111" spans="1:5" ht="26.1" customHeight="1" x14ac:dyDescent="0.25">
      <c r="A111" s="639">
        <v>4</v>
      </c>
      <c r="B111" s="640" t="s">
        <v>976</v>
      </c>
      <c r="C111" s="641">
        <f>IF(C23=0,0,C77/C23)</f>
        <v>7466.4673217212621</v>
      </c>
      <c r="D111" s="641">
        <f>IF(D23=0,0,D77/D23)</f>
        <v>7653.3765568958661</v>
      </c>
      <c r="E111" s="641">
        <f>IF(E23=0,0,E77/E23)</f>
        <v>8419.4321115461553</v>
      </c>
    </row>
    <row r="112" spans="1:5" ht="26.1" customHeight="1" x14ac:dyDescent="0.25">
      <c r="A112" s="639">
        <v>5</v>
      </c>
      <c r="B112" s="640" t="s">
        <v>977</v>
      </c>
      <c r="C112" s="641">
        <f>IF(C29=0,0,C77/C29)</f>
        <v>1004.6319514816718</v>
      </c>
      <c r="D112" s="641">
        <f>IF(D29=0,0,D77/D29)</f>
        <v>1035.7843750851157</v>
      </c>
      <c r="E112" s="641">
        <f>IF(E29=0,0,E77/E29)</f>
        <v>1061.812935305941</v>
      </c>
    </row>
    <row r="113" spans="1:7" ht="25.5" customHeight="1" x14ac:dyDescent="0.25">
      <c r="A113" s="639">
        <v>6</v>
      </c>
      <c r="B113" s="640" t="s">
        <v>978</v>
      </c>
      <c r="C113" s="641">
        <f>IF(C30=0,0,C77/C30)</f>
        <v>5346.2608918043088</v>
      </c>
      <c r="D113" s="641">
        <f>IF(D30=0,0,D77/D30)</f>
        <v>5430.8517547497204</v>
      </c>
      <c r="E113" s="641">
        <f>IF(E30=0,0,E77/E30)</f>
        <v>5663.8771947638897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FILING&amp;R&amp;12HARTFORD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1744642025</v>
      </c>
      <c r="D12" s="51">
        <v>1901719123</v>
      </c>
      <c r="E12" s="51">
        <f t="shared" ref="E12:E19" si="0">D12-C12</f>
        <v>157077098</v>
      </c>
      <c r="F12" s="70">
        <f t="shared" ref="F12:F19" si="1">IF(C12=0,0,E12/C12)</f>
        <v>9.0033998808437501E-2</v>
      </c>
    </row>
    <row r="13" spans="1:8" ht="23.1" customHeight="1" x14ac:dyDescent="0.2">
      <c r="A13" s="25">
        <v>2</v>
      </c>
      <c r="B13" s="48" t="s">
        <v>72</v>
      </c>
      <c r="C13" s="51">
        <v>997187843</v>
      </c>
      <c r="D13" s="51">
        <v>1077109384</v>
      </c>
      <c r="E13" s="51">
        <f t="shared" si="0"/>
        <v>79921541</v>
      </c>
      <c r="F13" s="70">
        <f t="shared" si="1"/>
        <v>8.0146926741063371E-2</v>
      </c>
    </row>
    <row r="14" spans="1:8" ht="23.1" customHeight="1" x14ac:dyDescent="0.2">
      <c r="A14" s="25">
        <v>3</v>
      </c>
      <c r="B14" s="48" t="s">
        <v>73</v>
      </c>
      <c r="C14" s="51">
        <v>30242441</v>
      </c>
      <c r="D14" s="51">
        <v>29803690</v>
      </c>
      <c r="E14" s="51">
        <f t="shared" si="0"/>
        <v>-438751</v>
      </c>
      <c r="F14" s="70">
        <f t="shared" si="1"/>
        <v>-1.4507790558308439E-2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717211741</v>
      </c>
      <c r="D16" s="27">
        <f>D12-D13-D14-D15</f>
        <v>794806049</v>
      </c>
      <c r="E16" s="27">
        <f t="shared" si="0"/>
        <v>77594308</v>
      </c>
      <c r="F16" s="28">
        <f t="shared" si="1"/>
        <v>0.10818884237981263</v>
      </c>
    </row>
    <row r="17" spans="1:7" ht="23.1" customHeight="1" x14ac:dyDescent="0.2">
      <c r="A17" s="25">
        <v>5</v>
      </c>
      <c r="B17" s="48" t="s">
        <v>76</v>
      </c>
      <c r="C17" s="51">
        <v>102144479</v>
      </c>
      <c r="D17" s="51">
        <v>129170425</v>
      </c>
      <c r="E17" s="51">
        <f t="shared" si="0"/>
        <v>27025946</v>
      </c>
      <c r="F17" s="70">
        <f t="shared" si="1"/>
        <v>0.26458547994551912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10184161</v>
      </c>
      <c r="D18" s="51">
        <v>8623312</v>
      </c>
      <c r="E18" s="51">
        <f t="shared" si="0"/>
        <v>-1560849</v>
      </c>
      <c r="F18" s="70">
        <f t="shared" si="1"/>
        <v>-0.15326240423732501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829540381</v>
      </c>
      <c r="D19" s="27">
        <f>SUM(D16:D18)</f>
        <v>932599786</v>
      </c>
      <c r="E19" s="27">
        <f t="shared" si="0"/>
        <v>103059405</v>
      </c>
      <c r="F19" s="28">
        <f t="shared" si="1"/>
        <v>0.12423675490729366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365409670</v>
      </c>
      <c r="D22" s="51">
        <v>398505926</v>
      </c>
      <c r="E22" s="51">
        <f t="shared" ref="E22:E31" si="2">D22-C22</f>
        <v>33096256</v>
      </c>
      <c r="F22" s="70">
        <f t="shared" ref="F22:F31" si="3">IF(C22=0,0,E22/C22)</f>
        <v>9.0573016307970169E-2</v>
      </c>
    </row>
    <row r="23" spans="1:7" ht="23.1" customHeight="1" x14ac:dyDescent="0.2">
      <c r="A23" s="25">
        <v>2</v>
      </c>
      <c r="B23" s="48" t="s">
        <v>81</v>
      </c>
      <c r="C23" s="51">
        <v>77410993</v>
      </c>
      <c r="D23" s="51">
        <v>100636264</v>
      </c>
      <c r="E23" s="51">
        <f t="shared" si="2"/>
        <v>23225271</v>
      </c>
      <c r="F23" s="70">
        <f t="shared" si="3"/>
        <v>0.30002548862795236</v>
      </c>
    </row>
    <row r="24" spans="1:7" ht="23.1" customHeight="1" x14ac:dyDescent="0.2">
      <c r="A24" s="25">
        <v>3</v>
      </c>
      <c r="B24" s="48" t="s">
        <v>82</v>
      </c>
      <c r="C24" s="51">
        <v>32848360</v>
      </c>
      <c r="D24" s="51">
        <v>36006766</v>
      </c>
      <c r="E24" s="51">
        <f t="shared" si="2"/>
        <v>3158406</v>
      </c>
      <c r="F24" s="70">
        <f t="shared" si="3"/>
        <v>9.6151101607507949E-2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114234925</v>
      </c>
      <c r="D25" s="51">
        <v>126188219</v>
      </c>
      <c r="E25" s="51">
        <f t="shared" si="2"/>
        <v>11953294</v>
      </c>
      <c r="F25" s="70">
        <f t="shared" si="3"/>
        <v>0.10463782420306224</v>
      </c>
    </row>
    <row r="26" spans="1:7" ht="23.1" customHeight="1" x14ac:dyDescent="0.2">
      <c r="A26" s="25">
        <v>5</v>
      </c>
      <c r="B26" s="48" t="s">
        <v>84</v>
      </c>
      <c r="C26" s="51">
        <v>40686788</v>
      </c>
      <c r="D26" s="51">
        <v>42312460</v>
      </c>
      <c r="E26" s="51">
        <f t="shared" si="2"/>
        <v>1625672</v>
      </c>
      <c r="F26" s="70">
        <f t="shared" si="3"/>
        <v>3.9955771391931946E-2</v>
      </c>
    </row>
    <row r="27" spans="1:7" ht="23.1" customHeight="1" x14ac:dyDescent="0.2">
      <c r="A27" s="25">
        <v>6</v>
      </c>
      <c r="B27" s="48" t="s">
        <v>85</v>
      </c>
      <c r="C27" s="51">
        <v>23850530</v>
      </c>
      <c r="D27" s="51">
        <v>37824767</v>
      </c>
      <c r="E27" s="51">
        <f t="shared" si="2"/>
        <v>13974237</v>
      </c>
      <c r="F27" s="70">
        <f t="shared" si="3"/>
        <v>0.58590886659541741</v>
      </c>
    </row>
    <row r="28" spans="1:7" ht="23.1" customHeight="1" x14ac:dyDescent="0.2">
      <c r="A28" s="25">
        <v>7</v>
      </c>
      <c r="B28" s="48" t="s">
        <v>86</v>
      </c>
      <c r="C28" s="51">
        <v>607197</v>
      </c>
      <c r="D28" s="51">
        <v>614483</v>
      </c>
      <c r="E28" s="51">
        <f t="shared" si="2"/>
        <v>7286</v>
      </c>
      <c r="F28" s="70">
        <f t="shared" si="3"/>
        <v>1.1999400524047386E-2</v>
      </c>
    </row>
    <row r="29" spans="1:7" ht="23.1" customHeight="1" x14ac:dyDescent="0.2">
      <c r="A29" s="25">
        <v>8</v>
      </c>
      <c r="B29" s="48" t="s">
        <v>87</v>
      </c>
      <c r="C29" s="51">
        <v>13503692</v>
      </c>
      <c r="D29" s="51">
        <v>14000101</v>
      </c>
      <c r="E29" s="51">
        <f t="shared" si="2"/>
        <v>496409</v>
      </c>
      <c r="F29" s="70">
        <f t="shared" si="3"/>
        <v>3.6760983588784463E-2</v>
      </c>
    </row>
    <row r="30" spans="1:7" ht="23.1" customHeight="1" x14ac:dyDescent="0.2">
      <c r="A30" s="25">
        <v>9</v>
      </c>
      <c r="B30" s="48" t="s">
        <v>88</v>
      </c>
      <c r="C30" s="51">
        <v>155901950</v>
      </c>
      <c r="D30" s="51">
        <v>163912169</v>
      </c>
      <c r="E30" s="51">
        <f t="shared" si="2"/>
        <v>8010219</v>
      </c>
      <c r="F30" s="70">
        <f t="shared" si="3"/>
        <v>5.137985124624804E-2</v>
      </c>
    </row>
    <row r="31" spans="1:7" ht="23.1" customHeight="1" x14ac:dyDescent="0.25">
      <c r="A31" s="29"/>
      <c r="B31" s="71" t="s">
        <v>89</v>
      </c>
      <c r="C31" s="27">
        <f>SUM(C22:C30)</f>
        <v>824454105</v>
      </c>
      <c r="D31" s="27">
        <f>SUM(D22:D30)</f>
        <v>920001155</v>
      </c>
      <c r="E31" s="27">
        <f t="shared" si="2"/>
        <v>95547050</v>
      </c>
      <c r="F31" s="28">
        <f t="shared" si="3"/>
        <v>0.11589129027382307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5086276</v>
      </c>
      <c r="D33" s="27">
        <f>+D19-D31</f>
        <v>12598631</v>
      </c>
      <c r="E33" s="27">
        <f>D33-C33</f>
        <v>7512355</v>
      </c>
      <c r="F33" s="28">
        <f>IF(C33=0,0,E33/C33)</f>
        <v>1.4769853228570373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2751825</v>
      </c>
      <c r="D36" s="51">
        <v>4526884</v>
      </c>
      <c r="E36" s="51">
        <f>D36-C36</f>
        <v>1775059</v>
      </c>
      <c r="F36" s="70">
        <f>IF(C36=0,0,E36/C36)</f>
        <v>0.64504792274218015</v>
      </c>
    </row>
    <row r="37" spans="1:6" ht="23.1" customHeight="1" x14ac:dyDescent="0.2">
      <c r="A37" s="44">
        <v>2</v>
      </c>
      <c r="B37" s="48" t="s">
        <v>93</v>
      </c>
      <c r="C37" s="51">
        <v>629981</v>
      </c>
      <c r="D37" s="51">
        <v>995454</v>
      </c>
      <c r="E37" s="51">
        <f>D37-C37</f>
        <v>365473</v>
      </c>
      <c r="F37" s="70">
        <f>IF(C37=0,0,E37/C37)</f>
        <v>0.58013336910160784</v>
      </c>
    </row>
    <row r="38" spans="1:6" ht="23.1" customHeight="1" x14ac:dyDescent="0.2">
      <c r="A38" s="44">
        <v>3</v>
      </c>
      <c r="B38" s="48" t="s">
        <v>94</v>
      </c>
      <c r="C38" s="51">
        <v>-16940434</v>
      </c>
      <c r="D38" s="51">
        <v>-309659</v>
      </c>
      <c r="E38" s="51">
        <f>D38-C38</f>
        <v>16630775</v>
      </c>
      <c r="F38" s="70">
        <f>IF(C38=0,0,E38/C38)</f>
        <v>-0.98172071624611268</v>
      </c>
    </row>
    <row r="39" spans="1:6" ht="23.1" customHeight="1" x14ac:dyDescent="0.25">
      <c r="A39" s="20"/>
      <c r="B39" s="71" t="s">
        <v>95</v>
      </c>
      <c r="C39" s="27">
        <f>SUM(C36:C38)</f>
        <v>-13558628</v>
      </c>
      <c r="D39" s="27">
        <f>SUM(D36:D38)</f>
        <v>5212679</v>
      </c>
      <c r="E39" s="27">
        <f>D39-C39</f>
        <v>18771307</v>
      </c>
      <c r="F39" s="28">
        <f>IF(C39=0,0,E39/C39)</f>
        <v>-1.3844547545666126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-8472352</v>
      </c>
      <c r="D41" s="27">
        <f>D33+D39</f>
        <v>17811310</v>
      </c>
      <c r="E41" s="27">
        <f>D41-C41</f>
        <v>26283662</v>
      </c>
      <c r="F41" s="28">
        <f>IF(C41=0,0,E41/C41)</f>
        <v>-3.1022863544857437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2583404</v>
      </c>
      <c r="D44" s="51">
        <v>15769108</v>
      </c>
      <c r="E44" s="51">
        <f>D44-C44</f>
        <v>13185704</v>
      </c>
      <c r="F44" s="70">
        <f>IF(C44=0,0,E44/C44)</f>
        <v>5.104003864668476</v>
      </c>
    </row>
    <row r="45" spans="1:6" ht="23.1" customHeight="1" x14ac:dyDescent="0.2">
      <c r="A45" s="44"/>
      <c r="B45" s="48" t="s">
        <v>99</v>
      </c>
      <c r="C45" s="51">
        <v>1648141</v>
      </c>
      <c r="D45" s="51">
        <v>0</v>
      </c>
      <c r="E45" s="51">
        <f>D45-C45</f>
        <v>-1648141</v>
      </c>
      <c r="F45" s="70">
        <f>IF(C45=0,0,E45/C45)</f>
        <v>-1</v>
      </c>
    </row>
    <row r="46" spans="1:6" ht="23.1" customHeight="1" x14ac:dyDescent="0.25">
      <c r="A46" s="20"/>
      <c r="B46" s="74" t="s">
        <v>100</v>
      </c>
      <c r="C46" s="27">
        <f>SUM(C44:C45)</f>
        <v>4231545</v>
      </c>
      <c r="D46" s="27">
        <f>SUM(D44:D45)</f>
        <v>15769108</v>
      </c>
      <c r="E46" s="27">
        <f>D46-C46</f>
        <v>11537563</v>
      </c>
      <c r="F46" s="28">
        <f>IF(C46=0,0,E46/C46)</f>
        <v>2.7265603934260416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-4240807</v>
      </c>
      <c r="D48" s="27">
        <f>D41+D46</f>
        <v>33580418</v>
      </c>
      <c r="E48" s="27">
        <f>D48-C48</f>
        <v>37821225</v>
      </c>
      <c r="F48" s="28">
        <f>IF(C48=0,0,E48/C48)</f>
        <v>-8.91840279456245</v>
      </c>
    </row>
    <row r="49" spans="1:6" ht="23.1" customHeight="1" x14ac:dyDescent="0.2">
      <c r="A49" s="44"/>
      <c r="B49" s="48" t="s">
        <v>102</v>
      </c>
      <c r="C49" s="51">
        <v>2363100</v>
      </c>
      <c r="D49" s="51">
        <v>2363100</v>
      </c>
      <c r="E49" s="51">
        <f>D49-C49</f>
        <v>0</v>
      </c>
      <c r="F49" s="70">
        <f>IF(C49=0,0,E49/C49)</f>
        <v>0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FILING&amp;RHARTFORD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8" customHeight="1" x14ac:dyDescent="0.25"/>
  <cols>
    <col min="1" max="1" width="6.28515625" style="75" customWidth="1"/>
    <col min="2" max="2" width="65.85546875" style="75" customWidth="1"/>
    <col min="3" max="3" width="22.28515625" style="76" customWidth="1"/>
    <col min="4" max="4" width="22.5703125" style="75" customWidth="1"/>
    <col min="5" max="5" width="22.85546875" style="75" customWidth="1"/>
    <col min="6" max="6" width="21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501557333</v>
      </c>
      <c r="D14" s="97">
        <v>555399320</v>
      </c>
      <c r="E14" s="97">
        <f t="shared" ref="E14:E25" si="0">D14-C14</f>
        <v>53841987</v>
      </c>
      <c r="F14" s="98">
        <f t="shared" ref="F14:F25" si="1">IF(C14=0,0,E14/C14)</f>
        <v>0.10734961580154985</v>
      </c>
    </row>
    <row r="15" spans="1:6" ht="18" customHeight="1" x14ac:dyDescent="0.25">
      <c r="A15" s="99">
        <v>2</v>
      </c>
      <c r="B15" s="100" t="s">
        <v>113</v>
      </c>
      <c r="C15" s="97">
        <v>82023000</v>
      </c>
      <c r="D15" s="97">
        <v>99625478</v>
      </c>
      <c r="E15" s="97">
        <f t="shared" si="0"/>
        <v>17602478</v>
      </c>
      <c r="F15" s="98">
        <f t="shared" si="1"/>
        <v>0.21460417200053644</v>
      </c>
    </row>
    <row r="16" spans="1:6" ht="18" customHeight="1" x14ac:dyDescent="0.25">
      <c r="A16" s="99">
        <v>3</v>
      </c>
      <c r="B16" s="100" t="s">
        <v>114</v>
      </c>
      <c r="C16" s="97">
        <v>114044139</v>
      </c>
      <c r="D16" s="97">
        <v>152660482</v>
      </c>
      <c r="E16" s="97">
        <f t="shared" si="0"/>
        <v>38616343</v>
      </c>
      <c r="F16" s="98">
        <f t="shared" si="1"/>
        <v>0.33860874691684067</v>
      </c>
    </row>
    <row r="17" spans="1:6" ht="18" customHeight="1" x14ac:dyDescent="0.25">
      <c r="A17" s="99">
        <v>4</v>
      </c>
      <c r="B17" s="100" t="s">
        <v>115</v>
      </c>
      <c r="C17" s="97">
        <v>37601071</v>
      </c>
      <c r="D17" s="97">
        <v>44897566</v>
      </c>
      <c r="E17" s="97">
        <f t="shared" si="0"/>
        <v>7296495</v>
      </c>
      <c r="F17" s="98">
        <f t="shared" si="1"/>
        <v>0.19405019075121557</v>
      </c>
    </row>
    <row r="18" spans="1:6" ht="18" customHeight="1" x14ac:dyDescent="0.25">
      <c r="A18" s="99">
        <v>5</v>
      </c>
      <c r="B18" s="100" t="s">
        <v>116</v>
      </c>
      <c r="C18" s="97">
        <v>6679660</v>
      </c>
      <c r="D18" s="97">
        <v>4791123</v>
      </c>
      <c r="E18" s="97">
        <f t="shared" si="0"/>
        <v>-1888537</v>
      </c>
      <c r="F18" s="98">
        <f t="shared" si="1"/>
        <v>-0.28272951018465009</v>
      </c>
    </row>
    <row r="19" spans="1:6" ht="18" customHeight="1" x14ac:dyDescent="0.25">
      <c r="A19" s="99">
        <v>6</v>
      </c>
      <c r="B19" s="100" t="s">
        <v>117</v>
      </c>
      <c r="C19" s="97">
        <v>12730071</v>
      </c>
      <c r="D19" s="97">
        <v>13465554</v>
      </c>
      <c r="E19" s="97">
        <f t="shared" si="0"/>
        <v>735483</v>
      </c>
      <c r="F19" s="98">
        <f t="shared" si="1"/>
        <v>5.7775247286523383E-2</v>
      </c>
    </row>
    <row r="20" spans="1:6" ht="18" customHeight="1" x14ac:dyDescent="0.25">
      <c r="A20" s="99">
        <v>7</v>
      </c>
      <c r="B20" s="100" t="s">
        <v>118</v>
      </c>
      <c r="C20" s="97">
        <v>397393317</v>
      </c>
      <c r="D20" s="97">
        <v>405793355</v>
      </c>
      <c r="E20" s="97">
        <f t="shared" si="0"/>
        <v>8400038</v>
      </c>
      <c r="F20" s="98">
        <f t="shared" si="1"/>
        <v>2.1137844147489777E-2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19069035</v>
      </c>
      <c r="D22" s="97">
        <v>19801383</v>
      </c>
      <c r="E22" s="97">
        <f t="shared" si="0"/>
        <v>732348</v>
      </c>
      <c r="F22" s="98">
        <f t="shared" si="1"/>
        <v>3.8405089717439819E-2</v>
      </c>
    </row>
    <row r="23" spans="1:6" ht="18" customHeight="1" x14ac:dyDescent="0.25">
      <c r="A23" s="99">
        <v>10</v>
      </c>
      <c r="B23" s="100" t="s">
        <v>121</v>
      </c>
      <c r="C23" s="97">
        <v>49341390</v>
      </c>
      <c r="D23" s="97">
        <v>27257124</v>
      </c>
      <c r="E23" s="97">
        <f t="shared" si="0"/>
        <v>-22084266</v>
      </c>
      <c r="F23" s="98">
        <f t="shared" si="1"/>
        <v>-0.44758094573338936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1220439016</v>
      </c>
      <c r="D25" s="103">
        <f>SUM(D14:D24)</f>
        <v>1323691385</v>
      </c>
      <c r="E25" s="103">
        <f t="shared" si="0"/>
        <v>103252369</v>
      </c>
      <c r="F25" s="104">
        <f t="shared" si="1"/>
        <v>8.4602645151750866E-2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145126884</v>
      </c>
      <c r="D27" s="97">
        <v>158340524</v>
      </c>
      <c r="E27" s="97">
        <f t="shared" ref="E27:E38" si="2">D27-C27</f>
        <v>13213640</v>
      </c>
      <c r="F27" s="98">
        <f t="shared" ref="F27:F38" si="3">IF(C27=0,0,E27/C27)</f>
        <v>9.1048878304311964E-2</v>
      </c>
    </row>
    <row r="28" spans="1:6" ht="18" customHeight="1" x14ac:dyDescent="0.25">
      <c r="A28" s="99">
        <v>2</v>
      </c>
      <c r="B28" s="100" t="s">
        <v>113</v>
      </c>
      <c r="C28" s="97">
        <v>20223644</v>
      </c>
      <c r="D28" s="97">
        <v>28489561</v>
      </c>
      <c r="E28" s="97">
        <f t="shared" si="2"/>
        <v>8265917</v>
      </c>
      <c r="F28" s="98">
        <f t="shared" si="3"/>
        <v>0.40872540082291797</v>
      </c>
    </row>
    <row r="29" spans="1:6" ht="18" customHeight="1" x14ac:dyDescent="0.25">
      <c r="A29" s="99">
        <v>3</v>
      </c>
      <c r="B29" s="100" t="s">
        <v>114</v>
      </c>
      <c r="C29" s="97">
        <v>39083390</v>
      </c>
      <c r="D29" s="97">
        <v>58016080</v>
      </c>
      <c r="E29" s="97">
        <f t="shared" si="2"/>
        <v>18932690</v>
      </c>
      <c r="F29" s="98">
        <f t="shared" si="3"/>
        <v>0.48441780510851284</v>
      </c>
    </row>
    <row r="30" spans="1:6" ht="18" customHeight="1" x14ac:dyDescent="0.25">
      <c r="A30" s="99">
        <v>4</v>
      </c>
      <c r="B30" s="100" t="s">
        <v>115</v>
      </c>
      <c r="C30" s="97">
        <v>32361841</v>
      </c>
      <c r="D30" s="97">
        <v>38190798</v>
      </c>
      <c r="E30" s="97">
        <f t="shared" si="2"/>
        <v>5828957</v>
      </c>
      <c r="F30" s="98">
        <f t="shared" si="3"/>
        <v>0.18011821391743443</v>
      </c>
    </row>
    <row r="31" spans="1:6" ht="18" customHeight="1" x14ac:dyDescent="0.25">
      <c r="A31" s="99">
        <v>5</v>
      </c>
      <c r="B31" s="100" t="s">
        <v>116</v>
      </c>
      <c r="C31" s="97">
        <v>1586174</v>
      </c>
      <c r="D31" s="97">
        <v>2317387</v>
      </c>
      <c r="E31" s="97">
        <f t="shared" si="2"/>
        <v>731213</v>
      </c>
      <c r="F31" s="98">
        <f t="shared" si="3"/>
        <v>0.46099166926201035</v>
      </c>
    </row>
    <row r="32" spans="1:6" ht="18" customHeight="1" x14ac:dyDescent="0.25">
      <c r="A32" s="99">
        <v>6</v>
      </c>
      <c r="B32" s="100" t="s">
        <v>117</v>
      </c>
      <c r="C32" s="97">
        <v>6093498</v>
      </c>
      <c r="D32" s="97">
        <v>7584781</v>
      </c>
      <c r="E32" s="97">
        <f t="shared" si="2"/>
        <v>1491283</v>
      </c>
      <c r="F32" s="98">
        <f t="shared" si="3"/>
        <v>0.24473348477344212</v>
      </c>
    </row>
    <row r="33" spans="1:6" ht="18" customHeight="1" x14ac:dyDescent="0.25">
      <c r="A33" s="99">
        <v>7</v>
      </c>
      <c r="B33" s="100" t="s">
        <v>118</v>
      </c>
      <c r="C33" s="97">
        <v>201646470</v>
      </c>
      <c r="D33" s="97">
        <v>245724993</v>
      </c>
      <c r="E33" s="97">
        <f t="shared" si="2"/>
        <v>44078523</v>
      </c>
      <c r="F33" s="98">
        <f t="shared" si="3"/>
        <v>0.21859308025575652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26654052</v>
      </c>
      <c r="D35" s="97">
        <v>27329396</v>
      </c>
      <c r="E35" s="97">
        <f t="shared" si="2"/>
        <v>675344</v>
      </c>
      <c r="F35" s="98">
        <f t="shared" si="3"/>
        <v>2.533738585037652E-2</v>
      </c>
    </row>
    <row r="36" spans="1:6" ht="18" customHeight="1" x14ac:dyDescent="0.25">
      <c r="A36" s="99">
        <v>10</v>
      </c>
      <c r="B36" s="100" t="s">
        <v>121</v>
      </c>
      <c r="C36" s="97">
        <v>21216679</v>
      </c>
      <c r="D36" s="97">
        <v>12034218</v>
      </c>
      <c r="E36" s="97">
        <f t="shared" si="2"/>
        <v>-9182461</v>
      </c>
      <c r="F36" s="98">
        <f t="shared" si="3"/>
        <v>-0.43279445383511717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493992632</v>
      </c>
      <c r="D38" s="103">
        <f>SUM(D27:D37)</f>
        <v>578027738</v>
      </c>
      <c r="E38" s="103">
        <f t="shared" si="2"/>
        <v>84035106</v>
      </c>
      <c r="F38" s="104">
        <f t="shared" si="3"/>
        <v>0.1701140878554642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646684217</v>
      </c>
      <c r="D41" s="103">
        <f t="shared" si="4"/>
        <v>713739844</v>
      </c>
      <c r="E41" s="107">
        <f t="shared" ref="E41:E52" si="5">D41-C41</f>
        <v>67055627</v>
      </c>
      <c r="F41" s="108">
        <f t="shared" ref="F41:F52" si="6">IF(C41=0,0,E41/C41)</f>
        <v>0.10369145440269806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102246644</v>
      </c>
      <c r="D42" s="103">
        <f t="shared" si="4"/>
        <v>128115039</v>
      </c>
      <c r="E42" s="107">
        <f t="shared" si="5"/>
        <v>25868395</v>
      </c>
      <c r="F42" s="108">
        <f t="shared" si="6"/>
        <v>0.2529999419834259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153127529</v>
      </c>
      <c r="D43" s="103">
        <f t="shared" si="4"/>
        <v>210676562</v>
      </c>
      <c r="E43" s="107">
        <f t="shared" si="5"/>
        <v>57549033</v>
      </c>
      <c r="F43" s="108">
        <f t="shared" si="6"/>
        <v>0.37582421250982245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69962912</v>
      </c>
      <c r="D44" s="103">
        <f t="shared" si="4"/>
        <v>83088364</v>
      </c>
      <c r="E44" s="107">
        <f t="shared" si="5"/>
        <v>13125452</v>
      </c>
      <c r="F44" s="108">
        <f t="shared" si="6"/>
        <v>0.18760585608557859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8265834</v>
      </c>
      <c r="D45" s="103">
        <f t="shared" si="4"/>
        <v>7108510</v>
      </c>
      <c r="E45" s="107">
        <f t="shared" si="5"/>
        <v>-1157324</v>
      </c>
      <c r="F45" s="108">
        <f t="shared" si="6"/>
        <v>-0.14001297388745043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18823569</v>
      </c>
      <c r="D46" s="103">
        <f t="shared" si="4"/>
        <v>21050335</v>
      </c>
      <c r="E46" s="107">
        <f t="shared" si="5"/>
        <v>2226766</v>
      </c>
      <c r="F46" s="108">
        <f t="shared" si="6"/>
        <v>0.11829669495726342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599039787</v>
      </c>
      <c r="D47" s="103">
        <f t="shared" si="4"/>
        <v>651518348</v>
      </c>
      <c r="E47" s="107">
        <f t="shared" si="5"/>
        <v>52478561</v>
      </c>
      <c r="F47" s="108">
        <f t="shared" si="6"/>
        <v>8.760446657944608E-2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45723087</v>
      </c>
      <c r="D49" s="103">
        <f t="shared" si="4"/>
        <v>47130779</v>
      </c>
      <c r="E49" s="107">
        <f t="shared" si="5"/>
        <v>1407692</v>
      </c>
      <c r="F49" s="108">
        <f t="shared" si="6"/>
        <v>3.0787335072104821E-2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70558069</v>
      </c>
      <c r="D50" s="103">
        <f t="shared" si="4"/>
        <v>39291342</v>
      </c>
      <c r="E50" s="107">
        <f t="shared" si="5"/>
        <v>-31266727</v>
      </c>
      <c r="F50" s="108">
        <f t="shared" si="6"/>
        <v>-0.44313467535513196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1714431648</v>
      </c>
      <c r="D52" s="112">
        <f>SUM(D41:D51)</f>
        <v>1901719123</v>
      </c>
      <c r="E52" s="111">
        <f t="shared" si="5"/>
        <v>187287475</v>
      </c>
      <c r="F52" s="113">
        <f t="shared" si="6"/>
        <v>0.10924172755355016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198225476</v>
      </c>
      <c r="D57" s="97">
        <v>223202415</v>
      </c>
      <c r="E57" s="97">
        <f t="shared" ref="E57:E68" si="7">D57-C57</f>
        <v>24976939</v>
      </c>
      <c r="F57" s="98">
        <f t="shared" ref="F57:F68" si="8">IF(C57=0,0,E57/C57)</f>
        <v>0.12600266879924152</v>
      </c>
    </row>
    <row r="58" spans="1:6" ht="18" customHeight="1" x14ac:dyDescent="0.25">
      <c r="A58" s="99">
        <v>2</v>
      </c>
      <c r="B58" s="100" t="s">
        <v>113</v>
      </c>
      <c r="C58" s="97">
        <v>30464729</v>
      </c>
      <c r="D58" s="97">
        <v>37739964</v>
      </c>
      <c r="E58" s="97">
        <f t="shared" si="7"/>
        <v>7275235</v>
      </c>
      <c r="F58" s="98">
        <f t="shared" si="8"/>
        <v>0.23880845944830167</v>
      </c>
    </row>
    <row r="59" spans="1:6" ht="18" customHeight="1" x14ac:dyDescent="0.25">
      <c r="A59" s="99">
        <v>3</v>
      </c>
      <c r="B59" s="100" t="s">
        <v>114</v>
      </c>
      <c r="C59" s="97">
        <v>36029227</v>
      </c>
      <c r="D59" s="97">
        <v>48119130</v>
      </c>
      <c r="E59" s="97">
        <f t="shared" si="7"/>
        <v>12089903</v>
      </c>
      <c r="F59" s="98">
        <f t="shared" si="8"/>
        <v>0.33555821222586873</v>
      </c>
    </row>
    <row r="60" spans="1:6" ht="18" customHeight="1" x14ac:dyDescent="0.25">
      <c r="A60" s="99">
        <v>4</v>
      </c>
      <c r="B60" s="100" t="s">
        <v>115</v>
      </c>
      <c r="C60" s="97">
        <v>14812276</v>
      </c>
      <c r="D60" s="97">
        <v>18369872</v>
      </c>
      <c r="E60" s="97">
        <f t="shared" si="7"/>
        <v>3557596</v>
      </c>
      <c r="F60" s="98">
        <f t="shared" si="8"/>
        <v>0.24017888945628613</v>
      </c>
    </row>
    <row r="61" spans="1:6" ht="18" customHeight="1" x14ac:dyDescent="0.25">
      <c r="A61" s="99">
        <v>5</v>
      </c>
      <c r="B61" s="100" t="s">
        <v>116</v>
      </c>
      <c r="C61" s="97">
        <v>1922241</v>
      </c>
      <c r="D61" s="97">
        <v>897963</v>
      </c>
      <c r="E61" s="97">
        <f t="shared" si="7"/>
        <v>-1024278</v>
      </c>
      <c r="F61" s="98">
        <f t="shared" si="8"/>
        <v>-0.53285618192515927</v>
      </c>
    </row>
    <row r="62" spans="1:6" ht="18" customHeight="1" x14ac:dyDescent="0.25">
      <c r="A62" s="99">
        <v>6</v>
      </c>
      <c r="B62" s="100" t="s">
        <v>117</v>
      </c>
      <c r="C62" s="97">
        <v>12568320</v>
      </c>
      <c r="D62" s="97">
        <v>11018539</v>
      </c>
      <c r="E62" s="97">
        <f t="shared" si="7"/>
        <v>-1549781</v>
      </c>
      <c r="F62" s="98">
        <f t="shared" si="8"/>
        <v>-0.12330852492616357</v>
      </c>
    </row>
    <row r="63" spans="1:6" ht="18" customHeight="1" x14ac:dyDescent="0.25">
      <c r="A63" s="99">
        <v>7</v>
      </c>
      <c r="B63" s="100" t="s">
        <v>118</v>
      </c>
      <c r="C63" s="97">
        <v>194993402</v>
      </c>
      <c r="D63" s="97">
        <v>206393940</v>
      </c>
      <c r="E63" s="97">
        <f t="shared" si="7"/>
        <v>11400538</v>
      </c>
      <c r="F63" s="98">
        <f t="shared" si="8"/>
        <v>5.8466275694805302E-2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1264171</v>
      </c>
      <c r="D65" s="97">
        <v>1057043</v>
      </c>
      <c r="E65" s="97">
        <f t="shared" si="7"/>
        <v>-207128</v>
      </c>
      <c r="F65" s="98">
        <f t="shared" si="8"/>
        <v>-0.16384492287831315</v>
      </c>
    </row>
    <row r="66" spans="1:6" ht="18" customHeight="1" x14ac:dyDescent="0.25">
      <c r="A66" s="99">
        <v>10</v>
      </c>
      <c r="B66" s="100" t="s">
        <v>121</v>
      </c>
      <c r="C66" s="97">
        <v>7516434</v>
      </c>
      <c r="D66" s="97">
        <v>7279004</v>
      </c>
      <c r="E66" s="97">
        <f t="shared" si="7"/>
        <v>-237430</v>
      </c>
      <c r="F66" s="98">
        <f t="shared" si="8"/>
        <v>-3.1588117450376069E-2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497796276</v>
      </c>
      <c r="D68" s="103">
        <f>SUM(D57:D67)</f>
        <v>554077870</v>
      </c>
      <c r="E68" s="103">
        <f t="shared" si="7"/>
        <v>56281594</v>
      </c>
      <c r="F68" s="104">
        <f t="shared" si="8"/>
        <v>0.11306150068507141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48089348</v>
      </c>
      <c r="D70" s="97">
        <v>52319090</v>
      </c>
      <c r="E70" s="97">
        <f t="shared" ref="E70:E81" si="9">D70-C70</f>
        <v>4229742</v>
      </c>
      <c r="F70" s="98">
        <f t="shared" ref="F70:F81" si="10">IF(C70=0,0,E70/C70)</f>
        <v>8.7955902417308718E-2</v>
      </c>
    </row>
    <row r="71" spans="1:6" ht="18" customHeight="1" x14ac:dyDescent="0.25">
      <c r="A71" s="99">
        <v>2</v>
      </c>
      <c r="B71" s="100" t="s">
        <v>113</v>
      </c>
      <c r="C71" s="97">
        <v>6256075</v>
      </c>
      <c r="D71" s="97">
        <v>8741023</v>
      </c>
      <c r="E71" s="97">
        <f t="shared" si="9"/>
        <v>2484948</v>
      </c>
      <c r="F71" s="98">
        <f t="shared" si="10"/>
        <v>0.39720559616053197</v>
      </c>
    </row>
    <row r="72" spans="1:6" ht="18" customHeight="1" x14ac:dyDescent="0.25">
      <c r="A72" s="99">
        <v>3</v>
      </c>
      <c r="B72" s="100" t="s">
        <v>114</v>
      </c>
      <c r="C72" s="97">
        <v>11469865</v>
      </c>
      <c r="D72" s="97">
        <v>12214103</v>
      </c>
      <c r="E72" s="97">
        <f t="shared" si="9"/>
        <v>744238</v>
      </c>
      <c r="F72" s="98">
        <f t="shared" si="10"/>
        <v>6.4886378348829737E-2</v>
      </c>
    </row>
    <row r="73" spans="1:6" ht="18" customHeight="1" x14ac:dyDescent="0.25">
      <c r="A73" s="99">
        <v>4</v>
      </c>
      <c r="B73" s="100" t="s">
        <v>115</v>
      </c>
      <c r="C73" s="97">
        <v>9496635</v>
      </c>
      <c r="D73" s="97">
        <v>11224417</v>
      </c>
      <c r="E73" s="97">
        <f t="shared" si="9"/>
        <v>1727782</v>
      </c>
      <c r="F73" s="98">
        <f t="shared" si="10"/>
        <v>0.18193623320260283</v>
      </c>
    </row>
    <row r="74" spans="1:6" ht="18" customHeight="1" x14ac:dyDescent="0.25">
      <c r="A74" s="99">
        <v>5</v>
      </c>
      <c r="B74" s="100" t="s">
        <v>116</v>
      </c>
      <c r="C74" s="97">
        <v>517232</v>
      </c>
      <c r="D74" s="97">
        <v>1091920</v>
      </c>
      <c r="E74" s="97">
        <f t="shared" si="9"/>
        <v>574688</v>
      </c>
      <c r="F74" s="98">
        <f t="shared" si="10"/>
        <v>1.1110836143162062</v>
      </c>
    </row>
    <row r="75" spans="1:6" ht="18" customHeight="1" x14ac:dyDescent="0.25">
      <c r="A75" s="99">
        <v>6</v>
      </c>
      <c r="B75" s="100" t="s">
        <v>117</v>
      </c>
      <c r="C75" s="97">
        <v>6016073</v>
      </c>
      <c r="D75" s="97">
        <v>6206443</v>
      </c>
      <c r="E75" s="97">
        <f t="shared" si="9"/>
        <v>190370</v>
      </c>
      <c r="F75" s="98">
        <f t="shared" si="10"/>
        <v>3.1643565495299009E-2</v>
      </c>
    </row>
    <row r="76" spans="1:6" ht="18" customHeight="1" x14ac:dyDescent="0.25">
      <c r="A76" s="99">
        <v>7</v>
      </c>
      <c r="B76" s="100" t="s">
        <v>118</v>
      </c>
      <c r="C76" s="97">
        <v>102774265</v>
      </c>
      <c r="D76" s="97">
        <v>124926731</v>
      </c>
      <c r="E76" s="97">
        <f t="shared" si="9"/>
        <v>22152466</v>
      </c>
      <c r="F76" s="98">
        <f t="shared" si="10"/>
        <v>0.21554487400128816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1767017</v>
      </c>
      <c r="D78" s="97">
        <v>1458906</v>
      </c>
      <c r="E78" s="97">
        <f t="shared" si="9"/>
        <v>-308111</v>
      </c>
      <c r="F78" s="98">
        <f t="shared" si="10"/>
        <v>-0.17436787535151049</v>
      </c>
    </row>
    <row r="79" spans="1:6" ht="18" customHeight="1" x14ac:dyDescent="0.25">
      <c r="A79" s="99">
        <v>10</v>
      </c>
      <c r="B79" s="100" t="s">
        <v>121</v>
      </c>
      <c r="C79" s="97">
        <v>4336291</v>
      </c>
      <c r="D79" s="97">
        <v>2632027</v>
      </c>
      <c r="E79" s="97">
        <f t="shared" si="9"/>
        <v>-1704264</v>
      </c>
      <c r="F79" s="98">
        <f t="shared" si="10"/>
        <v>-0.39302343869449718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190722801</v>
      </c>
      <c r="D81" s="103">
        <f>SUM(D70:D80)</f>
        <v>220814660</v>
      </c>
      <c r="E81" s="103">
        <f t="shared" si="9"/>
        <v>30091859</v>
      </c>
      <c r="F81" s="104">
        <f t="shared" si="10"/>
        <v>0.15777798376608362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246314824</v>
      </c>
      <c r="D84" s="103">
        <f t="shared" si="11"/>
        <v>275521505</v>
      </c>
      <c r="E84" s="103">
        <f t="shared" ref="E84:E95" si="12">D84-C84</f>
        <v>29206681</v>
      </c>
      <c r="F84" s="104">
        <f t="shared" ref="F84:F95" si="13">IF(C84=0,0,E84/C84)</f>
        <v>0.11857459703683933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36720804</v>
      </c>
      <c r="D85" s="103">
        <f t="shared" si="11"/>
        <v>46480987</v>
      </c>
      <c r="E85" s="103">
        <f t="shared" si="12"/>
        <v>9760183</v>
      </c>
      <c r="F85" s="104">
        <f t="shared" si="13"/>
        <v>0.26579437095113712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47499092</v>
      </c>
      <c r="D86" s="103">
        <f t="shared" si="11"/>
        <v>60333233</v>
      </c>
      <c r="E86" s="103">
        <f t="shared" si="12"/>
        <v>12834141</v>
      </c>
      <c r="F86" s="104">
        <f t="shared" si="13"/>
        <v>0.27019760714583763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24308911</v>
      </c>
      <c r="D87" s="103">
        <f t="shared" si="11"/>
        <v>29594289</v>
      </c>
      <c r="E87" s="103">
        <f t="shared" si="12"/>
        <v>5285378</v>
      </c>
      <c r="F87" s="104">
        <f t="shared" si="13"/>
        <v>0.21742553584568228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2439473</v>
      </c>
      <c r="D88" s="103">
        <f t="shared" si="11"/>
        <v>1989883</v>
      </c>
      <c r="E88" s="103">
        <f t="shared" si="12"/>
        <v>-449590</v>
      </c>
      <c r="F88" s="104">
        <f t="shared" si="13"/>
        <v>-0.18429800206847954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18584393</v>
      </c>
      <c r="D89" s="103">
        <f t="shared" si="11"/>
        <v>17224982</v>
      </c>
      <c r="E89" s="103">
        <f t="shared" si="12"/>
        <v>-1359411</v>
      </c>
      <c r="F89" s="104">
        <f t="shared" si="13"/>
        <v>-7.3147990359437615E-2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297767667</v>
      </c>
      <c r="D90" s="103">
        <f t="shared" si="11"/>
        <v>331320671</v>
      </c>
      <c r="E90" s="103">
        <f t="shared" si="12"/>
        <v>33553004</v>
      </c>
      <c r="F90" s="104">
        <f t="shared" si="13"/>
        <v>0.11268182451790509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3031188</v>
      </c>
      <c r="D92" s="103">
        <f t="shared" si="11"/>
        <v>2515949</v>
      </c>
      <c r="E92" s="103">
        <f t="shared" si="12"/>
        <v>-515239</v>
      </c>
      <c r="F92" s="104">
        <f t="shared" si="13"/>
        <v>-0.16997922926588518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11852725</v>
      </c>
      <c r="D93" s="103">
        <f t="shared" si="11"/>
        <v>9911031</v>
      </c>
      <c r="E93" s="103">
        <f t="shared" si="12"/>
        <v>-1941694</v>
      </c>
      <c r="F93" s="104">
        <f t="shared" si="13"/>
        <v>-0.16381836244407932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688519077</v>
      </c>
      <c r="D95" s="112">
        <f>SUM(D84:D94)</f>
        <v>774892530</v>
      </c>
      <c r="E95" s="112">
        <f t="shared" si="12"/>
        <v>86373453</v>
      </c>
      <c r="F95" s="113">
        <f t="shared" si="13"/>
        <v>0.12544816241888967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13575</v>
      </c>
      <c r="D100" s="117">
        <v>13542</v>
      </c>
      <c r="E100" s="117">
        <f t="shared" ref="E100:E111" si="14">D100-C100</f>
        <v>-33</v>
      </c>
      <c r="F100" s="98">
        <f t="shared" ref="F100:F111" si="15">IF(C100=0,0,E100/C100)</f>
        <v>-2.4309392265193372E-3</v>
      </c>
    </row>
    <row r="101" spans="1:6" ht="18" customHeight="1" x14ac:dyDescent="0.25">
      <c r="A101" s="99">
        <v>2</v>
      </c>
      <c r="B101" s="100" t="s">
        <v>113</v>
      </c>
      <c r="C101" s="117">
        <v>1958</v>
      </c>
      <c r="D101" s="117">
        <v>2277</v>
      </c>
      <c r="E101" s="117">
        <f t="shared" si="14"/>
        <v>319</v>
      </c>
      <c r="F101" s="98">
        <f t="shared" si="15"/>
        <v>0.16292134831460675</v>
      </c>
    </row>
    <row r="102" spans="1:6" ht="18" customHeight="1" x14ac:dyDescent="0.25">
      <c r="A102" s="99">
        <v>3</v>
      </c>
      <c r="B102" s="100" t="s">
        <v>114</v>
      </c>
      <c r="C102" s="117">
        <v>3707</v>
      </c>
      <c r="D102" s="117">
        <v>4582</v>
      </c>
      <c r="E102" s="117">
        <f t="shared" si="14"/>
        <v>875</v>
      </c>
      <c r="F102" s="98">
        <f t="shared" si="15"/>
        <v>0.23603992446722416</v>
      </c>
    </row>
    <row r="103" spans="1:6" ht="18" customHeight="1" x14ac:dyDescent="0.25">
      <c r="A103" s="99">
        <v>4</v>
      </c>
      <c r="B103" s="100" t="s">
        <v>115</v>
      </c>
      <c r="C103" s="117">
        <v>3235</v>
      </c>
      <c r="D103" s="117">
        <v>3341</v>
      </c>
      <c r="E103" s="117">
        <f t="shared" si="14"/>
        <v>106</v>
      </c>
      <c r="F103" s="98">
        <f t="shared" si="15"/>
        <v>3.2766615146831532E-2</v>
      </c>
    </row>
    <row r="104" spans="1:6" ht="18" customHeight="1" x14ac:dyDescent="0.25">
      <c r="A104" s="99">
        <v>5</v>
      </c>
      <c r="B104" s="100" t="s">
        <v>116</v>
      </c>
      <c r="C104" s="117">
        <v>186</v>
      </c>
      <c r="D104" s="117">
        <v>166</v>
      </c>
      <c r="E104" s="117">
        <f t="shared" si="14"/>
        <v>-20</v>
      </c>
      <c r="F104" s="98">
        <f t="shared" si="15"/>
        <v>-0.10752688172043011</v>
      </c>
    </row>
    <row r="105" spans="1:6" ht="18" customHeight="1" x14ac:dyDescent="0.25">
      <c r="A105" s="99">
        <v>6</v>
      </c>
      <c r="B105" s="100" t="s">
        <v>117</v>
      </c>
      <c r="C105" s="117">
        <v>345</v>
      </c>
      <c r="D105" s="117">
        <v>326</v>
      </c>
      <c r="E105" s="117">
        <f t="shared" si="14"/>
        <v>-19</v>
      </c>
      <c r="F105" s="98">
        <f t="shared" si="15"/>
        <v>-5.5072463768115941E-2</v>
      </c>
    </row>
    <row r="106" spans="1:6" ht="18" customHeight="1" x14ac:dyDescent="0.25">
      <c r="A106" s="99">
        <v>7</v>
      </c>
      <c r="B106" s="100" t="s">
        <v>118</v>
      </c>
      <c r="C106" s="117">
        <v>15600</v>
      </c>
      <c r="D106" s="117">
        <v>15034</v>
      </c>
      <c r="E106" s="117">
        <f t="shared" si="14"/>
        <v>-566</v>
      </c>
      <c r="F106" s="98">
        <f t="shared" si="15"/>
        <v>-3.6282051282051281E-2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694</v>
      </c>
      <c r="D108" s="117">
        <v>690</v>
      </c>
      <c r="E108" s="117">
        <f t="shared" si="14"/>
        <v>-4</v>
      </c>
      <c r="F108" s="98">
        <f t="shared" si="15"/>
        <v>-5.763688760806916E-3</v>
      </c>
    </row>
    <row r="109" spans="1:6" ht="18" customHeight="1" x14ac:dyDescent="0.25">
      <c r="A109" s="99">
        <v>10</v>
      </c>
      <c r="B109" s="100" t="s">
        <v>121</v>
      </c>
      <c r="C109" s="117">
        <v>1888</v>
      </c>
      <c r="D109" s="117">
        <v>1307</v>
      </c>
      <c r="E109" s="117">
        <f t="shared" si="14"/>
        <v>-581</v>
      </c>
      <c r="F109" s="98">
        <f t="shared" si="15"/>
        <v>-0.30773305084745761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41188</v>
      </c>
      <c r="D111" s="118">
        <f>SUM(D100:D110)</f>
        <v>41265</v>
      </c>
      <c r="E111" s="118">
        <f t="shared" si="14"/>
        <v>77</v>
      </c>
      <c r="F111" s="104">
        <f t="shared" si="15"/>
        <v>1.8694765465669613E-3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84415</v>
      </c>
      <c r="D113" s="117">
        <v>87072</v>
      </c>
      <c r="E113" s="117">
        <f t="shared" ref="E113:E124" si="16">D113-C113</f>
        <v>2657</v>
      </c>
      <c r="F113" s="98">
        <f t="shared" ref="F113:F124" si="17">IF(C113=0,0,E113/C113)</f>
        <v>3.147544867618314E-2</v>
      </c>
    </row>
    <row r="114" spans="1:6" ht="18" customHeight="1" x14ac:dyDescent="0.25">
      <c r="A114" s="99">
        <v>2</v>
      </c>
      <c r="B114" s="100" t="s">
        <v>113</v>
      </c>
      <c r="C114" s="117">
        <v>12351</v>
      </c>
      <c r="D114" s="117">
        <v>14222</v>
      </c>
      <c r="E114" s="117">
        <f t="shared" si="16"/>
        <v>1871</v>
      </c>
      <c r="F114" s="98">
        <f t="shared" si="17"/>
        <v>0.15148570965913691</v>
      </c>
    </row>
    <row r="115" spans="1:6" ht="18" customHeight="1" x14ac:dyDescent="0.25">
      <c r="A115" s="99">
        <v>3</v>
      </c>
      <c r="B115" s="100" t="s">
        <v>114</v>
      </c>
      <c r="C115" s="117">
        <v>26628</v>
      </c>
      <c r="D115" s="117">
        <v>31474</v>
      </c>
      <c r="E115" s="117">
        <f t="shared" si="16"/>
        <v>4846</v>
      </c>
      <c r="F115" s="98">
        <f t="shared" si="17"/>
        <v>0.18198888388162837</v>
      </c>
    </row>
    <row r="116" spans="1:6" ht="18" customHeight="1" x14ac:dyDescent="0.25">
      <c r="A116" s="99">
        <v>4</v>
      </c>
      <c r="B116" s="100" t="s">
        <v>115</v>
      </c>
      <c r="C116" s="117">
        <v>9943</v>
      </c>
      <c r="D116" s="117">
        <v>10572</v>
      </c>
      <c r="E116" s="117">
        <f t="shared" si="16"/>
        <v>629</v>
      </c>
      <c r="F116" s="98">
        <f t="shared" si="17"/>
        <v>6.3260585336417582E-2</v>
      </c>
    </row>
    <row r="117" spans="1:6" ht="18" customHeight="1" x14ac:dyDescent="0.25">
      <c r="A117" s="99">
        <v>5</v>
      </c>
      <c r="B117" s="100" t="s">
        <v>116</v>
      </c>
      <c r="C117" s="117">
        <v>1211</v>
      </c>
      <c r="D117" s="117">
        <v>951</v>
      </c>
      <c r="E117" s="117">
        <f t="shared" si="16"/>
        <v>-260</v>
      </c>
      <c r="F117" s="98">
        <f t="shared" si="17"/>
        <v>-0.21469859620148637</v>
      </c>
    </row>
    <row r="118" spans="1:6" ht="18" customHeight="1" x14ac:dyDescent="0.25">
      <c r="A118" s="99">
        <v>6</v>
      </c>
      <c r="B118" s="100" t="s">
        <v>117</v>
      </c>
      <c r="C118" s="117">
        <v>1623</v>
      </c>
      <c r="D118" s="117">
        <v>1554</v>
      </c>
      <c r="E118" s="117">
        <f t="shared" si="16"/>
        <v>-69</v>
      </c>
      <c r="F118" s="98">
        <f t="shared" si="17"/>
        <v>-4.2513863216266171E-2</v>
      </c>
    </row>
    <row r="119" spans="1:6" ht="18" customHeight="1" x14ac:dyDescent="0.25">
      <c r="A119" s="99">
        <v>7</v>
      </c>
      <c r="B119" s="100" t="s">
        <v>118</v>
      </c>
      <c r="C119" s="117">
        <v>66209</v>
      </c>
      <c r="D119" s="117">
        <v>63877</v>
      </c>
      <c r="E119" s="117">
        <f t="shared" si="16"/>
        <v>-2332</v>
      </c>
      <c r="F119" s="98">
        <f t="shared" si="17"/>
        <v>-3.5221797640804117E-2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3053</v>
      </c>
      <c r="D121" s="117">
        <v>2939</v>
      </c>
      <c r="E121" s="117">
        <f t="shared" si="16"/>
        <v>-114</v>
      </c>
      <c r="F121" s="98">
        <f t="shared" si="17"/>
        <v>-3.7340320995741895E-2</v>
      </c>
    </row>
    <row r="122" spans="1:6" ht="18" customHeight="1" x14ac:dyDescent="0.25">
      <c r="A122" s="99">
        <v>10</v>
      </c>
      <c r="B122" s="100" t="s">
        <v>121</v>
      </c>
      <c r="C122" s="117">
        <v>10525</v>
      </c>
      <c r="D122" s="117">
        <v>7453</v>
      </c>
      <c r="E122" s="117">
        <f t="shared" si="16"/>
        <v>-3072</v>
      </c>
      <c r="F122" s="98">
        <f t="shared" si="17"/>
        <v>-0.29187648456057008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215958</v>
      </c>
      <c r="D124" s="118">
        <f>SUM(D113:D123)</f>
        <v>220114</v>
      </c>
      <c r="E124" s="118">
        <f t="shared" si="16"/>
        <v>4156</v>
      </c>
      <c r="F124" s="104">
        <f t="shared" si="17"/>
        <v>1.924448272349253E-2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47268</v>
      </c>
      <c r="D126" s="117">
        <v>72329</v>
      </c>
      <c r="E126" s="117">
        <f t="shared" ref="E126:E137" si="18">D126-C126</f>
        <v>25061</v>
      </c>
      <c r="F126" s="98">
        <f t="shared" ref="F126:F137" si="19">IF(C126=0,0,E126/C126)</f>
        <v>0.53018955741728024</v>
      </c>
    </row>
    <row r="127" spans="1:6" ht="18" customHeight="1" x14ac:dyDescent="0.25">
      <c r="A127" s="99">
        <v>2</v>
      </c>
      <c r="B127" s="100" t="s">
        <v>113</v>
      </c>
      <c r="C127" s="117">
        <v>3691</v>
      </c>
      <c r="D127" s="117">
        <v>8959</v>
      </c>
      <c r="E127" s="117">
        <f t="shared" si="18"/>
        <v>5268</v>
      </c>
      <c r="F127" s="98">
        <f t="shared" si="19"/>
        <v>1.4272554863180711</v>
      </c>
    </row>
    <row r="128" spans="1:6" ht="18" customHeight="1" x14ac:dyDescent="0.25">
      <c r="A128" s="99">
        <v>3</v>
      </c>
      <c r="B128" s="100" t="s">
        <v>114</v>
      </c>
      <c r="C128" s="117">
        <v>47909</v>
      </c>
      <c r="D128" s="117">
        <v>56665</v>
      </c>
      <c r="E128" s="117">
        <f t="shared" si="18"/>
        <v>8756</v>
      </c>
      <c r="F128" s="98">
        <f t="shared" si="19"/>
        <v>0.18276315514830199</v>
      </c>
    </row>
    <row r="129" spans="1:6" ht="18" customHeight="1" x14ac:dyDescent="0.25">
      <c r="A129" s="99">
        <v>4</v>
      </c>
      <c r="B129" s="100" t="s">
        <v>115</v>
      </c>
      <c r="C129" s="117">
        <v>49675</v>
      </c>
      <c r="D129" s="117">
        <v>62651</v>
      </c>
      <c r="E129" s="117">
        <f t="shared" si="18"/>
        <v>12976</v>
      </c>
      <c r="F129" s="98">
        <f t="shared" si="19"/>
        <v>0.26121791645697029</v>
      </c>
    </row>
    <row r="130" spans="1:6" ht="18" customHeight="1" x14ac:dyDescent="0.25">
      <c r="A130" s="99">
        <v>5</v>
      </c>
      <c r="B130" s="100" t="s">
        <v>116</v>
      </c>
      <c r="C130" s="117">
        <v>390</v>
      </c>
      <c r="D130" s="117">
        <v>475</v>
      </c>
      <c r="E130" s="117">
        <f t="shared" si="18"/>
        <v>85</v>
      </c>
      <c r="F130" s="98">
        <f t="shared" si="19"/>
        <v>0.21794871794871795</v>
      </c>
    </row>
    <row r="131" spans="1:6" ht="18" customHeight="1" x14ac:dyDescent="0.25">
      <c r="A131" s="99">
        <v>6</v>
      </c>
      <c r="B131" s="100" t="s">
        <v>117</v>
      </c>
      <c r="C131" s="117">
        <v>2659</v>
      </c>
      <c r="D131" s="117">
        <v>11069</v>
      </c>
      <c r="E131" s="117">
        <f t="shared" si="18"/>
        <v>8410</v>
      </c>
      <c r="F131" s="98">
        <f t="shared" si="19"/>
        <v>3.1628431741256113</v>
      </c>
    </row>
    <row r="132" spans="1:6" ht="18" customHeight="1" x14ac:dyDescent="0.25">
      <c r="A132" s="99">
        <v>7</v>
      </c>
      <c r="B132" s="100" t="s">
        <v>118</v>
      </c>
      <c r="C132" s="117">
        <v>34637</v>
      </c>
      <c r="D132" s="117">
        <v>79774</v>
      </c>
      <c r="E132" s="117">
        <f t="shared" si="18"/>
        <v>45137</v>
      </c>
      <c r="F132" s="98">
        <f t="shared" si="19"/>
        <v>1.3031440367237348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28104</v>
      </c>
      <c r="D134" s="117">
        <v>35449</v>
      </c>
      <c r="E134" s="117">
        <f t="shared" si="18"/>
        <v>7345</v>
      </c>
      <c r="F134" s="98">
        <f t="shared" si="19"/>
        <v>0.26135069740962141</v>
      </c>
    </row>
    <row r="135" spans="1:6" ht="18" customHeight="1" x14ac:dyDescent="0.25">
      <c r="A135" s="99">
        <v>10</v>
      </c>
      <c r="B135" s="100" t="s">
        <v>121</v>
      </c>
      <c r="C135" s="117">
        <v>14900</v>
      </c>
      <c r="D135" s="117">
        <v>11763</v>
      </c>
      <c r="E135" s="117">
        <f t="shared" si="18"/>
        <v>-3137</v>
      </c>
      <c r="F135" s="98">
        <f t="shared" si="19"/>
        <v>-0.21053691275167785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229233</v>
      </c>
      <c r="D137" s="118">
        <f>SUM(D126:D136)</f>
        <v>339134</v>
      </c>
      <c r="E137" s="118">
        <f t="shared" si="18"/>
        <v>109901</v>
      </c>
      <c r="F137" s="104">
        <f t="shared" si="19"/>
        <v>0.4794292270310121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20967786</v>
      </c>
      <c r="D142" s="97">
        <v>25253004</v>
      </c>
      <c r="E142" s="97">
        <f t="shared" ref="E142:E153" si="20">D142-C142</f>
        <v>4285218</v>
      </c>
      <c r="F142" s="98">
        <f t="shared" ref="F142:F153" si="21">IF(C142=0,0,E142/C142)</f>
        <v>0.2043715058900353</v>
      </c>
    </row>
    <row r="143" spans="1:6" ht="18" customHeight="1" x14ac:dyDescent="0.25">
      <c r="A143" s="99">
        <v>2</v>
      </c>
      <c r="B143" s="100" t="s">
        <v>113</v>
      </c>
      <c r="C143" s="97">
        <v>4119951</v>
      </c>
      <c r="D143" s="97">
        <v>5658118</v>
      </c>
      <c r="E143" s="97">
        <f t="shared" si="20"/>
        <v>1538167</v>
      </c>
      <c r="F143" s="98">
        <f t="shared" si="21"/>
        <v>0.37334594513381347</v>
      </c>
    </row>
    <row r="144" spans="1:6" ht="18" customHeight="1" x14ac:dyDescent="0.25">
      <c r="A144" s="99">
        <v>3</v>
      </c>
      <c r="B144" s="100" t="s">
        <v>114</v>
      </c>
      <c r="C144" s="97">
        <v>12750993</v>
      </c>
      <c r="D144" s="97">
        <v>20041271</v>
      </c>
      <c r="E144" s="97">
        <f t="shared" si="20"/>
        <v>7290278</v>
      </c>
      <c r="F144" s="98">
        <f t="shared" si="21"/>
        <v>0.57174198119315101</v>
      </c>
    </row>
    <row r="145" spans="1:6" ht="18" customHeight="1" x14ac:dyDescent="0.25">
      <c r="A145" s="99">
        <v>4</v>
      </c>
      <c r="B145" s="100" t="s">
        <v>115</v>
      </c>
      <c r="C145" s="97">
        <v>16348457</v>
      </c>
      <c r="D145" s="97">
        <v>18183797</v>
      </c>
      <c r="E145" s="97">
        <f t="shared" si="20"/>
        <v>1835340</v>
      </c>
      <c r="F145" s="98">
        <f t="shared" si="21"/>
        <v>0.11226380569126493</v>
      </c>
    </row>
    <row r="146" spans="1:6" ht="18" customHeight="1" x14ac:dyDescent="0.25">
      <c r="A146" s="99">
        <v>5</v>
      </c>
      <c r="B146" s="100" t="s">
        <v>116</v>
      </c>
      <c r="C146" s="97">
        <v>560817</v>
      </c>
      <c r="D146" s="97">
        <v>568660</v>
      </c>
      <c r="E146" s="97">
        <f t="shared" si="20"/>
        <v>7843</v>
      </c>
      <c r="F146" s="98">
        <f t="shared" si="21"/>
        <v>1.398495409375964E-2</v>
      </c>
    </row>
    <row r="147" spans="1:6" ht="18" customHeight="1" x14ac:dyDescent="0.25">
      <c r="A147" s="99">
        <v>6</v>
      </c>
      <c r="B147" s="100" t="s">
        <v>117</v>
      </c>
      <c r="C147" s="97">
        <v>3538765</v>
      </c>
      <c r="D147" s="97">
        <v>39932948</v>
      </c>
      <c r="E147" s="97">
        <f t="shared" si="20"/>
        <v>36394183</v>
      </c>
      <c r="F147" s="98">
        <f t="shared" si="21"/>
        <v>10.284430585246549</v>
      </c>
    </row>
    <row r="148" spans="1:6" ht="18" customHeight="1" x14ac:dyDescent="0.25">
      <c r="A148" s="99">
        <v>7</v>
      </c>
      <c r="B148" s="100" t="s">
        <v>118</v>
      </c>
      <c r="C148" s="97">
        <v>36624069</v>
      </c>
      <c r="D148" s="97">
        <v>37583382</v>
      </c>
      <c r="E148" s="97">
        <f t="shared" si="20"/>
        <v>959313</v>
      </c>
      <c r="F148" s="98">
        <f t="shared" si="21"/>
        <v>2.619351225009979E-2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16995384</v>
      </c>
      <c r="D150" s="97">
        <v>22410799</v>
      </c>
      <c r="E150" s="97">
        <f t="shared" si="20"/>
        <v>5415415</v>
      </c>
      <c r="F150" s="98">
        <f t="shared" si="21"/>
        <v>0.31864034375451594</v>
      </c>
    </row>
    <row r="151" spans="1:6" ht="18" customHeight="1" x14ac:dyDescent="0.25">
      <c r="A151" s="99">
        <v>10</v>
      </c>
      <c r="B151" s="100" t="s">
        <v>121</v>
      </c>
      <c r="C151" s="97">
        <v>12762621</v>
      </c>
      <c r="D151" s="97">
        <v>10200153</v>
      </c>
      <c r="E151" s="97">
        <f t="shared" si="20"/>
        <v>-2562468</v>
      </c>
      <c r="F151" s="98">
        <f t="shared" si="21"/>
        <v>-0.20077913463073141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124668843</v>
      </c>
      <c r="D153" s="103">
        <f>SUM(D142:D152)</f>
        <v>179832132</v>
      </c>
      <c r="E153" s="103">
        <f t="shared" si="20"/>
        <v>55163289</v>
      </c>
      <c r="F153" s="104">
        <f t="shared" si="21"/>
        <v>0.44247855095599148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5195674</v>
      </c>
      <c r="D155" s="97">
        <v>6010215</v>
      </c>
      <c r="E155" s="97">
        <f t="shared" ref="E155:E166" si="22">D155-C155</f>
        <v>814541</v>
      </c>
      <c r="F155" s="98">
        <f t="shared" ref="F155:F166" si="23">IF(C155=0,0,E155/C155)</f>
        <v>0.15677292301249077</v>
      </c>
    </row>
    <row r="156" spans="1:6" ht="18" customHeight="1" x14ac:dyDescent="0.25">
      <c r="A156" s="99">
        <v>2</v>
      </c>
      <c r="B156" s="100" t="s">
        <v>113</v>
      </c>
      <c r="C156" s="97">
        <v>1020043</v>
      </c>
      <c r="D156" s="97">
        <v>1324000</v>
      </c>
      <c r="E156" s="97">
        <f t="shared" si="22"/>
        <v>303957</v>
      </c>
      <c r="F156" s="98">
        <f t="shared" si="23"/>
        <v>0.2979844967320005</v>
      </c>
    </row>
    <row r="157" spans="1:6" ht="18" customHeight="1" x14ac:dyDescent="0.25">
      <c r="A157" s="99">
        <v>3</v>
      </c>
      <c r="B157" s="100" t="s">
        <v>114</v>
      </c>
      <c r="C157" s="97">
        <v>2816514</v>
      </c>
      <c r="D157" s="97">
        <v>4078399</v>
      </c>
      <c r="E157" s="97">
        <f t="shared" si="22"/>
        <v>1261885</v>
      </c>
      <c r="F157" s="98">
        <f t="shared" si="23"/>
        <v>0.44803079267491658</v>
      </c>
    </row>
    <row r="158" spans="1:6" ht="18" customHeight="1" x14ac:dyDescent="0.25">
      <c r="A158" s="99">
        <v>4</v>
      </c>
      <c r="B158" s="100" t="s">
        <v>115</v>
      </c>
      <c r="C158" s="97">
        <v>3839769</v>
      </c>
      <c r="D158" s="97">
        <v>4000435</v>
      </c>
      <c r="E158" s="97">
        <f t="shared" si="22"/>
        <v>160666</v>
      </c>
      <c r="F158" s="98">
        <f t="shared" si="23"/>
        <v>4.1842621261851953E-2</v>
      </c>
    </row>
    <row r="159" spans="1:6" ht="18" customHeight="1" x14ac:dyDescent="0.25">
      <c r="A159" s="99">
        <v>5</v>
      </c>
      <c r="B159" s="100" t="s">
        <v>116</v>
      </c>
      <c r="C159" s="97">
        <v>189550</v>
      </c>
      <c r="D159" s="97">
        <v>164911</v>
      </c>
      <c r="E159" s="97">
        <f t="shared" si="22"/>
        <v>-24639</v>
      </c>
      <c r="F159" s="98">
        <f t="shared" si="23"/>
        <v>-0.12998681086784489</v>
      </c>
    </row>
    <row r="160" spans="1:6" ht="18" customHeight="1" x14ac:dyDescent="0.25">
      <c r="A160" s="99">
        <v>6</v>
      </c>
      <c r="B160" s="100" t="s">
        <v>117</v>
      </c>
      <c r="C160" s="97">
        <v>3538765</v>
      </c>
      <c r="D160" s="97">
        <v>3897551</v>
      </c>
      <c r="E160" s="97">
        <f t="shared" si="22"/>
        <v>358786</v>
      </c>
      <c r="F160" s="98">
        <f t="shared" si="23"/>
        <v>0.10138734841109823</v>
      </c>
    </row>
    <row r="161" spans="1:6" ht="18" customHeight="1" x14ac:dyDescent="0.25">
      <c r="A161" s="99">
        <v>7</v>
      </c>
      <c r="B161" s="100" t="s">
        <v>118</v>
      </c>
      <c r="C161" s="97">
        <v>15747393</v>
      </c>
      <c r="D161" s="97">
        <v>16857577</v>
      </c>
      <c r="E161" s="97">
        <f t="shared" si="22"/>
        <v>1110184</v>
      </c>
      <c r="F161" s="98">
        <f t="shared" si="23"/>
        <v>7.0499542368695572E-2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15682984</v>
      </c>
      <c r="D163" s="97">
        <v>20640346</v>
      </c>
      <c r="E163" s="97">
        <f t="shared" si="22"/>
        <v>4957362</v>
      </c>
      <c r="F163" s="98">
        <f t="shared" si="23"/>
        <v>0.31609813540586407</v>
      </c>
    </row>
    <row r="164" spans="1:6" ht="18" customHeight="1" x14ac:dyDescent="0.25">
      <c r="A164" s="99">
        <v>10</v>
      </c>
      <c r="B164" s="100" t="s">
        <v>121</v>
      </c>
      <c r="C164" s="97">
        <v>2415617</v>
      </c>
      <c r="D164" s="97">
        <v>1938029</v>
      </c>
      <c r="E164" s="97">
        <f t="shared" si="22"/>
        <v>-477588</v>
      </c>
      <c r="F164" s="98">
        <f t="shared" si="23"/>
        <v>-0.19770849435154661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50446309</v>
      </c>
      <c r="D166" s="103">
        <f>SUM(D155:D165)</f>
        <v>58911463</v>
      </c>
      <c r="E166" s="103">
        <f t="shared" si="22"/>
        <v>8465154</v>
      </c>
      <c r="F166" s="104">
        <f t="shared" si="23"/>
        <v>0.16780522039778967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9999</v>
      </c>
      <c r="D168" s="117">
        <v>10283</v>
      </c>
      <c r="E168" s="117">
        <f t="shared" ref="E168:E179" si="24">D168-C168</f>
        <v>284</v>
      </c>
      <c r="F168" s="98">
        <f t="shared" ref="F168:F179" si="25">IF(C168=0,0,E168/C168)</f>
        <v>2.8402840284028404E-2</v>
      </c>
    </row>
    <row r="169" spans="1:6" ht="18" customHeight="1" x14ac:dyDescent="0.25">
      <c r="A169" s="99">
        <v>2</v>
      </c>
      <c r="B169" s="100" t="s">
        <v>113</v>
      </c>
      <c r="C169" s="117">
        <v>1813</v>
      </c>
      <c r="D169" s="117">
        <v>2301</v>
      </c>
      <c r="E169" s="117">
        <f t="shared" si="24"/>
        <v>488</v>
      </c>
      <c r="F169" s="98">
        <f t="shared" si="25"/>
        <v>0.26916712630998346</v>
      </c>
    </row>
    <row r="170" spans="1:6" ht="18" customHeight="1" x14ac:dyDescent="0.25">
      <c r="A170" s="99">
        <v>3</v>
      </c>
      <c r="B170" s="100" t="s">
        <v>114</v>
      </c>
      <c r="C170" s="117">
        <v>8186</v>
      </c>
      <c r="D170" s="117">
        <v>12524</v>
      </c>
      <c r="E170" s="117">
        <f t="shared" si="24"/>
        <v>4338</v>
      </c>
      <c r="F170" s="98">
        <f t="shared" si="25"/>
        <v>0.52992914732470076</v>
      </c>
    </row>
    <row r="171" spans="1:6" ht="18" customHeight="1" x14ac:dyDescent="0.25">
      <c r="A171" s="99">
        <v>4</v>
      </c>
      <c r="B171" s="100" t="s">
        <v>115</v>
      </c>
      <c r="C171" s="117">
        <v>12421</v>
      </c>
      <c r="D171" s="117">
        <v>13592</v>
      </c>
      <c r="E171" s="117">
        <f t="shared" si="24"/>
        <v>1171</v>
      </c>
      <c r="F171" s="98">
        <f t="shared" si="25"/>
        <v>9.4275823202640691E-2</v>
      </c>
    </row>
    <row r="172" spans="1:6" ht="18" customHeight="1" x14ac:dyDescent="0.25">
      <c r="A172" s="99">
        <v>5</v>
      </c>
      <c r="B172" s="100" t="s">
        <v>116</v>
      </c>
      <c r="C172" s="117">
        <v>274</v>
      </c>
      <c r="D172" s="117">
        <v>228</v>
      </c>
      <c r="E172" s="117">
        <f t="shared" si="24"/>
        <v>-46</v>
      </c>
      <c r="F172" s="98">
        <f t="shared" si="25"/>
        <v>-0.16788321167883211</v>
      </c>
    </row>
    <row r="173" spans="1:6" ht="18" customHeight="1" x14ac:dyDescent="0.25">
      <c r="A173" s="99">
        <v>6</v>
      </c>
      <c r="B173" s="100" t="s">
        <v>117</v>
      </c>
      <c r="C173" s="117">
        <v>1779</v>
      </c>
      <c r="D173" s="117">
        <v>2157</v>
      </c>
      <c r="E173" s="117">
        <f t="shared" si="24"/>
        <v>378</v>
      </c>
      <c r="F173" s="98">
        <f t="shared" si="25"/>
        <v>0.21247892074198987</v>
      </c>
    </row>
    <row r="174" spans="1:6" ht="18" customHeight="1" x14ac:dyDescent="0.25">
      <c r="A174" s="99">
        <v>7</v>
      </c>
      <c r="B174" s="100" t="s">
        <v>118</v>
      </c>
      <c r="C174" s="117">
        <v>18060</v>
      </c>
      <c r="D174" s="117">
        <v>16266</v>
      </c>
      <c r="E174" s="117">
        <f t="shared" si="24"/>
        <v>-1794</v>
      </c>
      <c r="F174" s="98">
        <f t="shared" si="25"/>
        <v>-9.9335548172757471E-2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11519</v>
      </c>
      <c r="D176" s="117">
        <v>14151</v>
      </c>
      <c r="E176" s="117">
        <f t="shared" si="24"/>
        <v>2632</v>
      </c>
      <c r="F176" s="98">
        <f t="shared" si="25"/>
        <v>0.22849205660213559</v>
      </c>
    </row>
    <row r="177" spans="1:6" ht="18" customHeight="1" x14ac:dyDescent="0.25">
      <c r="A177" s="99">
        <v>10</v>
      </c>
      <c r="B177" s="100" t="s">
        <v>121</v>
      </c>
      <c r="C177" s="117">
        <v>9664</v>
      </c>
      <c r="D177" s="117">
        <v>7168</v>
      </c>
      <c r="E177" s="117">
        <f t="shared" si="24"/>
        <v>-2496</v>
      </c>
      <c r="F177" s="98">
        <f t="shared" si="25"/>
        <v>-0.25827814569536423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73715</v>
      </c>
      <c r="D179" s="118">
        <f>SUM(D168:D178)</f>
        <v>78670</v>
      </c>
      <c r="E179" s="118">
        <f t="shared" si="24"/>
        <v>4955</v>
      </c>
      <c r="F179" s="104">
        <f t="shared" si="25"/>
        <v>6.7218340907549343E-2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scale="64" fitToHeight="0" orientation="portrait" horizontalDpi="1200" verticalDpi="1200" r:id="rId1"/>
  <headerFooter>
    <oddHeader>&amp;LOFFICE OF HEALTH CARE ACCESS&amp;CTWELVE MONTHS ACTUAL FILING&amp;RHARTFORD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121405571</v>
      </c>
      <c r="D15" s="146">
        <v>133233307</v>
      </c>
      <c r="E15" s="146">
        <f>+D15-C15</f>
        <v>11827736</v>
      </c>
      <c r="F15" s="150">
        <f>IF(C15=0,0,E15/C15)</f>
        <v>9.7423338176136909E-2</v>
      </c>
    </row>
    <row r="16" spans="1:7" ht="15" customHeight="1" x14ac:dyDescent="0.2">
      <c r="A16" s="141">
        <v>2</v>
      </c>
      <c r="B16" s="149" t="s">
        <v>158</v>
      </c>
      <c r="C16" s="146">
        <v>36421774</v>
      </c>
      <c r="D16" s="146">
        <v>38244961</v>
      </c>
      <c r="E16" s="146">
        <f>+D16-C16</f>
        <v>1823187</v>
      </c>
      <c r="F16" s="150">
        <f>IF(C16=0,0,E16/C16)</f>
        <v>5.0057611142170062E-2</v>
      </c>
    </row>
    <row r="17" spans="1:7" ht="15" customHeight="1" x14ac:dyDescent="0.2">
      <c r="A17" s="141">
        <v>3</v>
      </c>
      <c r="B17" s="149" t="s">
        <v>159</v>
      </c>
      <c r="C17" s="146">
        <v>207582325</v>
      </c>
      <c r="D17" s="146">
        <v>227027658</v>
      </c>
      <c r="E17" s="146">
        <f>+D17-C17</f>
        <v>19445333</v>
      </c>
      <c r="F17" s="150">
        <f>IF(C17=0,0,E17/C17)</f>
        <v>9.3675282806472082E-2</v>
      </c>
    </row>
    <row r="18" spans="1:7" ht="15.75" customHeight="1" x14ac:dyDescent="0.25">
      <c r="A18" s="141"/>
      <c r="B18" s="151" t="s">
        <v>160</v>
      </c>
      <c r="C18" s="147">
        <f>SUM(C15:C17)</f>
        <v>365409670</v>
      </c>
      <c r="D18" s="147">
        <f>SUM(D15:D17)</f>
        <v>398505926</v>
      </c>
      <c r="E18" s="147">
        <f>+D18-C18</f>
        <v>33096256</v>
      </c>
      <c r="F18" s="148">
        <f>IF(C18=0,0,E18/C18)</f>
        <v>9.0573016307970169E-2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26537268</v>
      </c>
      <c r="D21" s="146">
        <v>33209967</v>
      </c>
      <c r="E21" s="146">
        <f>+D21-C21</f>
        <v>6672699</v>
      </c>
      <c r="F21" s="150">
        <f>IF(C21=0,0,E21/C21)</f>
        <v>0.25144634330858778</v>
      </c>
    </row>
    <row r="22" spans="1:7" ht="15" customHeight="1" x14ac:dyDescent="0.2">
      <c r="A22" s="141">
        <v>2</v>
      </c>
      <c r="B22" s="149" t="s">
        <v>163</v>
      </c>
      <c r="C22" s="146">
        <v>7961203</v>
      </c>
      <c r="D22" s="146">
        <v>10063626</v>
      </c>
      <c r="E22" s="146">
        <f>+D22-C22</f>
        <v>2102423</v>
      </c>
      <c r="F22" s="150">
        <f>IF(C22=0,0,E22/C22)</f>
        <v>0.26408358133814702</v>
      </c>
    </row>
    <row r="23" spans="1:7" ht="15" customHeight="1" x14ac:dyDescent="0.2">
      <c r="A23" s="141">
        <v>3</v>
      </c>
      <c r="B23" s="149" t="s">
        <v>164</v>
      </c>
      <c r="C23" s="146">
        <v>42912522</v>
      </c>
      <c r="D23" s="146">
        <v>57362671</v>
      </c>
      <c r="E23" s="146">
        <f>+D23-C23</f>
        <v>14450149</v>
      </c>
      <c r="F23" s="150">
        <f>IF(C23=0,0,E23/C23)</f>
        <v>0.33673502107380221</v>
      </c>
    </row>
    <row r="24" spans="1:7" ht="15.75" customHeight="1" x14ac:dyDescent="0.25">
      <c r="A24" s="141"/>
      <c r="B24" s="151" t="s">
        <v>165</v>
      </c>
      <c r="C24" s="147">
        <f>SUM(C21:C23)</f>
        <v>77410993</v>
      </c>
      <c r="D24" s="147">
        <f>SUM(D21:D23)</f>
        <v>100636264</v>
      </c>
      <c r="E24" s="147">
        <f>+D24-C24</f>
        <v>23225271</v>
      </c>
      <c r="F24" s="148">
        <f>IF(C24=0,0,E24/C24)</f>
        <v>0.30002548862795236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387389</v>
      </c>
      <c r="D27" s="146">
        <v>2429188</v>
      </c>
      <c r="E27" s="146">
        <f>+D27-C27</f>
        <v>2041799</v>
      </c>
      <c r="F27" s="150">
        <f>IF(C27=0,0,E27/C27)</f>
        <v>5.2706685011706575</v>
      </c>
    </row>
    <row r="28" spans="1:7" ht="15" customHeight="1" x14ac:dyDescent="0.2">
      <c r="A28" s="141">
        <v>2</v>
      </c>
      <c r="B28" s="149" t="s">
        <v>168</v>
      </c>
      <c r="C28" s="146">
        <v>32848360</v>
      </c>
      <c r="D28" s="146">
        <v>36006766</v>
      </c>
      <c r="E28" s="146">
        <f>+D28-C28</f>
        <v>3158406</v>
      </c>
      <c r="F28" s="150">
        <f>IF(C28=0,0,E28/C28)</f>
        <v>9.6151101607507949E-2</v>
      </c>
    </row>
    <row r="29" spans="1:7" ht="15" customHeight="1" x14ac:dyDescent="0.2">
      <c r="A29" s="141">
        <v>3</v>
      </c>
      <c r="B29" s="149" t="s">
        <v>169</v>
      </c>
      <c r="C29" s="146">
        <v>23335390</v>
      </c>
      <c r="D29" s="146">
        <v>21104575</v>
      </c>
      <c r="E29" s="146">
        <f>+D29-C29</f>
        <v>-2230815</v>
      </c>
      <c r="F29" s="150">
        <f>IF(C29=0,0,E29/C29)</f>
        <v>-9.5597930868093484E-2</v>
      </c>
    </row>
    <row r="30" spans="1:7" ht="15.75" customHeight="1" x14ac:dyDescent="0.25">
      <c r="A30" s="141"/>
      <c r="B30" s="151" t="s">
        <v>170</v>
      </c>
      <c r="C30" s="147">
        <f>SUM(C27:C29)</f>
        <v>56571139</v>
      </c>
      <c r="D30" s="147">
        <f>SUM(D27:D29)</f>
        <v>59540529</v>
      </c>
      <c r="E30" s="147">
        <f>+D30-C30</f>
        <v>2969390</v>
      </c>
      <c r="F30" s="148">
        <f>IF(C30=0,0,E30/C30)</f>
        <v>5.2489485848959128E-2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88271164</v>
      </c>
      <c r="D33" s="146">
        <v>97557669</v>
      </c>
      <c r="E33" s="146">
        <f>+D33-C33</f>
        <v>9286505</v>
      </c>
      <c r="F33" s="150">
        <f>IF(C33=0,0,E33/C33)</f>
        <v>0.10520428845823308</v>
      </c>
    </row>
    <row r="34" spans="1:7" ht="15" customHeight="1" x14ac:dyDescent="0.2">
      <c r="A34" s="141">
        <v>2</v>
      </c>
      <c r="B34" s="149" t="s">
        <v>174</v>
      </c>
      <c r="C34" s="146">
        <v>25963761</v>
      </c>
      <c r="D34" s="146">
        <v>28630550</v>
      </c>
      <c r="E34" s="146">
        <f>+D34-C34</f>
        <v>2666789</v>
      </c>
      <c r="F34" s="150">
        <f>IF(C34=0,0,E34/C34)</f>
        <v>0.10271196842398911</v>
      </c>
    </row>
    <row r="35" spans="1:7" ht="15.75" customHeight="1" x14ac:dyDescent="0.25">
      <c r="A35" s="141"/>
      <c r="B35" s="151" t="s">
        <v>175</v>
      </c>
      <c r="C35" s="147">
        <f>SUM(C33:C34)</f>
        <v>114234925</v>
      </c>
      <c r="D35" s="147">
        <f>SUM(D33:D34)</f>
        <v>126188219</v>
      </c>
      <c r="E35" s="147">
        <f>+D35-C35</f>
        <v>11953294</v>
      </c>
      <c r="F35" s="148">
        <f>IF(C35=0,0,E35/C35)</f>
        <v>0.10463782420306224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18063736</v>
      </c>
      <c r="D38" s="146">
        <v>18740725</v>
      </c>
      <c r="E38" s="146">
        <f>+D38-C38</f>
        <v>676989</v>
      </c>
      <c r="F38" s="150">
        <f>IF(C38=0,0,E38/C38)</f>
        <v>3.7477795291073784E-2</v>
      </c>
    </row>
    <row r="39" spans="1:7" ht="15" customHeight="1" x14ac:dyDescent="0.2">
      <c r="A39" s="141">
        <v>2</v>
      </c>
      <c r="B39" s="149" t="s">
        <v>179</v>
      </c>
      <c r="C39" s="146">
        <v>22364637</v>
      </c>
      <c r="D39" s="146">
        <v>23571735</v>
      </c>
      <c r="E39" s="146">
        <f>+D39-C39</f>
        <v>1207098</v>
      </c>
      <c r="F39" s="150">
        <f>IF(C39=0,0,E39/C39)</f>
        <v>5.3973511843720068E-2</v>
      </c>
    </row>
    <row r="40" spans="1:7" ht="15" customHeight="1" x14ac:dyDescent="0.2">
      <c r="A40" s="141">
        <v>3</v>
      </c>
      <c r="B40" s="149" t="s">
        <v>180</v>
      </c>
      <c r="C40" s="146">
        <v>258415</v>
      </c>
      <c r="D40" s="146">
        <v>0</v>
      </c>
      <c r="E40" s="146">
        <f>+D40-C40</f>
        <v>-258415</v>
      </c>
      <c r="F40" s="150">
        <f>IF(C40=0,0,E40/C40)</f>
        <v>-1</v>
      </c>
    </row>
    <row r="41" spans="1:7" ht="15.75" customHeight="1" x14ac:dyDescent="0.25">
      <c r="A41" s="141"/>
      <c r="B41" s="151" t="s">
        <v>181</v>
      </c>
      <c r="C41" s="147">
        <f>SUM(C38:C40)</f>
        <v>40686788</v>
      </c>
      <c r="D41" s="147">
        <f>SUM(D38:D40)</f>
        <v>42312460</v>
      </c>
      <c r="E41" s="147">
        <f>+D41-C41</f>
        <v>1625672</v>
      </c>
      <c r="F41" s="148">
        <f>IF(C41=0,0,E41/C41)</f>
        <v>3.9955771391931946E-2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23850530</v>
      </c>
      <c r="D44" s="146">
        <v>37824767</v>
      </c>
      <c r="E44" s="146">
        <f>+D44-C44</f>
        <v>13974237</v>
      </c>
      <c r="F44" s="150">
        <f>IF(C44=0,0,E44/C44)</f>
        <v>0.58590886659541741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607197</v>
      </c>
      <c r="D47" s="146">
        <v>614483</v>
      </c>
      <c r="E47" s="146">
        <f>+D47-C47</f>
        <v>7286</v>
      </c>
      <c r="F47" s="150">
        <f>IF(C47=0,0,E47/C47)</f>
        <v>1.1999400524047386E-2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13503692</v>
      </c>
      <c r="D50" s="146">
        <v>14000101</v>
      </c>
      <c r="E50" s="146">
        <f>+D50-C50</f>
        <v>496409</v>
      </c>
      <c r="F50" s="150">
        <f>IF(C50=0,0,E50/C50)</f>
        <v>3.6760983588784463E-2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544535</v>
      </c>
      <c r="D53" s="146">
        <v>469003</v>
      </c>
      <c r="E53" s="146">
        <f t="shared" ref="E53:E59" si="0">+D53-C53</f>
        <v>-75532</v>
      </c>
      <c r="F53" s="150">
        <f t="shared" ref="F53:F59" si="1">IF(C53=0,0,E53/C53)</f>
        <v>-0.13870917388230325</v>
      </c>
    </row>
    <row r="54" spans="1:7" ht="15" customHeight="1" x14ac:dyDescent="0.2">
      <c r="A54" s="141">
        <v>2</v>
      </c>
      <c r="B54" s="149" t="s">
        <v>193</v>
      </c>
      <c r="C54" s="146">
        <v>5724195</v>
      </c>
      <c r="D54" s="146">
        <v>4338309</v>
      </c>
      <c r="E54" s="146">
        <f t="shared" si="0"/>
        <v>-1385886</v>
      </c>
      <c r="F54" s="150">
        <f t="shared" si="1"/>
        <v>-0.24211020064830077</v>
      </c>
    </row>
    <row r="55" spans="1:7" ht="15" customHeight="1" x14ac:dyDescent="0.2">
      <c r="A55" s="141">
        <v>3</v>
      </c>
      <c r="B55" s="149" t="s">
        <v>194</v>
      </c>
      <c r="C55" s="146">
        <v>86451</v>
      </c>
      <c r="D55" s="146">
        <v>129396</v>
      </c>
      <c r="E55" s="146">
        <f t="shared" si="0"/>
        <v>42945</v>
      </c>
      <c r="F55" s="150">
        <f t="shared" si="1"/>
        <v>0.49675538744491099</v>
      </c>
    </row>
    <row r="56" spans="1:7" ht="15" customHeight="1" x14ac:dyDescent="0.2">
      <c r="A56" s="141">
        <v>4</v>
      </c>
      <c r="B56" s="149" t="s">
        <v>195</v>
      </c>
      <c r="C56" s="146">
        <v>10594020</v>
      </c>
      <c r="D56" s="146">
        <v>10426891</v>
      </c>
      <c r="E56" s="146">
        <f t="shared" si="0"/>
        <v>-167129</v>
      </c>
      <c r="F56" s="150">
        <f t="shared" si="1"/>
        <v>-1.5775786717412275E-2</v>
      </c>
    </row>
    <row r="57" spans="1:7" ht="15" customHeight="1" x14ac:dyDescent="0.2">
      <c r="A57" s="141">
        <v>5</v>
      </c>
      <c r="B57" s="149" t="s">
        <v>196</v>
      </c>
      <c r="C57" s="146">
        <v>2411589</v>
      </c>
      <c r="D57" s="146">
        <v>2848597</v>
      </c>
      <c r="E57" s="146">
        <f t="shared" si="0"/>
        <v>437008</v>
      </c>
      <c r="F57" s="150">
        <f t="shared" si="1"/>
        <v>0.18121164095540326</v>
      </c>
    </row>
    <row r="58" spans="1:7" ht="15" customHeight="1" x14ac:dyDescent="0.2">
      <c r="A58" s="141">
        <v>6</v>
      </c>
      <c r="B58" s="149" t="s">
        <v>197</v>
      </c>
      <c r="C58" s="146">
        <v>1069761</v>
      </c>
      <c r="D58" s="146">
        <v>1267609</v>
      </c>
      <c r="E58" s="146">
        <f t="shared" si="0"/>
        <v>197848</v>
      </c>
      <c r="F58" s="150">
        <f t="shared" si="1"/>
        <v>0.18494598326168182</v>
      </c>
    </row>
    <row r="59" spans="1:7" ht="15.75" customHeight="1" x14ac:dyDescent="0.25">
      <c r="A59" s="141"/>
      <c r="B59" s="151" t="s">
        <v>198</v>
      </c>
      <c r="C59" s="147">
        <f>SUM(C53:C58)</f>
        <v>20430551</v>
      </c>
      <c r="D59" s="147">
        <f>SUM(D53:D58)</f>
        <v>19479805</v>
      </c>
      <c r="E59" s="147">
        <f t="shared" si="0"/>
        <v>-950746</v>
      </c>
      <c r="F59" s="148">
        <f t="shared" si="1"/>
        <v>-4.6535504597991509E-2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443549</v>
      </c>
      <c r="D62" s="146">
        <v>334524</v>
      </c>
      <c r="E62" s="146">
        <f t="shared" ref="E62:E78" si="2">+D62-C62</f>
        <v>-109025</v>
      </c>
      <c r="F62" s="150">
        <f t="shared" ref="F62:F78" si="3">IF(C62=0,0,E62/C62)</f>
        <v>-0.24580147852886602</v>
      </c>
    </row>
    <row r="63" spans="1:7" ht="15" customHeight="1" x14ac:dyDescent="0.2">
      <c r="A63" s="141">
        <v>2</v>
      </c>
      <c r="B63" s="149" t="s">
        <v>202</v>
      </c>
      <c r="C63" s="146">
        <v>1129534</v>
      </c>
      <c r="D63" s="146">
        <v>1255344</v>
      </c>
      <c r="E63" s="146">
        <f t="shared" si="2"/>
        <v>125810</v>
      </c>
      <c r="F63" s="150">
        <f t="shared" si="3"/>
        <v>0.11138221602891103</v>
      </c>
    </row>
    <row r="64" spans="1:7" ht="15" customHeight="1" x14ac:dyDescent="0.2">
      <c r="A64" s="141">
        <v>3</v>
      </c>
      <c r="B64" s="149" t="s">
        <v>203</v>
      </c>
      <c r="C64" s="146">
        <v>7465609</v>
      </c>
      <c r="D64" s="146">
        <v>8738301</v>
      </c>
      <c r="E64" s="146">
        <f t="shared" si="2"/>
        <v>1272692</v>
      </c>
      <c r="F64" s="150">
        <f t="shared" si="3"/>
        <v>0.1704739693707506</v>
      </c>
    </row>
    <row r="65" spans="1:7" ht="15" customHeight="1" x14ac:dyDescent="0.2">
      <c r="A65" s="141">
        <v>4</v>
      </c>
      <c r="B65" s="149" t="s">
        <v>204</v>
      </c>
      <c r="C65" s="146">
        <v>10841346</v>
      </c>
      <c r="D65" s="146">
        <v>11269309</v>
      </c>
      <c r="E65" s="146">
        <f t="shared" si="2"/>
        <v>427963</v>
      </c>
      <c r="F65" s="150">
        <f t="shared" si="3"/>
        <v>3.9475079939335946E-2</v>
      </c>
    </row>
    <row r="66" spans="1:7" ht="15" customHeight="1" x14ac:dyDescent="0.2">
      <c r="A66" s="141">
        <v>5</v>
      </c>
      <c r="B66" s="149" t="s">
        <v>205</v>
      </c>
      <c r="C66" s="146">
        <v>14973281</v>
      </c>
      <c r="D66" s="146">
        <v>15703464</v>
      </c>
      <c r="E66" s="146">
        <f t="shared" si="2"/>
        <v>730183</v>
      </c>
      <c r="F66" s="150">
        <f t="shared" si="3"/>
        <v>4.8765731438553783E-2</v>
      </c>
    </row>
    <row r="67" spans="1:7" ht="15" customHeight="1" x14ac:dyDescent="0.2">
      <c r="A67" s="141">
        <v>6</v>
      </c>
      <c r="B67" s="149" t="s">
        <v>206</v>
      </c>
      <c r="C67" s="146">
        <v>5854711</v>
      </c>
      <c r="D67" s="146">
        <v>7196711</v>
      </c>
      <c r="E67" s="146">
        <f t="shared" si="2"/>
        <v>1342000</v>
      </c>
      <c r="F67" s="150">
        <f t="shared" si="3"/>
        <v>0.22921712105003988</v>
      </c>
    </row>
    <row r="68" spans="1:7" ht="15" customHeight="1" x14ac:dyDescent="0.2">
      <c r="A68" s="141">
        <v>7</v>
      </c>
      <c r="B68" s="149" t="s">
        <v>207</v>
      </c>
      <c r="C68" s="146">
        <v>14520485</v>
      </c>
      <c r="D68" s="146">
        <v>15474074</v>
      </c>
      <c r="E68" s="146">
        <f t="shared" si="2"/>
        <v>953589</v>
      </c>
      <c r="F68" s="150">
        <f t="shared" si="3"/>
        <v>6.5671979964856547E-2</v>
      </c>
    </row>
    <row r="69" spans="1:7" ht="15" customHeight="1" x14ac:dyDescent="0.2">
      <c r="A69" s="141">
        <v>8</v>
      </c>
      <c r="B69" s="149" t="s">
        <v>208</v>
      </c>
      <c r="C69" s="146">
        <v>2095901</v>
      </c>
      <c r="D69" s="146">
        <v>1617798</v>
      </c>
      <c r="E69" s="146">
        <f t="shared" si="2"/>
        <v>-478103</v>
      </c>
      <c r="F69" s="150">
        <f t="shared" si="3"/>
        <v>-0.22811335077372452</v>
      </c>
    </row>
    <row r="70" spans="1:7" ht="15" customHeight="1" x14ac:dyDescent="0.2">
      <c r="A70" s="141">
        <v>9</v>
      </c>
      <c r="B70" s="149" t="s">
        <v>209</v>
      </c>
      <c r="C70" s="146">
        <v>1231655</v>
      </c>
      <c r="D70" s="146">
        <v>1591295</v>
      </c>
      <c r="E70" s="146">
        <f t="shared" si="2"/>
        <v>359640</v>
      </c>
      <c r="F70" s="150">
        <f t="shared" si="3"/>
        <v>0.29199735315490133</v>
      </c>
    </row>
    <row r="71" spans="1:7" ht="15" customHeight="1" x14ac:dyDescent="0.2">
      <c r="A71" s="141">
        <v>10</v>
      </c>
      <c r="B71" s="149" t="s">
        <v>210</v>
      </c>
      <c r="C71" s="146">
        <v>352291</v>
      </c>
      <c r="D71" s="146">
        <v>346324</v>
      </c>
      <c r="E71" s="146">
        <f t="shared" si="2"/>
        <v>-5967</v>
      </c>
      <c r="F71" s="150">
        <f t="shared" si="3"/>
        <v>-1.6937702070163586E-2</v>
      </c>
    </row>
    <row r="72" spans="1:7" ht="15" customHeight="1" x14ac:dyDescent="0.2">
      <c r="A72" s="141">
        <v>11</v>
      </c>
      <c r="B72" s="149" t="s">
        <v>211</v>
      </c>
      <c r="C72" s="146">
        <v>151871</v>
      </c>
      <c r="D72" s="146">
        <v>243968</v>
      </c>
      <c r="E72" s="146">
        <f t="shared" si="2"/>
        <v>92097</v>
      </c>
      <c r="F72" s="150">
        <f t="shared" si="3"/>
        <v>0.60641597144945381</v>
      </c>
    </row>
    <row r="73" spans="1:7" ht="15" customHeight="1" x14ac:dyDescent="0.2">
      <c r="A73" s="141">
        <v>12</v>
      </c>
      <c r="B73" s="149" t="s">
        <v>212</v>
      </c>
      <c r="C73" s="146">
        <v>5751997</v>
      </c>
      <c r="D73" s="146">
        <v>6049238</v>
      </c>
      <c r="E73" s="146">
        <f t="shared" si="2"/>
        <v>297241</v>
      </c>
      <c r="F73" s="150">
        <f t="shared" si="3"/>
        <v>5.1676139608556819E-2</v>
      </c>
    </row>
    <row r="74" spans="1:7" ht="15" customHeight="1" x14ac:dyDescent="0.2">
      <c r="A74" s="141">
        <v>13</v>
      </c>
      <c r="B74" s="149" t="s">
        <v>213</v>
      </c>
      <c r="C74" s="146">
        <v>592608</v>
      </c>
      <c r="D74" s="146">
        <v>628302</v>
      </c>
      <c r="E74" s="146">
        <f t="shared" si="2"/>
        <v>35694</v>
      </c>
      <c r="F74" s="150">
        <f t="shared" si="3"/>
        <v>6.023205896646687E-2</v>
      </c>
    </row>
    <row r="75" spans="1:7" ht="15" customHeight="1" x14ac:dyDescent="0.2">
      <c r="A75" s="141">
        <v>14</v>
      </c>
      <c r="B75" s="149" t="s">
        <v>214</v>
      </c>
      <c r="C75" s="146">
        <v>834451</v>
      </c>
      <c r="D75" s="146">
        <v>826302</v>
      </c>
      <c r="E75" s="146">
        <f t="shared" si="2"/>
        <v>-8149</v>
      </c>
      <c r="F75" s="150">
        <f t="shared" si="3"/>
        <v>-9.7657022401555042E-3</v>
      </c>
    </row>
    <row r="76" spans="1:7" ht="15" customHeight="1" x14ac:dyDescent="0.2">
      <c r="A76" s="141">
        <v>15</v>
      </c>
      <c r="B76" s="149" t="s">
        <v>215</v>
      </c>
      <c r="C76" s="146">
        <v>2075173</v>
      </c>
      <c r="D76" s="146">
        <v>2882371</v>
      </c>
      <c r="E76" s="146">
        <f t="shared" si="2"/>
        <v>807198</v>
      </c>
      <c r="F76" s="150">
        <f t="shared" si="3"/>
        <v>0.3889786538278977</v>
      </c>
    </row>
    <row r="77" spans="1:7" ht="15" customHeight="1" x14ac:dyDescent="0.2">
      <c r="A77" s="141">
        <v>16</v>
      </c>
      <c r="B77" s="149" t="s">
        <v>216</v>
      </c>
      <c r="C77" s="146">
        <v>16048485</v>
      </c>
      <c r="D77" s="146">
        <v>17146996</v>
      </c>
      <c r="E77" s="146">
        <f t="shared" si="2"/>
        <v>1098511</v>
      </c>
      <c r="F77" s="150">
        <f t="shared" si="3"/>
        <v>6.8449514081858814E-2</v>
      </c>
    </row>
    <row r="78" spans="1:7" ht="15.75" customHeight="1" x14ac:dyDescent="0.25">
      <c r="A78" s="141"/>
      <c r="B78" s="151" t="s">
        <v>217</v>
      </c>
      <c r="C78" s="147">
        <f>SUM(C62:C77)</f>
        <v>84362947</v>
      </c>
      <c r="D78" s="147">
        <f>SUM(D62:D77)</f>
        <v>91304321</v>
      </c>
      <c r="E78" s="147">
        <f t="shared" si="2"/>
        <v>6941374</v>
      </c>
      <c r="F78" s="148">
        <f t="shared" si="3"/>
        <v>8.2279890009058124E-2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27385673</v>
      </c>
      <c r="D81" s="146">
        <v>29594280</v>
      </c>
      <c r="E81" s="146">
        <f>+D81-C81</f>
        <v>2208607</v>
      </c>
      <c r="F81" s="150">
        <f>IF(C81=0,0,E81/C81)</f>
        <v>8.064826451407639E-2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824454105</v>
      </c>
      <c r="D83" s="147">
        <f>+D81+D78+D59+D50+D47+D44+D41+D35+D30+D24+D18</f>
        <v>920001155</v>
      </c>
      <c r="E83" s="147">
        <f>+D83-C83</f>
        <v>95547050</v>
      </c>
      <c r="F83" s="148">
        <f>IF(C83=0,0,E83/C83)</f>
        <v>0.11589129027382307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162701762</v>
      </c>
      <c r="D91" s="146">
        <v>139054997</v>
      </c>
      <c r="E91" s="146">
        <f t="shared" ref="E91:E109" si="4">D91-C91</f>
        <v>-23646765</v>
      </c>
      <c r="F91" s="150">
        <f t="shared" ref="F91:F109" si="5">IF(C91=0,0,E91/C91)</f>
        <v>-0.14533810027207941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9193973</v>
      </c>
      <c r="D92" s="146">
        <v>49619297</v>
      </c>
      <c r="E92" s="146">
        <f t="shared" si="4"/>
        <v>40425324</v>
      </c>
      <c r="F92" s="150">
        <f t="shared" si="5"/>
        <v>4.3969374284653657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14342249</v>
      </c>
      <c r="D93" s="146">
        <v>14796433</v>
      </c>
      <c r="E93" s="146">
        <f t="shared" si="4"/>
        <v>454184</v>
      </c>
      <c r="F93" s="150">
        <f t="shared" si="5"/>
        <v>3.1667557856511902E-2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800423</v>
      </c>
      <c r="D94" s="146">
        <v>2859278</v>
      </c>
      <c r="E94" s="146">
        <f t="shared" si="4"/>
        <v>2058855</v>
      </c>
      <c r="F94" s="150">
        <f t="shared" si="5"/>
        <v>2.5722086946527023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21764505</v>
      </c>
      <c r="D95" s="146">
        <v>29748206</v>
      </c>
      <c r="E95" s="146">
        <f t="shared" si="4"/>
        <v>7983701</v>
      </c>
      <c r="F95" s="150">
        <f t="shared" si="5"/>
        <v>0.3668220802632543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5020945</v>
      </c>
      <c r="D96" s="146">
        <v>5741733</v>
      </c>
      <c r="E96" s="146">
        <f t="shared" si="4"/>
        <v>720788</v>
      </c>
      <c r="F96" s="150">
        <f t="shared" si="5"/>
        <v>0.14355624289849819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7413535</v>
      </c>
      <c r="D97" s="146">
        <v>9868081</v>
      </c>
      <c r="E97" s="146">
        <f t="shared" si="4"/>
        <v>2454546</v>
      </c>
      <c r="F97" s="150">
        <f t="shared" si="5"/>
        <v>0.33108982422015948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4167656</v>
      </c>
      <c r="D98" s="146">
        <v>6302590</v>
      </c>
      <c r="E98" s="146">
        <f t="shared" si="4"/>
        <v>2134934</v>
      </c>
      <c r="F98" s="150">
        <f t="shared" si="5"/>
        <v>0.51226252838526021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2760875</v>
      </c>
      <c r="D99" s="146">
        <v>3215790</v>
      </c>
      <c r="E99" s="146">
        <f t="shared" si="4"/>
        <v>454915</v>
      </c>
      <c r="F99" s="150">
        <f t="shared" si="5"/>
        <v>0.16477203785031919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11189837</v>
      </c>
      <c r="D100" s="146">
        <v>12410739</v>
      </c>
      <c r="E100" s="146">
        <f t="shared" si="4"/>
        <v>1220902</v>
      </c>
      <c r="F100" s="150">
        <f t="shared" si="5"/>
        <v>0.10910811301362119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9850355</v>
      </c>
      <c r="D101" s="146">
        <v>11098298</v>
      </c>
      <c r="E101" s="146">
        <f t="shared" si="4"/>
        <v>1247943</v>
      </c>
      <c r="F101" s="150">
        <f t="shared" si="5"/>
        <v>0.1266901548218313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3836271</v>
      </c>
      <c r="D102" s="146">
        <v>4086437</v>
      </c>
      <c r="E102" s="146">
        <f t="shared" si="4"/>
        <v>250166</v>
      </c>
      <c r="F102" s="150">
        <f t="shared" si="5"/>
        <v>6.5210721557470777E-2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19816221</v>
      </c>
      <c r="D103" s="146">
        <v>21384032</v>
      </c>
      <c r="E103" s="146">
        <f t="shared" si="4"/>
        <v>1567811</v>
      </c>
      <c r="F103" s="150">
        <f t="shared" si="5"/>
        <v>7.911755727794921E-2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5043056</v>
      </c>
      <c r="D104" s="146">
        <v>5597728</v>
      </c>
      <c r="E104" s="146">
        <f t="shared" si="4"/>
        <v>554672</v>
      </c>
      <c r="F104" s="150">
        <f t="shared" si="5"/>
        <v>0.10998727755551396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12217627</v>
      </c>
      <c r="D105" s="146">
        <v>13192943</v>
      </c>
      <c r="E105" s="146">
        <f t="shared" si="4"/>
        <v>975316</v>
      </c>
      <c r="F105" s="150">
        <f t="shared" si="5"/>
        <v>7.9828595192830823E-2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3421267</v>
      </c>
      <c r="D106" s="146">
        <v>4230953</v>
      </c>
      <c r="E106" s="146">
        <f t="shared" si="4"/>
        <v>809686</v>
      </c>
      <c r="F106" s="150">
        <f t="shared" si="5"/>
        <v>0.23666261651019929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31017068</v>
      </c>
      <c r="D107" s="146">
        <v>34084350</v>
      </c>
      <c r="E107" s="146">
        <f t="shared" si="4"/>
        <v>3067282</v>
      </c>
      <c r="F107" s="150">
        <f t="shared" si="5"/>
        <v>9.8890133651575327E-2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33509911</v>
      </c>
      <c r="D108" s="146">
        <v>10608624</v>
      </c>
      <c r="E108" s="146">
        <f t="shared" si="4"/>
        <v>-22901287</v>
      </c>
      <c r="F108" s="150">
        <f t="shared" si="5"/>
        <v>-0.68341831764339811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358067536</v>
      </c>
      <c r="D109" s="147">
        <f>SUM(D91:D108)</f>
        <v>377900509</v>
      </c>
      <c r="E109" s="147">
        <f t="shared" si="4"/>
        <v>19832973</v>
      </c>
      <c r="F109" s="148">
        <f t="shared" si="5"/>
        <v>5.5388916910914819E-2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4937421</v>
      </c>
      <c r="D112" s="146">
        <v>5133754</v>
      </c>
      <c r="E112" s="146">
        <f t="shared" ref="E112:E118" si="6">D112-C112</f>
        <v>196333</v>
      </c>
      <c r="F112" s="150">
        <f t="shared" ref="F112:F118" si="7">IF(C112=0,0,E112/C112)</f>
        <v>3.9764281798129027E-2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21207694</v>
      </c>
      <c r="D113" s="146">
        <v>23846129</v>
      </c>
      <c r="E113" s="146">
        <f t="shared" si="6"/>
        <v>2638435</v>
      </c>
      <c r="F113" s="150">
        <f t="shared" si="7"/>
        <v>0.12440932993469257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13078970</v>
      </c>
      <c r="D114" s="146">
        <v>15732757</v>
      </c>
      <c r="E114" s="146">
        <f t="shared" si="6"/>
        <v>2653787</v>
      </c>
      <c r="F114" s="150">
        <f t="shared" si="7"/>
        <v>0.20290489235773154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6889649</v>
      </c>
      <c r="D115" s="146">
        <v>6982434</v>
      </c>
      <c r="E115" s="146">
        <f t="shared" si="6"/>
        <v>92785</v>
      </c>
      <c r="F115" s="150">
        <f t="shared" si="7"/>
        <v>1.3467304357594995E-2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1331675</v>
      </c>
      <c r="D116" s="146">
        <v>1403081</v>
      </c>
      <c r="E116" s="146">
        <f t="shared" si="6"/>
        <v>71406</v>
      </c>
      <c r="F116" s="150">
        <f t="shared" si="7"/>
        <v>5.3621191356749955E-2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3069629</v>
      </c>
      <c r="D117" s="146">
        <v>2560544</v>
      </c>
      <c r="E117" s="146">
        <f t="shared" si="6"/>
        <v>-509085</v>
      </c>
      <c r="F117" s="150">
        <f t="shared" si="7"/>
        <v>-0.1658457748477096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50515038</v>
      </c>
      <c r="D118" s="147">
        <f>SUM(D112:D117)</f>
        <v>55658699</v>
      </c>
      <c r="E118" s="147">
        <f t="shared" si="6"/>
        <v>5143661</v>
      </c>
      <c r="F118" s="148">
        <f t="shared" si="7"/>
        <v>0.10182435179005507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57785656</v>
      </c>
      <c r="D121" s="146">
        <v>68649259</v>
      </c>
      <c r="E121" s="146">
        <f t="shared" ref="E121:E155" si="8">D121-C121</f>
        <v>10863603</v>
      </c>
      <c r="F121" s="150">
        <f t="shared" ref="F121:F155" si="9">IF(C121=0,0,E121/C121)</f>
        <v>0.18799826379058499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2967093</v>
      </c>
      <c r="D122" s="146">
        <v>3216806</v>
      </c>
      <c r="E122" s="146">
        <f t="shared" si="8"/>
        <v>249713</v>
      </c>
      <c r="F122" s="150">
        <f t="shared" si="9"/>
        <v>8.4160826775567868E-2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3203985</v>
      </c>
      <c r="D123" s="146">
        <v>4366100</v>
      </c>
      <c r="E123" s="146">
        <f t="shared" si="8"/>
        <v>1162115</v>
      </c>
      <c r="F123" s="150">
        <f t="shared" si="9"/>
        <v>0.36270925113569508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9369335</v>
      </c>
      <c r="D124" s="146">
        <v>10371580</v>
      </c>
      <c r="E124" s="146">
        <f t="shared" si="8"/>
        <v>1002245</v>
      </c>
      <c r="F124" s="150">
        <f t="shared" si="9"/>
        <v>0.10697077220528459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16261735</v>
      </c>
      <c r="D125" s="146">
        <v>18967946</v>
      </c>
      <c r="E125" s="146">
        <f t="shared" si="8"/>
        <v>2706211</v>
      </c>
      <c r="F125" s="150">
        <f t="shared" si="9"/>
        <v>0.16641588366800961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766756</v>
      </c>
      <c r="D126" s="146">
        <v>883636</v>
      </c>
      <c r="E126" s="146">
        <f t="shared" si="8"/>
        <v>116880</v>
      </c>
      <c r="F126" s="150">
        <f t="shared" si="9"/>
        <v>0.15243441199025504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8753534</v>
      </c>
      <c r="D127" s="146">
        <v>10889854</v>
      </c>
      <c r="E127" s="146">
        <f t="shared" si="8"/>
        <v>2136320</v>
      </c>
      <c r="F127" s="150">
        <f t="shared" si="9"/>
        <v>0.24405228791023145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3264774</v>
      </c>
      <c r="D128" s="146">
        <v>3308506</v>
      </c>
      <c r="E128" s="146">
        <f t="shared" si="8"/>
        <v>43732</v>
      </c>
      <c r="F128" s="150">
        <f t="shared" si="9"/>
        <v>1.3395107900271198E-2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2776856</v>
      </c>
      <c r="D129" s="146">
        <v>3290823</v>
      </c>
      <c r="E129" s="146">
        <f t="shared" si="8"/>
        <v>513967</v>
      </c>
      <c r="F129" s="150">
        <f t="shared" si="9"/>
        <v>0.18508954011299109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27232999</v>
      </c>
      <c r="D130" s="146">
        <v>28816247</v>
      </c>
      <c r="E130" s="146">
        <f t="shared" si="8"/>
        <v>1583248</v>
      </c>
      <c r="F130" s="150">
        <f t="shared" si="9"/>
        <v>5.8137115196163304E-2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9778112</v>
      </c>
      <c r="D131" s="146">
        <v>10490220</v>
      </c>
      <c r="E131" s="146">
        <f t="shared" si="8"/>
        <v>712108</v>
      </c>
      <c r="F131" s="150">
        <f t="shared" si="9"/>
        <v>7.2826737922412829E-2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1080109</v>
      </c>
      <c r="D132" s="146">
        <v>2491495</v>
      </c>
      <c r="E132" s="146">
        <f t="shared" si="8"/>
        <v>1411386</v>
      </c>
      <c r="F132" s="150">
        <f t="shared" si="9"/>
        <v>1.306707008274165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1345068</v>
      </c>
      <c r="D133" s="146">
        <v>1432785</v>
      </c>
      <c r="E133" s="146">
        <f t="shared" si="8"/>
        <v>87717</v>
      </c>
      <c r="F133" s="150">
        <f t="shared" si="9"/>
        <v>6.5213803317007019E-2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207375</v>
      </c>
      <c r="D134" s="146">
        <v>303103</v>
      </c>
      <c r="E134" s="146">
        <f t="shared" si="8"/>
        <v>95728</v>
      </c>
      <c r="F134" s="150">
        <f t="shared" si="9"/>
        <v>0.46161784207353829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568885</v>
      </c>
      <c r="D136" s="146">
        <v>413000</v>
      </c>
      <c r="E136" s="146">
        <f t="shared" si="8"/>
        <v>-155885</v>
      </c>
      <c r="F136" s="150">
        <f t="shared" si="9"/>
        <v>-0.27401847473566715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60761</v>
      </c>
      <c r="D137" s="146">
        <v>78356</v>
      </c>
      <c r="E137" s="146">
        <f t="shared" si="8"/>
        <v>17595</v>
      </c>
      <c r="F137" s="150">
        <f t="shared" si="9"/>
        <v>0.28957719589868502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6816176</v>
      </c>
      <c r="D138" s="146">
        <v>7554165</v>
      </c>
      <c r="E138" s="146">
        <f t="shared" si="8"/>
        <v>737989</v>
      </c>
      <c r="F138" s="150">
        <f t="shared" si="9"/>
        <v>0.10827023832717934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1282804</v>
      </c>
      <c r="D140" s="146">
        <v>1488067</v>
      </c>
      <c r="E140" s="146">
        <f t="shared" si="8"/>
        <v>205263</v>
      </c>
      <c r="F140" s="150">
        <f t="shared" si="9"/>
        <v>0.16001119422764506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490812</v>
      </c>
      <c r="D141" s="146">
        <v>682490</v>
      </c>
      <c r="E141" s="146">
        <f t="shared" si="8"/>
        <v>191678</v>
      </c>
      <c r="F141" s="150">
        <f t="shared" si="9"/>
        <v>0.39053242382011849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14769543</v>
      </c>
      <c r="D142" s="146">
        <v>14946702</v>
      </c>
      <c r="E142" s="146">
        <f t="shared" si="8"/>
        <v>177159</v>
      </c>
      <c r="F142" s="150">
        <f t="shared" si="9"/>
        <v>1.1994887045591051E-2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7059615</v>
      </c>
      <c r="D143" s="146">
        <v>7472651</v>
      </c>
      <c r="E143" s="146">
        <f t="shared" si="8"/>
        <v>413036</v>
      </c>
      <c r="F143" s="150">
        <f t="shared" si="9"/>
        <v>5.8506873250170156E-2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22851894</v>
      </c>
      <c r="D144" s="146">
        <v>23953158</v>
      </c>
      <c r="E144" s="146">
        <f t="shared" si="8"/>
        <v>1101264</v>
      </c>
      <c r="F144" s="150">
        <f t="shared" si="9"/>
        <v>4.8191366544934965E-2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2021391</v>
      </c>
      <c r="D145" s="146">
        <v>2404554</v>
      </c>
      <c r="E145" s="146">
        <f t="shared" si="8"/>
        <v>383163</v>
      </c>
      <c r="F145" s="150">
        <f t="shared" si="9"/>
        <v>0.189554123868168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472607</v>
      </c>
      <c r="D147" s="146">
        <v>485083</v>
      </c>
      <c r="E147" s="146">
        <f t="shared" si="8"/>
        <v>12476</v>
      </c>
      <c r="F147" s="150">
        <f t="shared" si="9"/>
        <v>2.6398254786746705E-2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4251665</v>
      </c>
      <c r="D148" s="146">
        <v>4435017</v>
      </c>
      <c r="E148" s="146">
        <f t="shared" si="8"/>
        <v>183352</v>
      </c>
      <c r="F148" s="150">
        <f t="shared" si="9"/>
        <v>4.3124752302921329E-2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1787728</v>
      </c>
      <c r="D149" s="146">
        <v>2125253</v>
      </c>
      <c r="E149" s="146">
        <f t="shared" si="8"/>
        <v>337525</v>
      </c>
      <c r="F149" s="150">
        <f t="shared" si="9"/>
        <v>0.1888010927836897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18418232</v>
      </c>
      <c r="D151" s="146">
        <v>22428677</v>
      </c>
      <c r="E151" s="146">
        <f t="shared" si="8"/>
        <v>4010445</v>
      </c>
      <c r="F151" s="150">
        <f t="shared" si="9"/>
        <v>0.2177432122692341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5694722</v>
      </c>
      <c r="D152" s="146">
        <v>21330909</v>
      </c>
      <c r="E152" s="146">
        <f t="shared" si="8"/>
        <v>15636187</v>
      </c>
      <c r="F152" s="150">
        <f t="shared" si="9"/>
        <v>2.7457331543137662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902444</v>
      </c>
      <c r="D153" s="146">
        <v>1074995</v>
      </c>
      <c r="E153" s="146">
        <f t="shared" si="8"/>
        <v>172551</v>
      </c>
      <c r="F153" s="150">
        <f t="shared" si="9"/>
        <v>0.19120410795572912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14488026</v>
      </c>
      <c r="D154" s="146">
        <v>16065867</v>
      </c>
      <c r="E154" s="146">
        <f t="shared" si="8"/>
        <v>1577841</v>
      </c>
      <c r="F154" s="150">
        <f t="shared" si="9"/>
        <v>0.10890655497167109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246730692</v>
      </c>
      <c r="D155" s="147">
        <f>SUM(D121:D154)</f>
        <v>294417304</v>
      </c>
      <c r="E155" s="147">
        <f t="shared" si="8"/>
        <v>47686612</v>
      </c>
      <c r="F155" s="148">
        <f t="shared" si="9"/>
        <v>0.19327393610195848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81145159</v>
      </c>
      <c r="D158" s="146">
        <v>93628120</v>
      </c>
      <c r="E158" s="146">
        <f t="shared" ref="E158:E171" si="10">D158-C158</f>
        <v>12482961</v>
      </c>
      <c r="F158" s="150">
        <f t="shared" ref="F158:F171" si="11">IF(C158=0,0,E158/C158)</f>
        <v>0.15383494411539694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19309469</v>
      </c>
      <c r="D159" s="146">
        <v>22933260</v>
      </c>
      <c r="E159" s="146">
        <f t="shared" si="10"/>
        <v>3623791</v>
      </c>
      <c r="F159" s="150">
        <f t="shared" si="11"/>
        <v>0.18766911715697621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4208110</v>
      </c>
      <c r="D160" s="146">
        <v>4404193</v>
      </c>
      <c r="E160" s="146">
        <f t="shared" si="10"/>
        <v>196083</v>
      </c>
      <c r="F160" s="150">
        <f t="shared" si="11"/>
        <v>4.6596453039488034E-2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17273626</v>
      </c>
      <c r="D161" s="146">
        <v>18878486</v>
      </c>
      <c r="E161" s="146">
        <f t="shared" si="10"/>
        <v>1604860</v>
      </c>
      <c r="F161" s="150">
        <f t="shared" si="11"/>
        <v>9.2908113212593582E-2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6040188</v>
      </c>
      <c r="D163" s="146">
        <v>5434876</v>
      </c>
      <c r="E163" s="146">
        <f t="shared" si="10"/>
        <v>-605312</v>
      </c>
      <c r="F163" s="150">
        <f t="shared" si="11"/>
        <v>-0.10021409929624707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2959887</v>
      </c>
      <c r="D164" s="146">
        <v>2791405</v>
      </c>
      <c r="E164" s="146">
        <f t="shared" si="10"/>
        <v>-168482</v>
      </c>
      <c r="F164" s="150">
        <f t="shared" si="11"/>
        <v>-5.6921767621534197E-2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5239661</v>
      </c>
      <c r="D167" s="146">
        <v>6441052</v>
      </c>
      <c r="E167" s="146">
        <f t="shared" si="10"/>
        <v>1201391</v>
      </c>
      <c r="F167" s="150">
        <f t="shared" si="11"/>
        <v>0.22928792530661812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9979087</v>
      </c>
      <c r="D169" s="146">
        <v>12459006</v>
      </c>
      <c r="E169" s="146">
        <f t="shared" si="10"/>
        <v>2479919</v>
      </c>
      <c r="F169" s="150">
        <f t="shared" si="11"/>
        <v>0.24851161233487593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48986</v>
      </c>
      <c r="D170" s="146">
        <v>0</v>
      </c>
      <c r="E170" s="146">
        <f t="shared" si="10"/>
        <v>-48986</v>
      </c>
      <c r="F170" s="150">
        <f t="shared" si="11"/>
        <v>-1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146204173</v>
      </c>
      <c r="D171" s="147">
        <f>SUM(D158:D170)</f>
        <v>166970398</v>
      </c>
      <c r="E171" s="147">
        <f t="shared" si="10"/>
        <v>20766225</v>
      </c>
      <c r="F171" s="148">
        <f t="shared" si="11"/>
        <v>0.1420357885407279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22936666</v>
      </c>
      <c r="D174" s="146">
        <v>25054245</v>
      </c>
      <c r="E174" s="146">
        <f>D174-C174</f>
        <v>2117579</v>
      </c>
      <c r="F174" s="150">
        <f>IF(C174=0,0,E174/C174)</f>
        <v>9.2322877265597361E-2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824454105</v>
      </c>
      <c r="D176" s="147">
        <f>+D174+D171+D155+D118+D109</f>
        <v>920001155</v>
      </c>
      <c r="E176" s="147">
        <f>D176-C176</f>
        <v>95547050</v>
      </c>
      <c r="F176" s="148">
        <f>IF(C176=0,0,E176/C176)</f>
        <v>0.11589129027382307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FILING&amp;RHARTFORD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639563211</v>
      </c>
      <c r="D11" s="164">
        <v>717211741</v>
      </c>
      <c r="E11" s="51">
        <v>794806049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133795519</v>
      </c>
      <c r="D12" s="49">
        <v>112328640</v>
      </c>
      <c r="E12" s="49">
        <v>137793737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773358730</v>
      </c>
      <c r="D13" s="51">
        <f>+D11+D12</f>
        <v>829540381</v>
      </c>
      <c r="E13" s="51">
        <f>+E11+E12</f>
        <v>932599786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779129428</v>
      </c>
      <c r="D14" s="49">
        <v>824454105</v>
      </c>
      <c r="E14" s="49">
        <v>920001155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-5770698</v>
      </c>
      <c r="D15" s="51">
        <f>+D13-D14</f>
        <v>5086276</v>
      </c>
      <c r="E15" s="51">
        <f>+E13-E14</f>
        <v>12598631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-34329921</v>
      </c>
      <c r="D16" s="49">
        <v>-9327083</v>
      </c>
      <c r="E16" s="49">
        <v>20981787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-40100619</v>
      </c>
      <c r="D17" s="51">
        <f>D15+D16</f>
        <v>-4240807</v>
      </c>
      <c r="E17" s="51">
        <f>E15+E16</f>
        <v>33580418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-7.8084885592058159E-3</v>
      </c>
      <c r="D20" s="169">
        <f>IF(+D27=0,0,+D24/+D27)</f>
        <v>6.20116256637429E-3</v>
      </c>
      <c r="E20" s="169">
        <f>IF(+E27=0,0,+E24/+E27)</f>
        <v>1.3211906937719318E-2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-4.6452750666719951E-2</v>
      </c>
      <c r="D21" s="169">
        <f>IF(D27=0,0,+D26/D27)</f>
        <v>-1.1371533505666229E-2</v>
      </c>
      <c r="E21" s="169">
        <f>IF(E27=0,0,+E26/E27)</f>
        <v>2.200313805770238E-2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-5.4261239225925767E-2</v>
      </c>
      <c r="D22" s="169">
        <f>IF(D27=0,0,+D28/D27)</f>
        <v>-5.1703709392919399E-3</v>
      </c>
      <c r="E22" s="169">
        <f>IF(E27=0,0,+E28/E27)</f>
        <v>3.5215044995421697E-2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-5770698</v>
      </c>
      <c r="D24" s="51">
        <f>+D15</f>
        <v>5086276</v>
      </c>
      <c r="E24" s="51">
        <f>+E15</f>
        <v>12598631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773358730</v>
      </c>
      <c r="D25" s="51">
        <f>+D13</f>
        <v>829540381</v>
      </c>
      <c r="E25" s="51">
        <f>+E13</f>
        <v>932599786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-34329921</v>
      </c>
      <c r="D26" s="51">
        <f>+D16</f>
        <v>-9327083</v>
      </c>
      <c r="E26" s="51">
        <f>+E16</f>
        <v>20981787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739028809</v>
      </c>
      <c r="D27" s="51">
        <f>+D25+D26</f>
        <v>820213298</v>
      </c>
      <c r="E27" s="51">
        <f>+E25+E26</f>
        <v>953581573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-40100619</v>
      </c>
      <c r="D28" s="51">
        <f>+D17</f>
        <v>-4240807</v>
      </c>
      <c r="E28" s="51">
        <f>+E17</f>
        <v>33580418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393127114</v>
      </c>
      <c r="D31" s="51">
        <v>164603489</v>
      </c>
      <c r="E31" s="51">
        <v>178313676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648135482</v>
      </c>
      <c r="D32" s="51">
        <v>403988398</v>
      </c>
      <c r="E32" s="51">
        <v>427719774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-236434710</v>
      </c>
      <c r="D33" s="51">
        <f>+D32-C32</f>
        <v>-244147084</v>
      </c>
      <c r="E33" s="51">
        <f>+E32-D32</f>
        <v>23731376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0.73270000000000002</v>
      </c>
      <c r="D34" s="171">
        <f>IF(C32=0,0,+D33/C32)</f>
        <v>-0.37669143378266706</v>
      </c>
      <c r="E34" s="171">
        <f>IF(D32=0,0,+E33/D32)</f>
        <v>5.874271666583851E-2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0.47872850020083496</v>
      </c>
      <c r="D38" s="172">
        <f>IF((D40+D41)=0,0,+D39/(D40+D41))</f>
        <v>0.44880889974585786</v>
      </c>
      <c r="E38" s="172">
        <f>IF((E40+E41)=0,0,+E39/(E40+E41))</f>
        <v>0.45300403259547428</v>
      </c>
      <c r="F38" s="5"/>
    </row>
    <row r="39" spans="1:6" ht="24" customHeight="1" x14ac:dyDescent="0.2">
      <c r="A39" s="21">
        <v>2</v>
      </c>
      <c r="B39" s="48" t="s">
        <v>324</v>
      </c>
      <c r="C39" s="51">
        <v>803829428</v>
      </c>
      <c r="D39" s="51">
        <v>824454105</v>
      </c>
      <c r="E39" s="23">
        <v>920001155</v>
      </c>
      <c r="F39" s="5"/>
    </row>
    <row r="40" spans="1:6" ht="24" customHeight="1" x14ac:dyDescent="0.2">
      <c r="A40" s="21">
        <v>3</v>
      </c>
      <c r="B40" s="48" t="s">
        <v>325</v>
      </c>
      <c r="C40" s="51">
        <v>1555871786</v>
      </c>
      <c r="D40" s="51">
        <v>1714431648</v>
      </c>
      <c r="E40" s="23">
        <v>1901719123</v>
      </c>
      <c r="F40" s="5"/>
    </row>
    <row r="41" spans="1:6" ht="24" customHeight="1" x14ac:dyDescent="0.2">
      <c r="A41" s="21">
        <v>4</v>
      </c>
      <c r="B41" s="48" t="s">
        <v>326</v>
      </c>
      <c r="C41" s="51">
        <v>123220701</v>
      </c>
      <c r="D41" s="51">
        <v>122550875</v>
      </c>
      <c r="E41" s="23">
        <v>129170425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1.0156632324237205</v>
      </c>
      <c r="D43" s="173">
        <f>IF(D38=0,0,IF((D46-D47)=0,0,((+D44-D45)/(D46-D47)/D38)))</f>
        <v>1.1408190576017732</v>
      </c>
      <c r="E43" s="173">
        <f>IF(E38=0,0,IF((E46-E47)=0,0,((+E44-E45)/(E46-E47)/E38)))</f>
        <v>1.14398666295353</v>
      </c>
      <c r="F43" s="5"/>
    </row>
    <row r="44" spans="1:6" ht="24" customHeight="1" x14ac:dyDescent="0.2">
      <c r="A44" s="21">
        <v>6</v>
      </c>
      <c r="B44" s="48" t="s">
        <v>328</v>
      </c>
      <c r="C44" s="51">
        <v>272019197</v>
      </c>
      <c r="D44" s="51">
        <v>319383248</v>
      </c>
      <c r="E44" s="23">
        <v>351061602</v>
      </c>
      <c r="F44" s="5"/>
    </row>
    <row r="45" spans="1:6" ht="24" customHeight="1" x14ac:dyDescent="0.2">
      <c r="A45" s="21">
        <v>7</v>
      </c>
      <c r="B45" s="48" t="s">
        <v>329</v>
      </c>
      <c r="C45" s="51">
        <v>3596046</v>
      </c>
      <c r="D45" s="51">
        <v>3031188</v>
      </c>
      <c r="E45" s="23">
        <v>2515949</v>
      </c>
      <c r="F45" s="5"/>
    </row>
    <row r="46" spans="1:6" ht="24" customHeight="1" x14ac:dyDescent="0.2">
      <c r="A46" s="21">
        <v>8</v>
      </c>
      <c r="B46" s="48" t="s">
        <v>330</v>
      </c>
      <c r="C46" s="51">
        <v>597191009</v>
      </c>
      <c r="D46" s="51">
        <v>663586443</v>
      </c>
      <c r="E46" s="23">
        <v>719699462</v>
      </c>
      <c r="F46" s="5"/>
    </row>
    <row r="47" spans="1:6" ht="24" customHeight="1" x14ac:dyDescent="0.2">
      <c r="A47" s="21">
        <v>9</v>
      </c>
      <c r="B47" s="48" t="s">
        <v>331</v>
      </c>
      <c r="C47" s="51">
        <v>45137778</v>
      </c>
      <c r="D47" s="51">
        <v>45723087</v>
      </c>
      <c r="E47" s="174">
        <v>47130779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0.81596868785882659</v>
      </c>
      <c r="D49" s="175">
        <f>IF(D38=0,0,IF(D51=0,0,(D50/D51)/D38))</f>
        <v>0.8420500773203502</v>
      </c>
      <c r="E49" s="175">
        <f>IF(E38=0,0,IF(E51=0,0,(E50/E51)/E38))</f>
        <v>0.84434498728045082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275088775</v>
      </c>
      <c r="D50" s="176">
        <v>283035628</v>
      </c>
      <c r="E50" s="176">
        <v>322002492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704222818</v>
      </c>
      <c r="D51" s="176">
        <v>748930861</v>
      </c>
      <c r="E51" s="176">
        <v>841854883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0.75897745462719368</v>
      </c>
      <c r="D53" s="175">
        <f>IF(D38=0,0,IF(D55=0,0,(D54/D55)/D38))</f>
        <v>0.71718372699058319</v>
      </c>
      <c r="E53" s="175">
        <f>IF(E38=0,0,IF(E55=0,0,(E54/E55)/E38))</f>
        <v>0.67575709817415641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66455454</v>
      </c>
      <c r="D54" s="176">
        <v>71808003</v>
      </c>
      <c r="E54" s="176">
        <v>89927522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182899480</v>
      </c>
      <c r="D55" s="176">
        <v>223090441</v>
      </c>
      <c r="E55" s="176">
        <v>293764926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25355190.059250444</v>
      </c>
      <c r="D57" s="53">
        <f>+D60*D38</f>
        <v>21468857.646607362</v>
      </c>
      <c r="E57" s="53">
        <f>+E60*E38</f>
        <v>29595622.764200885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22281604</v>
      </c>
      <c r="D58" s="51">
        <v>23984656</v>
      </c>
      <c r="E58" s="52">
        <v>27507152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30682007</v>
      </c>
      <c r="D59" s="51">
        <v>23850531</v>
      </c>
      <c r="E59" s="52">
        <v>37824767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52963611</v>
      </c>
      <c r="D60" s="51">
        <v>47835187</v>
      </c>
      <c r="E60" s="52">
        <v>65331919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3.1542998024265474E-2</v>
      </c>
      <c r="D62" s="178">
        <f>IF(D63=0,0,+D57/D63)</f>
        <v>2.604008824312587E-2</v>
      </c>
      <c r="E62" s="178">
        <f>IF(E63=0,0,+E57/E63)</f>
        <v>3.2169114792253588E-2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803829428</v>
      </c>
      <c r="D63" s="176">
        <v>824454105</v>
      </c>
      <c r="E63" s="176">
        <v>920001155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1.391175954244541</v>
      </c>
      <c r="D67" s="179">
        <f>IF(D69=0,0,D68/D69)</f>
        <v>1.3534429401210681</v>
      </c>
      <c r="E67" s="179">
        <f>IF(E69=0,0,E68/E69)</f>
        <v>1.5816498736689708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162702986</v>
      </c>
      <c r="D68" s="180">
        <v>175407526</v>
      </c>
      <c r="E68" s="180">
        <v>209022599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116953564</v>
      </c>
      <c r="D69" s="180">
        <v>129600976</v>
      </c>
      <c r="E69" s="180">
        <v>132154785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5.0543686445604177</v>
      </c>
      <c r="D71" s="181">
        <f>IF((D77/365)=0,0,+D74/(D77/365))</f>
        <v>6.4998020005470583</v>
      </c>
      <c r="E71" s="181">
        <f>IF((E77/365)=0,0,+E74/(E77/365))</f>
        <v>13.946552672642092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10244779</v>
      </c>
      <c r="D72" s="182">
        <v>13957075</v>
      </c>
      <c r="E72" s="182">
        <v>33536251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10244779</v>
      </c>
      <c r="D74" s="180">
        <f>+D72+D73</f>
        <v>13957075</v>
      </c>
      <c r="E74" s="180">
        <f>+E72+E73</f>
        <v>33536251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779129428</v>
      </c>
      <c r="D75" s="180">
        <f>+D14</f>
        <v>824454105</v>
      </c>
      <c r="E75" s="180">
        <f>+E14</f>
        <v>920001155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39305209</v>
      </c>
      <c r="D76" s="180">
        <v>40686788</v>
      </c>
      <c r="E76" s="180">
        <v>42312460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739824219</v>
      </c>
      <c r="D77" s="180">
        <f>+D75-D76</f>
        <v>783767317</v>
      </c>
      <c r="E77" s="180">
        <f>+E75-E76</f>
        <v>877688695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66.412099702526504</v>
      </c>
      <c r="D79" s="179">
        <f>IF((D84/365)=0,0,+D83/(D84/365))</f>
        <v>63.067283452349393</v>
      </c>
      <c r="E79" s="179">
        <f>IF((E84/365)=0,0,+E83/(E84/365))</f>
        <v>52.56324628198697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105442656</v>
      </c>
      <c r="D80" s="189">
        <v>116952445</v>
      </c>
      <c r="E80" s="189">
        <v>116439803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10926483</v>
      </c>
      <c r="D81" s="190">
        <v>6972476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1980663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116369139</v>
      </c>
      <c r="D83" s="191">
        <f>+D80+D81-D82</f>
        <v>123924921</v>
      </c>
      <c r="E83" s="191">
        <f>+E80+E81-E82</f>
        <v>114459140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639563211</v>
      </c>
      <c r="D84" s="191">
        <f>+D11</f>
        <v>717211741</v>
      </c>
      <c r="E84" s="191">
        <f>+E11</f>
        <v>794806049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57.700261445482631</v>
      </c>
      <c r="D86" s="179">
        <f>IF((D90/365)=0,0,+D87/(D90/365))</f>
        <v>60.355101844595033</v>
      </c>
      <c r="E86" s="179">
        <f>IF((E90/365)=0,0,+E87/(E90/365))</f>
        <v>54.958548286872947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116953564</v>
      </c>
      <c r="D87" s="51">
        <f>+D69</f>
        <v>129600976</v>
      </c>
      <c r="E87" s="51">
        <f>+E69</f>
        <v>132154785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779129428</v>
      </c>
      <c r="D88" s="51">
        <f t="shared" si="0"/>
        <v>824454105</v>
      </c>
      <c r="E88" s="51">
        <f t="shared" si="0"/>
        <v>920001155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39305209</v>
      </c>
      <c r="D89" s="52">
        <f t="shared" si="0"/>
        <v>40686788</v>
      </c>
      <c r="E89" s="52">
        <f t="shared" si="0"/>
        <v>42312460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739824219</v>
      </c>
      <c r="D90" s="51">
        <f>+D88-D89</f>
        <v>783767317</v>
      </c>
      <c r="E90" s="51">
        <f>+E88-E89</f>
        <v>877688695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73.139476874725403</v>
      </c>
      <c r="D94" s="192">
        <f>IF(D96=0,0,(D95/D96)*100)</f>
        <v>49.277458817080856</v>
      </c>
      <c r="E94" s="192">
        <f>IF(E96=0,0,(E95/E96)*100)</f>
        <v>46.968341979986164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648135482</v>
      </c>
      <c r="D95" s="51">
        <f>+D32</f>
        <v>403988398</v>
      </c>
      <c r="E95" s="51">
        <f>+E32</f>
        <v>427719774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886163683</v>
      </c>
      <c r="D96" s="51">
        <v>819823927</v>
      </c>
      <c r="E96" s="51">
        <v>910655467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-0.48830044629633124</v>
      </c>
      <c r="D98" s="192">
        <f>IF(D104=0,0,(D101/D104)*100)</f>
        <v>20.762093176467243</v>
      </c>
      <c r="E98" s="192">
        <f>IF(E104=0,0,(E101/E104)*100)</f>
        <v>39.057334863021801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-40100619</v>
      </c>
      <c r="D99" s="51">
        <f>+D28</f>
        <v>-4240807</v>
      </c>
      <c r="E99" s="51">
        <f>+E28</f>
        <v>33580418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39305209</v>
      </c>
      <c r="D100" s="52">
        <f>+D76</f>
        <v>40686788</v>
      </c>
      <c r="E100" s="52">
        <f>+E76</f>
        <v>42312460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-795410</v>
      </c>
      <c r="D101" s="51">
        <f>+D99+D100</f>
        <v>36445981</v>
      </c>
      <c r="E101" s="51">
        <f>+E99+E100</f>
        <v>75892878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116953564</v>
      </c>
      <c r="D102" s="180">
        <f>+D69</f>
        <v>129600976</v>
      </c>
      <c r="E102" s="180">
        <f>+E69</f>
        <v>132154785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45940000</v>
      </c>
      <c r="D103" s="194">
        <v>45940000</v>
      </c>
      <c r="E103" s="194">
        <v>62156676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162893564</v>
      </c>
      <c r="D104" s="180">
        <f>+D102+D103</f>
        <v>175540976</v>
      </c>
      <c r="E104" s="180">
        <f>+E102+E103</f>
        <v>194311461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6.6188766483470163</v>
      </c>
      <c r="D106" s="197">
        <f>IF(D109=0,0,(D107/D109)*100)</f>
        <v>10.210513540423381</v>
      </c>
      <c r="E106" s="197">
        <f>IF(E109=0,0,(E107/E109)*100)</f>
        <v>12.688235166234263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45940000</v>
      </c>
      <c r="D107" s="180">
        <f>+D103</f>
        <v>45940000</v>
      </c>
      <c r="E107" s="180">
        <f>+E103</f>
        <v>62156676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648135482</v>
      </c>
      <c r="D108" s="180">
        <f>+D32</f>
        <v>403988398</v>
      </c>
      <c r="E108" s="180">
        <f>+E32</f>
        <v>427719774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694075482</v>
      </c>
      <c r="D109" s="180">
        <f>+D107+D108</f>
        <v>449928398</v>
      </c>
      <c r="E109" s="180">
        <f>+E107+E108</f>
        <v>489876450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0.48754935834950963</v>
      </c>
      <c r="D111" s="197">
        <f>IF((+D113+D115)=0,0,((+D112+D113+D114)/(+D113+D115)))</f>
        <v>12.474570051412368</v>
      </c>
      <c r="E111" s="197">
        <f>IF((+E113+E115)=0,0,((+E112+E113+E114)/(+E113+E115)))</f>
        <v>25.694451170630675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-40100619</v>
      </c>
      <c r="D112" s="180">
        <f>+D17</f>
        <v>-4240807</v>
      </c>
      <c r="E112" s="180">
        <f>+E17</f>
        <v>33580418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1552169</v>
      </c>
      <c r="D113" s="180">
        <v>607197</v>
      </c>
      <c r="E113" s="180">
        <v>614483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39305209</v>
      </c>
      <c r="D114" s="180">
        <v>40686788</v>
      </c>
      <c r="E114" s="180">
        <v>42312460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2363100</v>
      </c>
      <c r="E115" s="180">
        <v>2363100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12.027388481765865</v>
      </c>
      <c r="D119" s="197">
        <f>IF(+D121=0,0,(+D120)/(+D121))</f>
        <v>12.591850135724648</v>
      </c>
      <c r="E119" s="197">
        <f>IF(+E121=0,0,(+E120)/(+E121))</f>
        <v>13.067241564305171</v>
      </c>
    </row>
    <row r="120" spans="1:8" ht="24" customHeight="1" x14ac:dyDescent="0.25">
      <c r="A120" s="17">
        <v>21</v>
      </c>
      <c r="B120" s="48" t="s">
        <v>369</v>
      </c>
      <c r="C120" s="180">
        <v>472739018</v>
      </c>
      <c r="D120" s="180">
        <v>512321937</v>
      </c>
      <c r="E120" s="180">
        <v>552907136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39305209</v>
      </c>
      <c r="D121" s="180">
        <v>40686788</v>
      </c>
      <c r="E121" s="180">
        <v>42312460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212013</v>
      </c>
      <c r="D124" s="198">
        <v>215958</v>
      </c>
      <c r="E124" s="198">
        <v>220114</v>
      </c>
    </row>
    <row r="125" spans="1:8" ht="24" customHeight="1" x14ac:dyDescent="0.2">
      <c r="A125" s="44">
        <v>2</v>
      </c>
      <c r="B125" s="48" t="s">
        <v>373</v>
      </c>
      <c r="C125" s="198">
        <v>39840</v>
      </c>
      <c r="D125" s="198">
        <v>41188</v>
      </c>
      <c r="E125" s="198">
        <v>41265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5.3216114457831329</v>
      </c>
      <c r="D126" s="199">
        <f>IF(D125=0,0,D124/D125)</f>
        <v>5.2432261823832187</v>
      </c>
      <c r="E126" s="199">
        <f>IF(E125=0,0,E124/E125)</f>
        <v>5.3341572761420091</v>
      </c>
    </row>
    <row r="127" spans="1:8" ht="24" customHeight="1" x14ac:dyDescent="0.2">
      <c r="A127" s="44">
        <v>4</v>
      </c>
      <c r="B127" s="48" t="s">
        <v>375</v>
      </c>
      <c r="C127" s="198">
        <v>583</v>
      </c>
      <c r="D127" s="198">
        <v>595</v>
      </c>
      <c r="E127" s="198">
        <v>630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752</v>
      </c>
      <c r="E128" s="198">
        <v>760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867</v>
      </c>
      <c r="D129" s="198">
        <v>867</v>
      </c>
      <c r="E129" s="198">
        <v>867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0.99629999999999996</v>
      </c>
      <c r="D130" s="171">
        <v>0.99429999999999996</v>
      </c>
      <c r="E130" s="171">
        <v>0.95720000000000005</v>
      </c>
    </row>
    <row r="131" spans="1:8" ht="24" customHeight="1" x14ac:dyDescent="0.2">
      <c r="A131" s="44">
        <v>7</v>
      </c>
      <c r="B131" s="48" t="s">
        <v>379</v>
      </c>
      <c r="C131" s="171">
        <v>0.77549999999999997</v>
      </c>
      <c r="D131" s="171">
        <v>0.78669999999999995</v>
      </c>
      <c r="E131" s="171">
        <v>0.79339999999999999</v>
      </c>
    </row>
    <row r="132" spans="1:8" ht="24" customHeight="1" x14ac:dyDescent="0.2">
      <c r="A132" s="44">
        <v>8</v>
      </c>
      <c r="B132" s="48" t="s">
        <v>380</v>
      </c>
      <c r="C132" s="199">
        <v>5331.3</v>
      </c>
      <c r="D132" s="199">
        <v>5396.3</v>
      </c>
      <c r="E132" s="199">
        <v>5648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0.35481923122937842</v>
      </c>
      <c r="D135" s="203">
        <f>IF(D149=0,0,D143/D149)</f>
        <v>0.36038961175313067</v>
      </c>
      <c r="E135" s="203">
        <f>IF(E149=0,0,E143/E149)</f>
        <v>0.35366352205524937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0.45262265460220896</v>
      </c>
      <c r="D136" s="203">
        <f>IF(D149=0,0,D144/D149)</f>
        <v>0.4368391483403134</v>
      </c>
      <c r="E136" s="203">
        <f>IF(E149=0,0,E144/E149)</f>
        <v>0.44268097891972452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0.11755433940364543</v>
      </c>
      <c r="D137" s="203">
        <f>IF(D149=0,0,D145/D149)</f>
        <v>0.13012501330120102</v>
      </c>
      <c r="E137" s="203">
        <f>IF(E149=0,0,E145/E149)</f>
        <v>0.15447335121528355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4.2295685667764912E-2</v>
      </c>
      <c r="D138" s="203">
        <f>IF(D149=0,0,D146/D149)</f>
        <v>4.1155370108986698E-2</v>
      </c>
      <c r="E138" s="203">
        <f>IF(E149=0,0,E146/E149)</f>
        <v>2.066095961532801E-2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2.9011245274936814E-2</v>
      </c>
      <c r="D139" s="203">
        <f>IF(D149=0,0,D147/D149)</f>
        <v>2.6669530426213877E-2</v>
      </c>
      <c r="E139" s="203">
        <f>IF(E149=0,0,E147/E149)</f>
        <v>2.4783249234855594E-2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3.6968438220654257E-3</v>
      </c>
      <c r="D140" s="203">
        <f>IF(D149=0,0,D148/D149)</f>
        <v>4.8213260701542998E-3</v>
      </c>
      <c r="E140" s="203">
        <f>IF(E149=0,0,E148/E149)</f>
        <v>3.737938959558961E-3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552053231</v>
      </c>
      <c r="D143" s="205">
        <f>+D46-D147</f>
        <v>617863356</v>
      </c>
      <c r="E143" s="205">
        <f>+E46-E147</f>
        <v>672568683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704222818</v>
      </c>
      <c r="D144" s="205">
        <f>+D51</f>
        <v>748930861</v>
      </c>
      <c r="E144" s="205">
        <f>+E51</f>
        <v>841854883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182899480</v>
      </c>
      <c r="D145" s="205">
        <f>+D55</f>
        <v>223090441</v>
      </c>
      <c r="E145" s="205">
        <f>+E55</f>
        <v>293764926</v>
      </c>
    </row>
    <row r="146" spans="1:7" ht="20.100000000000001" customHeight="1" x14ac:dyDescent="0.2">
      <c r="A146" s="202">
        <v>11</v>
      </c>
      <c r="B146" s="201" t="s">
        <v>392</v>
      </c>
      <c r="C146" s="204">
        <v>65806664</v>
      </c>
      <c r="D146" s="205">
        <v>70558069</v>
      </c>
      <c r="E146" s="205">
        <v>39291342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45137778</v>
      </c>
      <c r="D147" s="205">
        <f>+D47</f>
        <v>45723087</v>
      </c>
      <c r="E147" s="205">
        <f>+E47</f>
        <v>47130779</v>
      </c>
    </row>
    <row r="148" spans="1:7" ht="20.100000000000001" customHeight="1" x14ac:dyDescent="0.2">
      <c r="A148" s="202">
        <v>13</v>
      </c>
      <c r="B148" s="201" t="s">
        <v>394</v>
      </c>
      <c r="C148" s="206">
        <v>5751815</v>
      </c>
      <c r="D148" s="205">
        <v>8265834</v>
      </c>
      <c r="E148" s="205">
        <v>7108510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1555871786</v>
      </c>
      <c r="D149" s="205">
        <f>SUM(D143:D148)</f>
        <v>1714431648</v>
      </c>
      <c r="E149" s="205">
        <f>SUM(E143:E148)</f>
        <v>1901719123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0.42668069104267603</v>
      </c>
      <c r="D152" s="203">
        <f>IF(D166=0,0,D160/D166)</f>
        <v>0.45946738524428715</v>
      </c>
      <c r="E152" s="203">
        <f>IF(E166=0,0,E160/E166)</f>
        <v>0.44979870047269654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0.43727624900388429</v>
      </c>
      <c r="D153" s="203">
        <f>IF(D166=0,0,D161/D166)</f>
        <v>0.41107884654879362</v>
      </c>
      <c r="E153" s="203">
        <f>IF(E166=0,0,E161/E166)</f>
        <v>0.41554471043874947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0.10563641373941986</v>
      </c>
      <c r="D154" s="203">
        <f>IF(D166=0,0,D162/D166)</f>
        <v>0.10429341088540384</v>
      </c>
      <c r="E154" s="203">
        <f>IF(E166=0,0,E162/E166)</f>
        <v>0.11605160524647205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2.0026545007158381E-2</v>
      </c>
      <c r="D155" s="203">
        <f>IF(D166=0,0,D163/D166)</f>
        <v>1.7214809866481013E-2</v>
      </c>
      <c r="E155" s="203">
        <f>IF(E166=0,0,E163/E166)</f>
        <v>1.2790200726286522E-2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5.716211089039973E-3</v>
      </c>
      <c r="D156" s="203">
        <f>IF(D166=0,0,D164/D166)</f>
        <v>4.402474965846153E-3</v>
      </c>
      <c r="E156" s="203">
        <f>IF(E166=0,0,E164/E166)</f>
        <v>3.2468360483485369E-3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4.6638901178214622E-3</v>
      </c>
      <c r="D157" s="203">
        <f>IF(D166=0,0,D165/D166)</f>
        <v>3.5430724891882697E-3</v>
      </c>
      <c r="E157" s="203">
        <f>IF(E166=0,0,E165/E166)</f>
        <v>2.5679470674468885E-3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268423151</v>
      </c>
      <c r="D160" s="208">
        <f>+D44-D164</f>
        <v>316352060</v>
      </c>
      <c r="E160" s="208">
        <f>+E44-E164</f>
        <v>348545653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275088775</v>
      </c>
      <c r="D161" s="208">
        <f>+D50</f>
        <v>283035628</v>
      </c>
      <c r="E161" s="208">
        <f>+E50</f>
        <v>322002492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66455454</v>
      </c>
      <c r="D162" s="208">
        <f>+D54</f>
        <v>71808003</v>
      </c>
      <c r="E162" s="208">
        <f>+E54</f>
        <v>89927522</v>
      </c>
    </row>
    <row r="163" spans="1:6" ht="20.100000000000001" customHeight="1" x14ac:dyDescent="0.2">
      <c r="A163" s="202">
        <v>11</v>
      </c>
      <c r="B163" s="201" t="s">
        <v>408</v>
      </c>
      <c r="C163" s="207">
        <v>12598621</v>
      </c>
      <c r="D163" s="208">
        <v>11852725</v>
      </c>
      <c r="E163" s="208">
        <v>9911031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3596046</v>
      </c>
      <c r="D164" s="208">
        <f>+D45</f>
        <v>3031188</v>
      </c>
      <c r="E164" s="208">
        <f>+E45</f>
        <v>2515949</v>
      </c>
    </row>
    <row r="165" spans="1:6" ht="20.100000000000001" customHeight="1" x14ac:dyDescent="0.2">
      <c r="A165" s="202">
        <v>13</v>
      </c>
      <c r="B165" s="201" t="s">
        <v>410</v>
      </c>
      <c r="C165" s="209">
        <v>2934035</v>
      </c>
      <c r="D165" s="208">
        <v>2439473</v>
      </c>
      <c r="E165" s="208">
        <v>1989883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629096082</v>
      </c>
      <c r="D166" s="208">
        <f>SUM(D160:D165)</f>
        <v>688519077</v>
      </c>
      <c r="E166" s="208">
        <f>SUM(E160:E165)</f>
        <v>774892530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16218</v>
      </c>
      <c r="D169" s="198">
        <v>16639</v>
      </c>
      <c r="E169" s="198">
        <v>16050</v>
      </c>
    </row>
    <row r="170" spans="1:6" ht="20.100000000000001" customHeight="1" x14ac:dyDescent="0.2">
      <c r="A170" s="202">
        <v>2</v>
      </c>
      <c r="B170" s="201" t="s">
        <v>414</v>
      </c>
      <c r="C170" s="198">
        <v>15288</v>
      </c>
      <c r="D170" s="198">
        <v>15533</v>
      </c>
      <c r="E170" s="198">
        <v>15819</v>
      </c>
    </row>
    <row r="171" spans="1:6" ht="20.100000000000001" customHeight="1" x14ac:dyDescent="0.2">
      <c r="A171" s="202">
        <v>3</v>
      </c>
      <c r="B171" s="201" t="s">
        <v>415</v>
      </c>
      <c r="C171" s="198">
        <v>8174</v>
      </c>
      <c r="D171" s="198">
        <v>8830</v>
      </c>
      <c r="E171" s="198">
        <v>9230</v>
      </c>
    </row>
    <row r="172" spans="1:6" ht="20.100000000000001" customHeight="1" x14ac:dyDescent="0.2">
      <c r="A172" s="202">
        <v>4</v>
      </c>
      <c r="B172" s="201" t="s">
        <v>416</v>
      </c>
      <c r="C172" s="198">
        <v>6256</v>
      </c>
      <c r="D172" s="198">
        <v>6942</v>
      </c>
      <c r="E172" s="198">
        <v>7923</v>
      </c>
    </row>
    <row r="173" spans="1:6" ht="20.100000000000001" customHeight="1" x14ac:dyDescent="0.2">
      <c r="A173" s="202">
        <v>5</v>
      </c>
      <c r="B173" s="201" t="s">
        <v>417</v>
      </c>
      <c r="C173" s="198">
        <v>1918</v>
      </c>
      <c r="D173" s="198">
        <v>1888</v>
      </c>
      <c r="E173" s="198">
        <v>1307</v>
      </c>
    </row>
    <row r="174" spans="1:6" ht="20.100000000000001" customHeight="1" x14ac:dyDescent="0.2">
      <c r="A174" s="202">
        <v>6</v>
      </c>
      <c r="B174" s="201" t="s">
        <v>418</v>
      </c>
      <c r="C174" s="198">
        <v>160</v>
      </c>
      <c r="D174" s="198">
        <v>186</v>
      </c>
      <c r="E174" s="198">
        <v>166</v>
      </c>
    </row>
    <row r="175" spans="1:6" ht="20.100000000000001" customHeight="1" x14ac:dyDescent="0.2">
      <c r="A175" s="202">
        <v>7</v>
      </c>
      <c r="B175" s="201" t="s">
        <v>419</v>
      </c>
      <c r="C175" s="198">
        <v>664</v>
      </c>
      <c r="D175" s="198">
        <v>694</v>
      </c>
      <c r="E175" s="198">
        <v>690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39840</v>
      </c>
      <c r="D176" s="198">
        <f>+D169+D170+D171+D174</f>
        <v>41188</v>
      </c>
      <c r="E176" s="198">
        <f>+E169+E170+E171+E174</f>
        <v>41265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1.3010999999999999</v>
      </c>
      <c r="D179" s="210">
        <v>1.3378000000000001</v>
      </c>
      <c r="E179" s="210">
        <v>1.3722000000000001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1.6816</v>
      </c>
      <c r="D180" s="210">
        <v>1.6591</v>
      </c>
      <c r="E180" s="210">
        <v>1.8172999999999999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1.054799</v>
      </c>
      <c r="D181" s="210">
        <v>1.1078939999999999</v>
      </c>
      <c r="E181" s="210">
        <v>1.1258999999999999</v>
      </c>
    </row>
    <row r="182" spans="1:6" ht="20.100000000000001" customHeight="1" x14ac:dyDescent="0.2">
      <c r="A182" s="202">
        <v>4</v>
      </c>
      <c r="B182" s="201" t="s">
        <v>416</v>
      </c>
      <c r="C182" s="210">
        <v>1.0204</v>
      </c>
      <c r="D182" s="210">
        <v>1.0791999999999999</v>
      </c>
      <c r="E182" s="210">
        <v>1.1066</v>
      </c>
    </row>
    <row r="183" spans="1:6" ht="20.100000000000001" customHeight="1" x14ac:dyDescent="0.2">
      <c r="A183" s="202">
        <v>5</v>
      </c>
      <c r="B183" s="201" t="s">
        <v>417</v>
      </c>
      <c r="C183" s="210">
        <v>1.167</v>
      </c>
      <c r="D183" s="210">
        <v>1.2134</v>
      </c>
      <c r="E183" s="210">
        <v>1.2428999999999999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1.3010999999999999</v>
      </c>
      <c r="D184" s="210">
        <v>1.24</v>
      </c>
      <c r="E184" s="210">
        <v>1.0678000000000001</v>
      </c>
    </row>
    <row r="185" spans="1:6" ht="20.100000000000001" customHeight="1" x14ac:dyDescent="0.2">
      <c r="A185" s="202">
        <v>7</v>
      </c>
      <c r="B185" s="201" t="s">
        <v>419</v>
      </c>
      <c r="C185" s="210">
        <v>1.3675999999999999</v>
      </c>
      <c r="D185" s="210">
        <v>1.3109</v>
      </c>
      <c r="E185" s="210">
        <v>1.3522000000000001</v>
      </c>
    </row>
    <row r="186" spans="1:6" ht="20.100000000000001" customHeight="1" x14ac:dyDescent="0.2">
      <c r="A186" s="202">
        <v>8</v>
      </c>
      <c r="B186" s="201" t="s">
        <v>423</v>
      </c>
      <c r="C186" s="210">
        <v>1.396577</v>
      </c>
      <c r="D186" s="210">
        <v>1.40924</v>
      </c>
      <c r="E186" s="210">
        <v>1.486513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15872</v>
      </c>
      <c r="D189" s="198">
        <v>16393</v>
      </c>
      <c r="E189" s="198">
        <v>16735</v>
      </c>
    </row>
    <row r="190" spans="1:6" ht="20.100000000000001" customHeight="1" x14ac:dyDescent="0.2">
      <c r="A190" s="202">
        <v>2</v>
      </c>
      <c r="B190" s="201" t="s">
        <v>427</v>
      </c>
      <c r="C190" s="198">
        <v>66455</v>
      </c>
      <c r="D190" s="198">
        <v>73715</v>
      </c>
      <c r="E190" s="198">
        <v>78670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82327</v>
      </c>
      <c r="D191" s="198">
        <f>+D190+D189</f>
        <v>90108</v>
      </c>
      <c r="E191" s="198">
        <f>+E190+E189</f>
        <v>95405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FILING&amp;RHARTFORD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9" style="211" customWidth="1"/>
    <col min="2" max="2" width="72.5703125" style="211" customWidth="1"/>
    <col min="3" max="3" width="21" style="212" customWidth="1"/>
    <col min="4" max="4" width="21.140625" style="211" customWidth="1"/>
    <col min="5" max="5" width="22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4306199</v>
      </c>
      <c r="D14" s="237">
        <v>3451523</v>
      </c>
      <c r="E14" s="237">
        <f t="shared" ref="E14:E24" si="0">D14-C14</f>
        <v>-854676</v>
      </c>
      <c r="F14" s="238">
        <f t="shared" ref="F14:F24" si="1">IF(C14=0,0,E14/C14)</f>
        <v>-0.19847573231055973</v>
      </c>
    </row>
    <row r="15" spans="1:7" ht="20.25" customHeight="1" x14ac:dyDescent="0.3">
      <c r="A15" s="235">
        <v>2</v>
      </c>
      <c r="B15" s="236" t="s">
        <v>435</v>
      </c>
      <c r="C15" s="237">
        <v>1369631</v>
      </c>
      <c r="D15" s="237">
        <v>1102810</v>
      </c>
      <c r="E15" s="237">
        <f t="shared" si="0"/>
        <v>-266821</v>
      </c>
      <c r="F15" s="238">
        <f t="shared" si="1"/>
        <v>-0.19481232536354681</v>
      </c>
    </row>
    <row r="16" spans="1:7" ht="20.25" customHeight="1" x14ac:dyDescent="0.3">
      <c r="A16" s="235">
        <v>3</v>
      </c>
      <c r="B16" s="236" t="s">
        <v>436</v>
      </c>
      <c r="C16" s="237">
        <v>961453</v>
      </c>
      <c r="D16" s="237">
        <v>1361485</v>
      </c>
      <c r="E16" s="237">
        <f t="shared" si="0"/>
        <v>400032</v>
      </c>
      <c r="F16" s="238">
        <f t="shared" si="1"/>
        <v>0.41607026032473765</v>
      </c>
    </row>
    <row r="17" spans="1:6" ht="20.25" customHeight="1" x14ac:dyDescent="0.3">
      <c r="A17" s="235">
        <v>4</v>
      </c>
      <c r="B17" s="236" t="s">
        <v>437</v>
      </c>
      <c r="C17" s="237">
        <v>317229</v>
      </c>
      <c r="D17" s="237">
        <v>618504</v>
      </c>
      <c r="E17" s="237">
        <f t="shared" si="0"/>
        <v>301275</v>
      </c>
      <c r="F17" s="238">
        <f t="shared" si="1"/>
        <v>0.94970825491994737</v>
      </c>
    </row>
    <row r="18" spans="1:6" ht="20.25" customHeight="1" x14ac:dyDescent="0.3">
      <c r="A18" s="235">
        <v>5</v>
      </c>
      <c r="B18" s="236" t="s">
        <v>373</v>
      </c>
      <c r="C18" s="239">
        <v>91</v>
      </c>
      <c r="D18" s="239">
        <v>81</v>
      </c>
      <c r="E18" s="239">
        <f t="shared" si="0"/>
        <v>-10</v>
      </c>
      <c r="F18" s="238">
        <f t="shared" si="1"/>
        <v>-0.10989010989010989</v>
      </c>
    </row>
    <row r="19" spans="1:6" ht="20.25" customHeight="1" x14ac:dyDescent="0.3">
      <c r="A19" s="235">
        <v>6</v>
      </c>
      <c r="B19" s="236" t="s">
        <v>372</v>
      </c>
      <c r="C19" s="239">
        <v>631</v>
      </c>
      <c r="D19" s="239">
        <v>478</v>
      </c>
      <c r="E19" s="239">
        <f t="shared" si="0"/>
        <v>-153</v>
      </c>
      <c r="F19" s="238">
        <f t="shared" si="1"/>
        <v>-0.24247226624405704</v>
      </c>
    </row>
    <row r="20" spans="1:6" ht="20.25" customHeight="1" x14ac:dyDescent="0.3">
      <c r="A20" s="235">
        <v>7</v>
      </c>
      <c r="B20" s="236" t="s">
        <v>438</v>
      </c>
      <c r="C20" s="239">
        <v>54</v>
      </c>
      <c r="D20" s="239">
        <v>376</v>
      </c>
      <c r="E20" s="239">
        <f t="shared" si="0"/>
        <v>322</v>
      </c>
      <c r="F20" s="238">
        <f t="shared" si="1"/>
        <v>5.9629629629629628</v>
      </c>
    </row>
    <row r="21" spans="1:6" ht="20.25" customHeight="1" x14ac:dyDescent="0.3">
      <c r="A21" s="235">
        <v>8</v>
      </c>
      <c r="B21" s="236" t="s">
        <v>439</v>
      </c>
      <c r="C21" s="239">
        <v>41</v>
      </c>
      <c r="D21" s="239">
        <v>54</v>
      </c>
      <c r="E21" s="239">
        <f t="shared" si="0"/>
        <v>13</v>
      </c>
      <c r="F21" s="238">
        <f t="shared" si="1"/>
        <v>0.31707317073170732</v>
      </c>
    </row>
    <row r="22" spans="1:6" ht="20.25" customHeight="1" x14ac:dyDescent="0.3">
      <c r="A22" s="235">
        <v>9</v>
      </c>
      <c r="B22" s="236" t="s">
        <v>440</v>
      </c>
      <c r="C22" s="239">
        <v>39</v>
      </c>
      <c r="D22" s="239">
        <v>32</v>
      </c>
      <c r="E22" s="239">
        <f t="shared" si="0"/>
        <v>-7</v>
      </c>
      <c r="F22" s="238">
        <f t="shared" si="1"/>
        <v>-0.17948717948717949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5267652</v>
      </c>
      <c r="D23" s="243">
        <f>+D14+D16</f>
        <v>4813008</v>
      </c>
      <c r="E23" s="243">
        <f t="shared" si="0"/>
        <v>-454644</v>
      </c>
      <c r="F23" s="244">
        <f t="shared" si="1"/>
        <v>-8.6308662759043309E-2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1686860</v>
      </c>
      <c r="D24" s="243">
        <f>+D15+D17</f>
        <v>1721314</v>
      </c>
      <c r="E24" s="243">
        <f t="shared" si="0"/>
        <v>34454</v>
      </c>
      <c r="F24" s="244">
        <f t="shared" si="1"/>
        <v>2.0424931529587517E-2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13031309</v>
      </c>
      <c r="D40" s="237">
        <v>18180742</v>
      </c>
      <c r="E40" s="237">
        <f t="shared" ref="E40:E50" si="4">D40-C40</f>
        <v>5149433</v>
      </c>
      <c r="F40" s="238">
        <f t="shared" ref="F40:F50" si="5">IF(C40=0,0,E40/C40)</f>
        <v>0.39515853702801462</v>
      </c>
    </row>
    <row r="41" spans="1:6" ht="20.25" customHeight="1" x14ac:dyDescent="0.3">
      <c r="A41" s="235">
        <v>2</v>
      </c>
      <c r="B41" s="236" t="s">
        <v>435</v>
      </c>
      <c r="C41" s="237">
        <v>5429118</v>
      </c>
      <c r="D41" s="237">
        <v>7138190</v>
      </c>
      <c r="E41" s="237">
        <f t="shared" si="4"/>
        <v>1709072</v>
      </c>
      <c r="F41" s="238">
        <f t="shared" si="5"/>
        <v>0.31479735750816246</v>
      </c>
    </row>
    <row r="42" spans="1:6" ht="20.25" customHeight="1" x14ac:dyDescent="0.3">
      <c r="A42" s="235">
        <v>3</v>
      </c>
      <c r="B42" s="236" t="s">
        <v>436</v>
      </c>
      <c r="C42" s="237">
        <v>3363135</v>
      </c>
      <c r="D42" s="237">
        <v>5260844</v>
      </c>
      <c r="E42" s="237">
        <f t="shared" si="4"/>
        <v>1897709</v>
      </c>
      <c r="F42" s="238">
        <f t="shared" si="5"/>
        <v>0.56426786316933453</v>
      </c>
    </row>
    <row r="43" spans="1:6" ht="20.25" customHeight="1" x14ac:dyDescent="0.3">
      <c r="A43" s="235">
        <v>4</v>
      </c>
      <c r="B43" s="236" t="s">
        <v>437</v>
      </c>
      <c r="C43" s="237">
        <v>1694641</v>
      </c>
      <c r="D43" s="237">
        <v>1306846</v>
      </c>
      <c r="E43" s="237">
        <f t="shared" si="4"/>
        <v>-387795</v>
      </c>
      <c r="F43" s="238">
        <f t="shared" si="5"/>
        <v>-0.22883607796577565</v>
      </c>
    </row>
    <row r="44" spans="1:6" ht="20.25" customHeight="1" x14ac:dyDescent="0.3">
      <c r="A44" s="235">
        <v>5</v>
      </c>
      <c r="B44" s="236" t="s">
        <v>373</v>
      </c>
      <c r="C44" s="239">
        <v>321</v>
      </c>
      <c r="D44" s="239">
        <v>404</v>
      </c>
      <c r="E44" s="239">
        <f t="shared" si="4"/>
        <v>83</v>
      </c>
      <c r="F44" s="238">
        <f t="shared" si="5"/>
        <v>0.25856697819314639</v>
      </c>
    </row>
    <row r="45" spans="1:6" ht="20.25" customHeight="1" x14ac:dyDescent="0.3">
      <c r="A45" s="235">
        <v>6</v>
      </c>
      <c r="B45" s="236" t="s">
        <v>372</v>
      </c>
      <c r="C45" s="239">
        <v>1774</v>
      </c>
      <c r="D45" s="239">
        <v>2297</v>
      </c>
      <c r="E45" s="239">
        <f t="shared" si="4"/>
        <v>523</v>
      </c>
      <c r="F45" s="238">
        <f t="shared" si="5"/>
        <v>0.29481397970687712</v>
      </c>
    </row>
    <row r="46" spans="1:6" ht="20.25" customHeight="1" x14ac:dyDescent="0.3">
      <c r="A46" s="235">
        <v>7</v>
      </c>
      <c r="B46" s="236" t="s">
        <v>438</v>
      </c>
      <c r="C46" s="239">
        <v>261</v>
      </c>
      <c r="D46" s="239">
        <v>993</v>
      </c>
      <c r="E46" s="239">
        <f t="shared" si="4"/>
        <v>732</v>
      </c>
      <c r="F46" s="238">
        <f t="shared" si="5"/>
        <v>2.8045977011494254</v>
      </c>
    </row>
    <row r="47" spans="1:6" ht="20.25" customHeight="1" x14ac:dyDescent="0.3">
      <c r="A47" s="235">
        <v>8</v>
      </c>
      <c r="B47" s="236" t="s">
        <v>439</v>
      </c>
      <c r="C47" s="239">
        <v>149</v>
      </c>
      <c r="D47" s="239">
        <v>209</v>
      </c>
      <c r="E47" s="239">
        <f t="shared" si="4"/>
        <v>60</v>
      </c>
      <c r="F47" s="238">
        <f t="shared" si="5"/>
        <v>0.40268456375838924</v>
      </c>
    </row>
    <row r="48" spans="1:6" ht="20.25" customHeight="1" x14ac:dyDescent="0.3">
      <c r="A48" s="235">
        <v>9</v>
      </c>
      <c r="B48" s="236" t="s">
        <v>440</v>
      </c>
      <c r="C48" s="239">
        <v>153</v>
      </c>
      <c r="D48" s="239">
        <v>202</v>
      </c>
      <c r="E48" s="239">
        <f t="shared" si="4"/>
        <v>49</v>
      </c>
      <c r="F48" s="238">
        <f t="shared" si="5"/>
        <v>0.3202614379084967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16394444</v>
      </c>
      <c r="D49" s="243">
        <f>+D40+D42</f>
        <v>23441586</v>
      </c>
      <c r="E49" s="243">
        <f t="shared" si="4"/>
        <v>7047142</v>
      </c>
      <c r="F49" s="244">
        <f t="shared" si="5"/>
        <v>0.42984940507894015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7123759</v>
      </c>
      <c r="D50" s="243">
        <f>+D41+D43</f>
        <v>8445036</v>
      </c>
      <c r="E50" s="243">
        <f t="shared" si="4"/>
        <v>1321277</v>
      </c>
      <c r="F50" s="244">
        <f t="shared" si="5"/>
        <v>0.18547469110058326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28523373</v>
      </c>
      <c r="D53" s="237">
        <v>34172100</v>
      </c>
      <c r="E53" s="237">
        <f t="shared" ref="E53:E63" si="6">D53-C53</f>
        <v>5648727</v>
      </c>
      <c r="F53" s="238">
        <f t="shared" ref="F53:F63" si="7">IF(C53=0,0,E53/C53)</f>
        <v>0.19803853492362211</v>
      </c>
    </row>
    <row r="54" spans="1:6" ht="20.25" customHeight="1" x14ac:dyDescent="0.3">
      <c r="A54" s="235">
        <v>2</v>
      </c>
      <c r="B54" s="236" t="s">
        <v>435</v>
      </c>
      <c r="C54" s="237">
        <v>11248079</v>
      </c>
      <c r="D54" s="237">
        <v>12412747</v>
      </c>
      <c r="E54" s="237">
        <f t="shared" si="6"/>
        <v>1164668</v>
      </c>
      <c r="F54" s="238">
        <f t="shared" si="7"/>
        <v>0.10354372511075002</v>
      </c>
    </row>
    <row r="55" spans="1:6" ht="20.25" customHeight="1" x14ac:dyDescent="0.3">
      <c r="A55" s="235">
        <v>3</v>
      </c>
      <c r="B55" s="236" t="s">
        <v>436</v>
      </c>
      <c r="C55" s="237">
        <v>6761528</v>
      </c>
      <c r="D55" s="237">
        <v>8824461</v>
      </c>
      <c r="E55" s="237">
        <f t="shared" si="6"/>
        <v>2062933</v>
      </c>
      <c r="F55" s="238">
        <f t="shared" si="7"/>
        <v>0.30509864042565527</v>
      </c>
    </row>
    <row r="56" spans="1:6" ht="20.25" customHeight="1" x14ac:dyDescent="0.3">
      <c r="A56" s="235">
        <v>4</v>
      </c>
      <c r="B56" s="236" t="s">
        <v>437</v>
      </c>
      <c r="C56" s="237">
        <v>1931938</v>
      </c>
      <c r="D56" s="237">
        <v>2984167</v>
      </c>
      <c r="E56" s="237">
        <f t="shared" si="6"/>
        <v>1052229</v>
      </c>
      <c r="F56" s="238">
        <f t="shared" si="7"/>
        <v>0.54464946597665143</v>
      </c>
    </row>
    <row r="57" spans="1:6" ht="20.25" customHeight="1" x14ac:dyDescent="0.3">
      <c r="A57" s="235">
        <v>5</v>
      </c>
      <c r="B57" s="236" t="s">
        <v>373</v>
      </c>
      <c r="C57" s="239">
        <v>626</v>
      </c>
      <c r="D57" s="239">
        <v>712</v>
      </c>
      <c r="E57" s="239">
        <f t="shared" si="6"/>
        <v>86</v>
      </c>
      <c r="F57" s="238">
        <f t="shared" si="7"/>
        <v>0.13738019169329074</v>
      </c>
    </row>
    <row r="58" spans="1:6" ht="20.25" customHeight="1" x14ac:dyDescent="0.3">
      <c r="A58" s="235">
        <v>6</v>
      </c>
      <c r="B58" s="236" t="s">
        <v>372</v>
      </c>
      <c r="C58" s="239">
        <v>4216</v>
      </c>
      <c r="D58" s="239">
        <v>4691</v>
      </c>
      <c r="E58" s="239">
        <f t="shared" si="6"/>
        <v>475</v>
      </c>
      <c r="F58" s="238">
        <f t="shared" si="7"/>
        <v>0.11266603415559773</v>
      </c>
    </row>
    <row r="59" spans="1:6" ht="20.25" customHeight="1" x14ac:dyDescent="0.3">
      <c r="A59" s="235">
        <v>7</v>
      </c>
      <c r="B59" s="236" t="s">
        <v>438</v>
      </c>
      <c r="C59" s="239">
        <v>148</v>
      </c>
      <c r="D59" s="239">
        <v>1289</v>
      </c>
      <c r="E59" s="239">
        <f t="shared" si="6"/>
        <v>1141</v>
      </c>
      <c r="F59" s="238">
        <f t="shared" si="7"/>
        <v>7.7094594594594597</v>
      </c>
    </row>
    <row r="60" spans="1:6" ht="20.25" customHeight="1" x14ac:dyDescent="0.3">
      <c r="A60" s="235">
        <v>8</v>
      </c>
      <c r="B60" s="236" t="s">
        <v>439</v>
      </c>
      <c r="C60" s="239">
        <v>284</v>
      </c>
      <c r="D60" s="239">
        <v>330</v>
      </c>
      <c r="E60" s="239">
        <f t="shared" si="6"/>
        <v>46</v>
      </c>
      <c r="F60" s="238">
        <f t="shared" si="7"/>
        <v>0.1619718309859155</v>
      </c>
    </row>
    <row r="61" spans="1:6" ht="20.25" customHeight="1" x14ac:dyDescent="0.3">
      <c r="A61" s="235">
        <v>9</v>
      </c>
      <c r="B61" s="236" t="s">
        <v>440</v>
      </c>
      <c r="C61" s="239">
        <v>309</v>
      </c>
      <c r="D61" s="239">
        <v>339</v>
      </c>
      <c r="E61" s="239">
        <f t="shared" si="6"/>
        <v>30</v>
      </c>
      <c r="F61" s="238">
        <f t="shared" si="7"/>
        <v>9.7087378640776698E-2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35284901</v>
      </c>
      <c r="D62" s="243">
        <f>+D53+D55</f>
        <v>42996561</v>
      </c>
      <c r="E62" s="243">
        <f t="shared" si="6"/>
        <v>7711660</v>
      </c>
      <c r="F62" s="244">
        <f t="shared" si="7"/>
        <v>0.21855410618836651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13180017</v>
      </c>
      <c r="D63" s="243">
        <f>+D54+D56</f>
        <v>15396914</v>
      </c>
      <c r="E63" s="243">
        <f t="shared" si="6"/>
        <v>2216897</v>
      </c>
      <c r="F63" s="244">
        <f t="shared" si="7"/>
        <v>0.16820137637151758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10670460</v>
      </c>
      <c r="D66" s="237">
        <v>9832593</v>
      </c>
      <c r="E66" s="237">
        <f t="shared" ref="E66:E76" si="8">D66-C66</f>
        <v>-837867</v>
      </c>
      <c r="F66" s="238">
        <f t="shared" ref="F66:F76" si="9">IF(C66=0,0,E66/C66)</f>
        <v>-7.8522106825760093E-2</v>
      </c>
    </row>
    <row r="67" spans="1:6" ht="20.25" customHeight="1" x14ac:dyDescent="0.3">
      <c r="A67" s="235">
        <v>2</v>
      </c>
      <c r="B67" s="236" t="s">
        <v>435</v>
      </c>
      <c r="C67" s="237">
        <v>3370964</v>
      </c>
      <c r="D67" s="237">
        <v>4129156</v>
      </c>
      <c r="E67" s="237">
        <f t="shared" si="8"/>
        <v>758192</v>
      </c>
      <c r="F67" s="238">
        <f t="shared" si="9"/>
        <v>0.22491845062717963</v>
      </c>
    </row>
    <row r="68" spans="1:6" ht="20.25" customHeight="1" x14ac:dyDescent="0.3">
      <c r="A68" s="235">
        <v>3</v>
      </c>
      <c r="B68" s="236" t="s">
        <v>436</v>
      </c>
      <c r="C68" s="237">
        <v>1807120</v>
      </c>
      <c r="D68" s="237">
        <v>2282009</v>
      </c>
      <c r="E68" s="237">
        <f t="shared" si="8"/>
        <v>474889</v>
      </c>
      <c r="F68" s="238">
        <f t="shared" si="9"/>
        <v>0.26278775067510735</v>
      </c>
    </row>
    <row r="69" spans="1:6" ht="20.25" customHeight="1" x14ac:dyDescent="0.3">
      <c r="A69" s="235">
        <v>4</v>
      </c>
      <c r="B69" s="236" t="s">
        <v>437</v>
      </c>
      <c r="C69" s="237">
        <v>256360</v>
      </c>
      <c r="D69" s="237">
        <v>661359</v>
      </c>
      <c r="E69" s="237">
        <f t="shared" si="8"/>
        <v>404999</v>
      </c>
      <c r="F69" s="238">
        <f t="shared" si="9"/>
        <v>1.5798057419254175</v>
      </c>
    </row>
    <row r="70" spans="1:6" ht="20.25" customHeight="1" x14ac:dyDescent="0.3">
      <c r="A70" s="235">
        <v>5</v>
      </c>
      <c r="B70" s="236" t="s">
        <v>373</v>
      </c>
      <c r="C70" s="239">
        <v>200</v>
      </c>
      <c r="D70" s="239">
        <v>200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372</v>
      </c>
      <c r="C71" s="239">
        <v>1744</v>
      </c>
      <c r="D71" s="239">
        <v>1549</v>
      </c>
      <c r="E71" s="239">
        <f t="shared" si="8"/>
        <v>-195</v>
      </c>
      <c r="F71" s="238">
        <f t="shared" si="9"/>
        <v>-0.11181192660550458</v>
      </c>
    </row>
    <row r="72" spans="1:6" ht="20.25" customHeight="1" x14ac:dyDescent="0.3">
      <c r="A72" s="235">
        <v>7</v>
      </c>
      <c r="B72" s="236" t="s">
        <v>438</v>
      </c>
      <c r="C72" s="239">
        <v>120</v>
      </c>
      <c r="D72" s="239">
        <v>385</v>
      </c>
      <c r="E72" s="239">
        <f t="shared" si="8"/>
        <v>265</v>
      </c>
      <c r="F72" s="238">
        <f t="shared" si="9"/>
        <v>2.2083333333333335</v>
      </c>
    </row>
    <row r="73" spans="1:6" ht="20.25" customHeight="1" x14ac:dyDescent="0.3">
      <c r="A73" s="235">
        <v>8</v>
      </c>
      <c r="B73" s="236" t="s">
        <v>439</v>
      </c>
      <c r="C73" s="239">
        <v>424</v>
      </c>
      <c r="D73" s="239">
        <v>607</v>
      </c>
      <c r="E73" s="239">
        <f t="shared" si="8"/>
        <v>183</v>
      </c>
      <c r="F73" s="238">
        <f t="shared" si="9"/>
        <v>0.43160377358490565</v>
      </c>
    </row>
    <row r="74" spans="1:6" ht="20.25" customHeight="1" x14ac:dyDescent="0.3">
      <c r="A74" s="235">
        <v>9</v>
      </c>
      <c r="B74" s="236" t="s">
        <v>440</v>
      </c>
      <c r="C74" s="239">
        <v>148</v>
      </c>
      <c r="D74" s="239">
        <v>297</v>
      </c>
      <c r="E74" s="239">
        <f t="shared" si="8"/>
        <v>149</v>
      </c>
      <c r="F74" s="238">
        <f t="shared" si="9"/>
        <v>1.0067567567567568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12477580</v>
      </c>
      <c r="D75" s="243">
        <f>+D66+D68</f>
        <v>12114602</v>
      </c>
      <c r="E75" s="243">
        <f t="shared" si="8"/>
        <v>-362978</v>
      </c>
      <c r="F75" s="244">
        <f t="shared" si="9"/>
        <v>-2.9090416571162035E-2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3627324</v>
      </c>
      <c r="D76" s="243">
        <f>+D67+D69</f>
        <v>4790515</v>
      </c>
      <c r="E76" s="243">
        <f t="shared" si="8"/>
        <v>1163191</v>
      </c>
      <c r="F76" s="244">
        <f t="shared" si="9"/>
        <v>0.32067469021239903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18850085</v>
      </c>
      <c r="E92" s="237">
        <f t="shared" ref="E92:E102" si="12">D92-C92</f>
        <v>18850085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6796969</v>
      </c>
      <c r="E93" s="237">
        <f t="shared" si="12"/>
        <v>6796969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5856722</v>
      </c>
      <c r="E94" s="237">
        <f t="shared" si="12"/>
        <v>5856722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1371517</v>
      </c>
      <c r="E95" s="237">
        <f t="shared" si="12"/>
        <v>1371517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505</v>
      </c>
      <c r="E96" s="239">
        <f t="shared" si="12"/>
        <v>505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2920</v>
      </c>
      <c r="E97" s="239">
        <f t="shared" si="12"/>
        <v>2920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2707</v>
      </c>
      <c r="E98" s="239">
        <f t="shared" si="12"/>
        <v>2707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837</v>
      </c>
      <c r="E99" s="239">
        <f t="shared" si="12"/>
        <v>837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299</v>
      </c>
      <c r="E100" s="239">
        <f t="shared" si="12"/>
        <v>299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24706807</v>
      </c>
      <c r="E101" s="243">
        <f t="shared" si="12"/>
        <v>24706807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8168486</v>
      </c>
      <c r="E102" s="243">
        <f t="shared" si="12"/>
        <v>8168486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11563008</v>
      </c>
      <c r="D118" s="237">
        <v>15138435</v>
      </c>
      <c r="E118" s="237">
        <f t="shared" ref="E118:E128" si="16">D118-C118</f>
        <v>3575427</v>
      </c>
      <c r="F118" s="238">
        <f t="shared" ref="F118:F128" si="17">IF(C118=0,0,E118/C118)</f>
        <v>0.30921253362446866</v>
      </c>
    </row>
    <row r="119" spans="1:6" ht="20.25" customHeight="1" x14ac:dyDescent="0.3">
      <c r="A119" s="235">
        <v>2</v>
      </c>
      <c r="B119" s="236" t="s">
        <v>435</v>
      </c>
      <c r="C119" s="237">
        <v>3853748</v>
      </c>
      <c r="D119" s="237">
        <v>6160092</v>
      </c>
      <c r="E119" s="237">
        <f t="shared" si="16"/>
        <v>2306344</v>
      </c>
      <c r="F119" s="238">
        <f t="shared" si="17"/>
        <v>0.59846777734299184</v>
      </c>
    </row>
    <row r="120" spans="1:6" ht="20.25" customHeight="1" x14ac:dyDescent="0.3">
      <c r="A120" s="235">
        <v>3</v>
      </c>
      <c r="B120" s="236" t="s">
        <v>436</v>
      </c>
      <c r="C120" s="237">
        <v>3373932</v>
      </c>
      <c r="D120" s="237">
        <v>4904040</v>
      </c>
      <c r="E120" s="237">
        <f t="shared" si="16"/>
        <v>1530108</v>
      </c>
      <c r="F120" s="238">
        <f t="shared" si="17"/>
        <v>0.45350884368742467</v>
      </c>
    </row>
    <row r="121" spans="1:6" ht="20.25" customHeight="1" x14ac:dyDescent="0.3">
      <c r="A121" s="235">
        <v>4</v>
      </c>
      <c r="B121" s="236" t="s">
        <v>437</v>
      </c>
      <c r="C121" s="237">
        <v>1058347</v>
      </c>
      <c r="D121" s="237">
        <v>1798630</v>
      </c>
      <c r="E121" s="237">
        <f t="shared" si="16"/>
        <v>740283</v>
      </c>
      <c r="F121" s="238">
        <f t="shared" si="17"/>
        <v>0.6994709674615226</v>
      </c>
    </row>
    <row r="122" spans="1:6" ht="20.25" customHeight="1" x14ac:dyDescent="0.3">
      <c r="A122" s="235">
        <v>5</v>
      </c>
      <c r="B122" s="236" t="s">
        <v>373</v>
      </c>
      <c r="C122" s="239">
        <v>327</v>
      </c>
      <c r="D122" s="239">
        <v>375</v>
      </c>
      <c r="E122" s="239">
        <f t="shared" si="16"/>
        <v>48</v>
      </c>
      <c r="F122" s="238">
        <f t="shared" si="17"/>
        <v>0.14678899082568808</v>
      </c>
    </row>
    <row r="123" spans="1:6" ht="20.25" customHeight="1" x14ac:dyDescent="0.3">
      <c r="A123" s="235">
        <v>6</v>
      </c>
      <c r="B123" s="236" t="s">
        <v>372</v>
      </c>
      <c r="C123" s="239">
        <v>1828</v>
      </c>
      <c r="D123" s="239">
        <v>2287</v>
      </c>
      <c r="E123" s="239">
        <f t="shared" si="16"/>
        <v>459</v>
      </c>
      <c r="F123" s="238">
        <f t="shared" si="17"/>
        <v>0.2510940919037199</v>
      </c>
    </row>
    <row r="124" spans="1:6" ht="20.25" customHeight="1" x14ac:dyDescent="0.3">
      <c r="A124" s="235">
        <v>7</v>
      </c>
      <c r="B124" s="236" t="s">
        <v>438</v>
      </c>
      <c r="C124" s="239">
        <v>210</v>
      </c>
      <c r="D124" s="239">
        <v>908</v>
      </c>
      <c r="E124" s="239">
        <f t="shared" si="16"/>
        <v>698</v>
      </c>
      <c r="F124" s="238">
        <f t="shared" si="17"/>
        <v>3.323809523809524</v>
      </c>
    </row>
    <row r="125" spans="1:6" ht="20.25" customHeight="1" x14ac:dyDescent="0.3">
      <c r="A125" s="235">
        <v>8</v>
      </c>
      <c r="B125" s="236" t="s">
        <v>439</v>
      </c>
      <c r="C125" s="239">
        <v>202</v>
      </c>
      <c r="D125" s="239">
        <v>264</v>
      </c>
      <c r="E125" s="239">
        <f t="shared" si="16"/>
        <v>62</v>
      </c>
      <c r="F125" s="238">
        <f t="shared" si="17"/>
        <v>0.30693069306930693</v>
      </c>
    </row>
    <row r="126" spans="1:6" ht="20.25" customHeight="1" x14ac:dyDescent="0.3">
      <c r="A126" s="235">
        <v>9</v>
      </c>
      <c r="B126" s="236" t="s">
        <v>440</v>
      </c>
      <c r="C126" s="239">
        <v>211</v>
      </c>
      <c r="D126" s="239">
        <v>225</v>
      </c>
      <c r="E126" s="239">
        <f t="shared" si="16"/>
        <v>14</v>
      </c>
      <c r="F126" s="238">
        <f t="shared" si="17"/>
        <v>6.6350710900473939E-2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14936940</v>
      </c>
      <c r="D127" s="243">
        <f>+D118+D120</f>
        <v>20042475</v>
      </c>
      <c r="E127" s="243">
        <f t="shared" si="16"/>
        <v>5105535</v>
      </c>
      <c r="F127" s="244">
        <f t="shared" si="17"/>
        <v>0.34180595222314608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4912095</v>
      </c>
      <c r="D128" s="243">
        <f>+D119+D121</f>
        <v>7958722</v>
      </c>
      <c r="E128" s="243">
        <f t="shared" si="16"/>
        <v>3046627</v>
      </c>
      <c r="F128" s="244">
        <f t="shared" si="17"/>
        <v>0.62022965761044935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13928651</v>
      </c>
      <c r="D183" s="237">
        <v>0</v>
      </c>
      <c r="E183" s="237">
        <f t="shared" ref="E183:E193" si="26">D183-C183</f>
        <v>-13928651</v>
      </c>
      <c r="F183" s="238">
        <f t="shared" ref="F183:F193" si="27">IF(C183=0,0,E183/C183)</f>
        <v>-1</v>
      </c>
    </row>
    <row r="184" spans="1:6" ht="20.25" customHeight="1" x14ac:dyDescent="0.3">
      <c r="A184" s="235">
        <v>2</v>
      </c>
      <c r="B184" s="236" t="s">
        <v>435</v>
      </c>
      <c r="C184" s="237">
        <v>5193189</v>
      </c>
      <c r="D184" s="237">
        <v>0</v>
      </c>
      <c r="E184" s="237">
        <f t="shared" si="26"/>
        <v>-5193189</v>
      </c>
      <c r="F184" s="238">
        <f t="shared" si="27"/>
        <v>-1</v>
      </c>
    </row>
    <row r="185" spans="1:6" ht="20.25" customHeight="1" x14ac:dyDescent="0.3">
      <c r="A185" s="235">
        <v>3</v>
      </c>
      <c r="B185" s="236" t="s">
        <v>436</v>
      </c>
      <c r="C185" s="237">
        <v>3956476</v>
      </c>
      <c r="D185" s="237">
        <v>0</v>
      </c>
      <c r="E185" s="237">
        <f t="shared" si="26"/>
        <v>-3956476</v>
      </c>
      <c r="F185" s="238">
        <f t="shared" si="27"/>
        <v>-1</v>
      </c>
    </row>
    <row r="186" spans="1:6" ht="20.25" customHeight="1" x14ac:dyDescent="0.3">
      <c r="A186" s="235">
        <v>4</v>
      </c>
      <c r="B186" s="236" t="s">
        <v>437</v>
      </c>
      <c r="C186" s="237">
        <v>997560</v>
      </c>
      <c r="D186" s="237">
        <v>0</v>
      </c>
      <c r="E186" s="237">
        <f t="shared" si="26"/>
        <v>-997560</v>
      </c>
      <c r="F186" s="238">
        <f t="shared" si="27"/>
        <v>-1</v>
      </c>
    </row>
    <row r="187" spans="1:6" ht="20.25" customHeight="1" x14ac:dyDescent="0.3">
      <c r="A187" s="235">
        <v>5</v>
      </c>
      <c r="B187" s="236" t="s">
        <v>373</v>
      </c>
      <c r="C187" s="239">
        <v>393</v>
      </c>
      <c r="D187" s="239">
        <v>0</v>
      </c>
      <c r="E187" s="239">
        <f t="shared" si="26"/>
        <v>-393</v>
      </c>
      <c r="F187" s="238">
        <f t="shared" si="27"/>
        <v>-1</v>
      </c>
    </row>
    <row r="188" spans="1:6" ht="20.25" customHeight="1" x14ac:dyDescent="0.3">
      <c r="A188" s="235">
        <v>6</v>
      </c>
      <c r="B188" s="236" t="s">
        <v>372</v>
      </c>
      <c r="C188" s="239">
        <v>2158</v>
      </c>
      <c r="D188" s="239">
        <v>0</v>
      </c>
      <c r="E188" s="239">
        <f t="shared" si="26"/>
        <v>-2158</v>
      </c>
      <c r="F188" s="238">
        <f t="shared" si="27"/>
        <v>-1</v>
      </c>
    </row>
    <row r="189" spans="1:6" ht="20.25" customHeight="1" x14ac:dyDescent="0.3">
      <c r="A189" s="235">
        <v>7</v>
      </c>
      <c r="B189" s="236" t="s">
        <v>438</v>
      </c>
      <c r="C189" s="239">
        <v>1085</v>
      </c>
      <c r="D189" s="239">
        <v>0</v>
      </c>
      <c r="E189" s="239">
        <f t="shared" si="26"/>
        <v>-1085</v>
      </c>
      <c r="F189" s="238">
        <f t="shared" si="27"/>
        <v>-1</v>
      </c>
    </row>
    <row r="190" spans="1:6" ht="20.25" customHeight="1" x14ac:dyDescent="0.3">
      <c r="A190" s="235">
        <v>8</v>
      </c>
      <c r="B190" s="236" t="s">
        <v>439</v>
      </c>
      <c r="C190" s="239">
        <v>713</v>
      </c>
      <c r="D190" s="239">
        <v>0</v>
      </c>
      <c r="E190" s="239">
        <f t="shared" si="26"/>
        <v>-713</v>
      </c>
      <c r="F190" s="238">
        <f t="shared" si="27"/>
        <v>-1</v>
      </c>
    </row>
    <row r="191" spans="1:6" ht="20.25" customHeight="1" x14ac:dyDescent="0.3">
      <c r="A191" s="235">
        <v>9</v>
      </c>
      <c r="B191" s="236" t="s">
        <v>440</v>
      </c>
      <c r="C191" s="239">
        <v>250</v>
      </c>
      <c r="D191" s="239">
        <v>0</v>
      </c>
      <c r="E191" s="239">
        <f t="shared" si="26"/>
        <v>-250</v>
      </c>
      <c r="F191" s="238">
        <f t="shared" si="27"/>
        <v>-1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17885127</v>
      </c>
      <c r="D192" s="243">
        <f>+D183+D185</f>
        <v>0</v>
      </c>
      <c r="E192" s="243">
        <f t="shared" si="26"/>
        <v>-17885127</v>
      </c>
      <c r="F192" s="244">
        <f t="shared" si="27"/>
        <v>-1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6190749</v>
      </c>
      <c r="D193" s="243">
        <f>+D184+D186</f>
        <v>0</v>
      </c>
      <c r="E193" s="243">
        <f t="shared" si="26"/>
        <v>-6190749</v>
      </c>
      <c r="F193" s="244">
        <f t="shared" si="27"/>
        <v>-1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82023000</v>
      </c>
      <c r="D198" s="243">
        <f t="shared" si="28"/>
        <v>99625478</v>
      </c>
      <c r="E198" s="243">
        <f t="shared" ref="E198:E208" si="29">D198-C198</f>
        <v>17602478</v>
      </c>
      <c r="F198" s="251">
        <f t="shared" ref="F198:F208" si="30">IF(C198=0,0,E198/C198)</f>
        <v>0.21460417200053644</v>
      </c>
    </row>
    <row r="199" spans="1:9" ht="20.25" customHeight="1" x14ac:dyDescent="0.3">
      <c r="A199" s="249"/>
      <c r="B199" s="250" t="s">
        <v>461</v>
      </c>
      <c r="C199" s="243">
        <f t="shared" si="28"/>
        <v>30464729</v>
      </c>
      <c r="D199" s="243">
        <f t="shared" si="28"/>
        <v>37739964</v>
      </c>
      <c r="E199" s="243">
        <f t="shared" si="29"/>
        <v>7275235</v>
      </c>
      <c r="F199" s="251">
        <f t="shared" si="30"/>
        <v>0.23880845944830167</v>
      </c>
    </row>
    <row r="200" spans="1:9" ht="20.25" customHeight="1" x14ac:dyDescent="0.3">
      <c r="A200" s="249"/>
      <c r="B200" s="250" t="s">
        <v>462</v>
      </c>
      <c r="C200" s="243">
        <f t="shared" si="28"/>
        <v>20223644</v>
      </c>
      <c r="D200" s="243">
        <f t="shared" si="28"/>
        <v>28489561</v>
      </c>
      <c r="E200" s="243">
        <f t="shared" si="29"/>
        <v>8265917</v>
      </c>
      <c r="F200" s="251">
        <f t="shared" si="30"/>
        <v>0.40872540082291797</v>
      </c>
    </row>
    <row r="201" spans="1:9" ht="20.25" customHeight="1" x14ac:dyDescent="0.3">
      <c r="A201" s="249"/>
      <c r="B201" s="250" t="s">
        <v>463</v>
      </c>
      <c r="C201" s="243">
        <f t="shared" si="28"/>
        <v>6256075</v>
      </c>
      <c r="D201" s="243">
        <f t="shared" si="28"/>
        <v>8741023</v>
      </c>
      <c r="E201" s="243">
        <f t="shared" si="29"/>
        <v>2484948</v>
      </c>
      <c r="F201" s="251">
        <f t="shared" si="30"/>
        <v>0.39720559616053197</v>
      </c>
    </row>
    <row r="202" spans="1:9" ht="20.25" customHeight="1" x14ac:dyDescent="0.3">
      <c r="A202" s="249"/>
      <c r="B202" s="250" t="s">
        <v>464</v>
      </c>
      <c r="C202" s="252">
        <f t="shared" si="28"/>
        <v>1958</v>
      </c>
      <c r="D202" s="252">
        <f t="shared" si="28"/>
        <v>2277</v>
      </c>
      <c r="E202" s="252">
        <f t="shared" si="29"/>
        <v>319</v>
      </c>
      <c r="F202" s="251">
        <f t="shared" si="30"/>
        <v>0.16292134831460675</v>
      </c>
    </row>
    <row r="203" spans="1:9" ht="20.25" customHeight="1" x14ac:dyDescent="0.3">
      <c r="A203" s="249"/>
      <c r="B203" s="250" t="s">
        <v>465</v>
      </c>
      <c r="C203" s="252">
        <f t="shared" si="28"/>
        <v>12351</v>
      </c>
      <c r="D203" s="252">
        <f t="shared" si="28"/>
        <v>14222</v>
      </c>
      <c r="E203" s="252">
        <f t="shared" si="29"/>
        <v>1871</v>
      </c>
      <c r="F203" s="251">
        <f t="shared" si="30"/>
        <v>0.15148570965913691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1878</v>
      </c>
      <c r="D204" s="252">
        <f t="shared" si="28"/>
        <v>6658</v>
      </c>
      <c r="E204" s="252">
        <f t="shared" si="29"/>
        <v>4780</v>
      </c>
      <c r="F204" s="251">
        <f t="shared" si="30"/>
        <v>2.5452609158679445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1813</v>
      </c>
      <c r="D205" s="252">
        <f t="shared" si="28"/>
        <v>2301</v>
      </c>
      <c r="E205" s="252">
        <f t="shared" si="29"/>
        <v>488</v>
      </c>
      <c r="F205" s="251">
        <f t="shared" si="30"/>
        <v>0.26916712630998346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1110</v>
      </c>
      <c r="D206" s="252">
        <f t="shared" si="28"/>
        <v>1394</v>
      </c>
      <c r="E206" s="252">
        <f t="shared" si="29"/>
        <v>284</v>
      </c>
      <c r="F206" s="251">
        <f t="shared" si="30"/>
        <v>0.25585585585585585</v>
      </c>
    </row>
    <row r="207" spans="1:9" ht="20.25" customHeight="1" x14ac:dyDescent="0.3">
      <c r="A207" s="249"/>
      <c r="B207" s="242" t="s">
        <v>469</v>
      </c>
      <c r="C207" s="243">
        <f>+C198+C200</f>
        <v>102246644</v>
      </c>
      <c r="D207" s="243">
        <f>+D198+D200</f>
        <v>128115039</v>
      </c>
      <c r="E207" s="243">
        <f t="shared" si="29"/>
        <v>25868395</v>
      </c>
      <c r="F207" s="251">
        <f t="shared" si="30"/>
        <v>0.2529999419834259</v>
      </c>
    </row>
    <row r="208" spans="1:9" ht="20.25" customHeight="1" x14ac:dyDescent="0.3">
      <c r="A208" s="249"/>
      <c r="B208" s="242" t="s">
        <v>470</v>
      </c>
      <c r="C208" s="243">
        <f>+C199+C201</f>
        <v>36720804</v>
      </c>
      <c r="D208" s="243">
        <f>+D199+D201</f>
        <v>46480987</v>
      </c>
      <c r="E208" s="243">
        <f t="shared" si="29"/>
        <v>9760183</v>
      </c>
      <c r="F208" s="251">
        <f t="shared" si="30"/>
        <v>0.26579437095113712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FILING&amp;RHARTFORD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6416648</v>
      </c>
      <c r="D14" s="237">
        <v>0</v>
      </c>
      <c r="E14" s="237">
        <f t="shared" ref="E14:E24" si="0">D14-C14</f>
        <v>-6416648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1930649</v>
      </c>
      <c r="D15" s="237">
        <v>0</v>
      </c>
      <c r="E15" s="237">
        <f t="shared" si="0"/>
        <v>-1930649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5451481</v>
      </c>
      <c r="D16" s="237">
        <v>0</v>
      </c>
      <c r="E16" s="237">
        <f t="shared" si="0"/>
        <v>-5451481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1057016</v>
      </c>
      <c r="D17" s="237">
        <v>0</v>
      </c>
      <c r="E17" s="237">
        <f t="shared" si="0"/>
        <v>-1057016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503</v>
      </c>
      <c r="D18" s="239">
        <v>0</v>
      </c>
      <c r="E18" s="239">
        <f t="shared" si="0"/>
        <v>-503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1593</v>
      </c>
      <c r="D19" s="239">
        <v>0</v>
      </c>
      <c r="E19" s="239">
        <f t="shared" si="0"/>
        <v>-1593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5572</v>
      </c>
      <c r="D20" s="239">
        <v>0</v>
      </c>
      <c r="E20" s="239">
        <f t="shared" si="0"/>
        <v>-5572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2045</v>
      </c>
      <c r="D21" s="239">
        <v>0</v>
      </c>
      <c r="E21" s="239">
        <f t="shared" si="0"/>
        <v>-2045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81</v>
      </c>
      <c r="D22" s="239">
        <v>0</v>
      </c>
      <c r="E22" s="239">
        <f t="shared" si="0"/>
        <v>-81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11868129</v>
      </c>
      <c r="D23" s="243">
        <f>+D14+D16</f>
        <v>0</v>
      </c>
      <c r="E23" s="243">
        <f t="shared" si="0"/>
        <v>-11868129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2987665</v>
      </c>
      <c r="D24" s="243">
        <f>+D15+D17</f>
        <v>0</v>
      </c>
      <c r="E24" s="243">
        <f t="shared" si="0"/>
        <v>-2987665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16549469</v>
      </c>
      <c r="D26" s="237">
        <v>24454088</v>
      </c>
      <c r="E26" s="237">
        <f t="shared" ref="E26:E36" si="2">D26-C26</f>
        <v>7904619</v>
      </c>
      <c r="F26" s="238">
        <f t="shared" ref="F26:F36" si="3">IF(C26=0,0,E26/C26)</f>
        <v>0.47763580813378365</v>
      </c>
    </row>
    <row r="27" spans="1:6" ht="20.25" customHeight="1" x14ac:dyDescent="0.3">
      <c r="A27" s="235">
        <v>2</v>
      </c>
      <c r="B27" s="236" t="s">
        <v>435</v>
      </c>
      <c r="C27" s="237">
        <v>6224540</v>
      </c>
      <c r="D27" s="237">
        <v>9698271</v>
      </c>
      <c r="E27" s="237">
        <f t="shared" si="2"/>
        <v>3473731</v>
      </c>
      <c r="F27" s="238">
        <f t="shared" si="3"/>
        <v>0.55807031523614592</v>
      </c>
    </row>
    <row r="28" spans="1:6" ht="20.25" customHeight="1" x14ac:dyDescent="0.3">
      <c r="A28" s="235">
        <v>3</v>
      </c>
      <c r="B28" s="236" t="s">
        <v>436</v>
      </c>
      <c r="C28" s="237">
        <v>15608615</v>
      </c>
      <c r="D28" s="237">
        <v>21017953</v>
      </c>
      <c r="E28" s="237">
        <f t="shared" si="2"/>
        <v>5409338</v>
      </c>
      <c r="F28" s="238">
        <f t="shared" si="3"/>
        <v>0.34656104977924052</v>
      </c>
    </row>
    <row r="29" spans="1:6" ht="20.25" customHeight="1" x14ac:dyDescent="0.3">
      <c r="A29" s="235">
        <v>4</v>
      </c>
      <c r="B29" s="236" t="s">
        <v>437</v>
      </c>
      <c r="C29" s="237">
        <v>4975169</v>
      </c>
      <c r="D29" s="237">
        <v>6380219</v>
      </c>
      <c r="E29" s="237">
        <f t="shared" si="2"/>
        <v>1405050</v>
      </c>
      <c r="F29" s="238">
        <f t="shared" si="3"/>
        <v>0.28241251704213466</v>
      </c>
    </row>
    <row r="30" spans="1:6" ht="20.25" customHeight="1" x14ac:dyDescent="0.3">
      <c r="A30" s="235">
        <v>5</v>
      </c>
      <c r="B30" s="236" t="s">
        <v>373</v>
      </c>
      <c r="C30" s="239">
        <v>1342</v>
      </c>
      <c r="D30" s="239">
        <v>1712</v>
      </c>
      <c r="E30" s="239">
        <f t="shared" si="2"/>
        <v>370</v>
      </c>
      <c r="F30" s="238">
        <f t="shared" si="3"/>
        <v>0.27570789865871831</v>
      </c>
    </row>
    <row r="31" spans="1:6" ht="20.25" customHeight="1" x14ac:dyDescent="0.3">
      <c r="A31" s="235">
        <v>6</v>
      </c>
      <c r="B31" s="236" t="s">
        <v>372</v>
      </c>
      <c r="C31" s="239">
        <v>4200</v>
      </c>
      <c r="D31" s="239">
        <v>5387</v>
      </c>
      <c r="E31" s="239">
        <f t="shared" si="2"/>
        <v>1187</v>
      </c>
      <c r="F31" s="238">
        <f t="shared" si="3"/>
        <v>0.2826190476190476</v>
      </c>
    </row>
    <row r="32" spans="1:6" ht="20.25" customHeight="1" x14ac:dyDescent="0.3">
      <c r="A32" s="235">
        <v>7</v>
      </c>
      <c r="B32" s="236" t="s">
        <v>438</v>
      </c>
      <c r="C32" s="239">
        <v>19666</v>
      </c>
      <c r="D32" s="239">
        <v>27117</v>
      </c>
      <c r="E32" s="239">
        <f t="shared" si="2"/>
        <v>7451</v>
      </c>
      <c r="F32" s="238">
        <f t="shared" si="3"/>
        <v>0.37887725007627376</v>
      </c>
    </row>
    <row r="33" spans="1:6" ht="20.25" customHeight="1" x14ac:dyDescent="0.3">
      <c r="A33" s="235">
        <v>8</v>
      </c>
      <c r="B33" s="236" t="s">
        <v>439</v>
      </c>
      <c r="C33" s="239">
        <v>5362</v>
      </c>
      <c r="D33" s="239">
        <v>7106</v>
      </c>
      <c r="E33" s="239">
        <f t="shared" si="2"/>
        <v>1744</v>
      </c>
      <c r="F33" s="238">
        <f t="shared" si="3"/>
        <v>0.32525177172696756</v>
      </c>
    </row>
    <row r="34" spans="1:6" ht="20.25" customHeight="1" x14ac:dyDescent="0.3">
      <c r="A34" s="235">
        <v>9</v>
      </c>
      <c r="B34" s="236" t="s">
        <v>440</v>
      </c>
      <c r="C34" s="239">
        <v>233</v>
      </c>
      <c r="D34" s="239">
        <v>302</v>
      </c>
      <c r="E34" s="239">
        <f t="shared" si="2"/>
        <v>69</v>
      </c>
      <c r="F34" s="238">
        <f t="shared" si="3"/>
        <v>0.29613733905579398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32158084</v>
      </c>
      <c r="D35" s="243">
        <f>+D26+D28</f>
        <v>45472041</v>
      </c>
      <c r="E35" s="243">
        <f t="shared" si="2"/>
        <v>13313957</v>
      </c>
      <c r="F35" s="244">
        <f t="shared" si="3"/>
        <v>0.41401586611938695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11199709</v>
      </c>
      <c r="D36" s="243">
        <f>+D27+D29</f>
        <v>16078490</v>
      </c>
      <c r="E36" s="243">
        <f t="shared" si="2"/>
        <v>4878781</v>
      </c>
      <c r="F36" s="244">
        <f t="shared" si="3"/>
        <v>0.43561676468558247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2016191</v>
      </c>
      <c r="D50" s="237">
        <v>171070</v>
      </c>
      <c r="E50" s="237">
        <f t="shared" ref="E50:E60" si="6">D50-C50</f>
        <v>-1845121</v>
      </c>
      <c r="F50" s="238">
        <f t="shared" ref="F50:F60" si="7">IF(C50=0,0,E50/C50)</f>
        <v>-0.91515188789157376</v>
      </c>
    </row>
    <row r="51" spans="1:6" ht="20.25" customHeight="1" x14ac:dyDescent="0.3">
      <c r="A51" s="235">
        <v>2</v>
      </c>
      <c r="B51" s="236" t="s">
        <v>435</v>
      </c>
      <c r="C51" s="237">
        <v>944602</v>
      </c>
      <c r="D51" s="237">
        <v>165927</v>
      </c>
      <c r="E51" s="237">
        <f t="shared" si="6"/>
        <v>-778675</v>
      </c>
      <c r="F51" s="238">
        <f t="shared" si="7"/>
        <v>-0.82434189214081699</v>
      </c>
    </row>
    <row r="52" spans="1:6" ht="20.25" customHeight="1" x14ac:dyDescent="0.3">
      <c r="A52" s="235">
        <v>3</v>
      </c>
      <c r="B52" s="236" t="s">
        <v>436</v>
      </c>
      <c r="C52" s="237">
        <v>1106280</v>
      </c>
      <c r="D52" s="237">
        <v>38337</v>
      </c>
      <c r="E52" s="237">
        <f t="shared" si="6"/>
        <v>-1067943</v>
      </c>
      <c r="F52" s="238">
        <f t="shared" si="7"/>
        <v>-0.9653460245145894</v>
      </c>
    </row>
    <row r="53" spans="1:6" ht="20.25" customHeight="1" x14ac:dyDescent="0.3">
      <c r="A53" s="235">
        <v>4</v>
      </c>
      <c r="B53" s="236" t="s">
        <v>437</v>
      </c>
      <c r="C53" s="237">
        <v>22967</v>
      </c>
      <c r="D53" s="237">
        <v>31110</v>
      </c>
      <c r="E53" s="237">
        <f t="shared" si="6"/>
        <v>8143</v>
      </c>
      <c r="F53" s="238">
        <f t="shared" si="7"/>
        <v>0.35455218356772761</v>
      </c>
    </row>
    <row r="54" spans="1:6" ht="20.25" customHeight="1" x14ac:dyDescent="0.3">
      <c r="A54" s="235">
        <v>5</v>
      </c>
      <c r="B54" s="236" t="s">
        <v>373</v>
      </c>
      <c r="C54" s="239">
        <v>195</v>
      </c>
      <c r="D54" s="239">
        <v>0</v>
      </c>
      <c r="E54" s="239">
        <f t="shared" si="6"/>
        <v>-195</v>
      </c>
      <c r="F54" s="238">
        <f t="shared" si="7"/>
        <v>-1</v>
      </c>
    </row>
    <row r="55" spans="1:6" ht="20.25" customHeight="1" x14ac:dyDescent="0.3">
      <c r="A55" s="235">
        <v>6</v>
      </c>
      <c r="B55" s="236" t="s">
        <v>372</v>
      </c>
      <c r="C55" s="239">
        <v>521</v>
      </c>
      <c r="D55" s="239">
        <v>190</v>
      </c>
      <c r="E55" s="239">
        <f t="shared" si="6"/>
        <v>-331</v>
      </c>
      <c r="F55" s="238">
        <f t="shared" si="7"/>
        <v>-0.63531669865642992</v>
      </c>
    </row>
    <row r="56" spans="1:6" ht="20.25" customHeight="1" x14ac:dyDescent="0.3">
      <c r="A56" s="235">
        <v>7</v>
      </c>
      <c r="B56" s="236" t="s">
        <v>438</v>
      </c>
      <c r="C56" s="239">
        <v>1370</v>
      </c>
      <c r="D56" s="239">
        <v>10</v>
      </c>
      <c r="E56" s="239">
        <f t="shared" si="6"/>
        <v>-1360</v>
      </c>
      <c r="F56" s="238">
        <f t="shared" si="7"/>
        <v>-0.99270072992700731</v>
      </c>
    </row>
    <row r="57" spans="1:6" ht="20.25" customHeight="1" x14ac:dyDescent="0.3">
      <c r="A57" s="235">
        <v>8</v>
      </c>
      <c r="B57" s="236" t="s">
        <v>439</v>
      </c>
      <c r="C57" s="239">
        <v>536</v>
      </c>
      <c r="D57" s="239">
        <v>17</v>
      </c>
      <c r="E57" s="239">
        <f t="shared" si="6"/>
        <v>-519</v>
      </c>
      <c r="F57" s="238">
        <f t="shared" si="7"/>
        <v>-0.96828358208955223</v>
      </c>
    </row>
    <row r="58" spans="1:6" ht="20.25" customHeight="1" x14ac:dyDescent="0.3">
      <c r="A58" s="235">
        <v>9</v>
      </c>
      <c r="B58" s="236" t="s">
        <v>440</v>
      </c>
      <c r="C58" s="239">
        <v>21</v>
      </c>
      <c r="D58" s="239">
        <v>0</v>
      </c>
      <c r="E58" s="239">
        <f t="shared" si="6"/>
        <v>-21</v>
      </c>
      <c r="F58" s="238">
        <f t="shared" si="7"/>
        <v>-1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3122471</v>
      </c>
      <c r="D59" s="243">
        <f>+D50+D52</f>
        <v>209407</v>
      </c>
      <c r="E59" s="243">
        <f t="shared" si="6"/>
        <v>-2913064</v>
      </c>
      <c r="F59" s="244">
        <f t="shared" si="7"/>
        <v>-0.93293548603013443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967569</v>
      </c>
      <c r="D60" s="243">
        <f>+D51+D53</f>
        <v>197037</v>
      </c>
      <c r="E60" s="243">
        <f t="shared" si="6"/>
        <v>-770532</v>
      </c>
      <c r="F60" s="244">
        <f t="shared" si="7"/>
        <v>-0.79635870930135211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3937392</v>
      </c>
      <c r="D86" s="237">
        <v>6212249</v>
      </c>
      <c r="E86" s="237">
        <f t="shared" ref="E86:E96" si="12">D86-C86</f>
        <v>2274857</v>
      </c>
      <c r="F86" s="238">
        <f t="shared" ref="F86:F96" si="13">IF(C86=0,0,E86/C86)</f>
        <v>0.57775730737503406</v>
      </c>
    </row>
    <row r="87" spans="1:6" ht="20.25" customHeight="1" x14ac:dyDescent="0.3">
      <c r="A87" s="235">
        <v>2</v>
      </c>
      <c r="B87" s="236" t="s">
        <v>435</v>
      </c>
      <c r="C87" s="237">
        <v>1887408</v>
      </c>
      <c r="D87" s="237">
        <v>2735907</v>
      </c>
      <c r="E87" s="237">
        <f t="shared" si="12"/>
        <v>848499</v>
      </c>
      <c r="F87" s="238">
        <f t="shared" si="13"/>
        <v>0.44955780626128533</v>
      </c>
    </row>
    <row r="88" spans="1:6" ht="20.25" customHeight="1" x14ac:dyDescent="0.3">
      <c r="A88" s="235">
        <v>3</v>
      </c>
      <c r="B88" s="236" t="s">
        <v>436</v>
      </c>
      <c r="C88" s="237">
        <v>3241529</v>
      </c>
      <c r="D88" s="237">
        <v>5567336</v>
      </c>
      <c r="E88" s="237">
        <f t="shared" si="12"/>
        <v>2325807</v>
      </c>
      <c r="F88" s="238">
        <f t="shared" si="13"/>
        <v>0.71750306722537416</v>
      </c>
    </row>
    <row r="89" spans="1:6" ht="20.25" customHeight="1" x14ac:dyDescent="0.3">
      <c r="A89" s="235">
        <v>4</v>
      </c>
      <c r="B89" s="236" t="s">
        <v>437</v>
      </c>
      <c r="C89" s="237">
        <v>1002350</v>
      </c>
      <c r="D89" s="237">
        <v>1551703</v>
      </c>
      <c r="E89" s="237">
        <f t="shared" si="12"/>
        <v>549353</v>
      </c>
      <c r="F89" s="238">
        <f t="shared" si="13"/>
        <v>0.54806504713922277</v>
      </c>
    </row>
    <row r="90" spans="1:6" ht="20.25" customHeight="1" x14ac:dyDescent="0.3">
      <c r="A90" s="235">
        <v>5</v>
      </c>
      <c r="B90" s="236" t="s">
        <v>373</v>
      </c>
      <c r="C90" s="239">
        <v>393</v>
      </c>
      <c r="D90" s="239">
        <v>554</v>
      </c>
      <c r="E90" s="239">
        <f t="shared" si="12"/>
        <v>161</v>
      </c>
      <c r="F90" s="238">
        <f t="shared" si="13"/>
        <v>0.40966921119592875</v>
      </c>
    </row>
    <row r="91" spans="1:6" ht="20.25" customHeight="1" x14ac:dyDescent="0.3">
      <c r="A91" s="235">
        <v>6</v>
      </c>
      <c r="B91" s="236" t="s">
        <v>372</v>
      </c>
      <c r="C91" s="239">
        <v>1186</v>
      </c>
      <c r="D91" s="239">
        <v>1651</v>
      </c>
      <c r="E91" s="239">
        <f t="shared" si="12"/>
        <v>465</v>
      </c>
      <c r="F91" s="238">
        <f t="shared" si="13"/>
        <v>0.39207419898819562</v>
      </c>
    </row>
    <row r="92" spans="1:6" ht="20.25" customHeight="1" x14ac:dyDescent="0.3">
      <c r="A92" s="235">
        <v>7</v>
      </c>
      <c r="B92" s="236" t="s">
        <v>438</v>
      </c>
      <c r="C92" s="239">
        <v>3517</v>
      </c>
      <c r="D92" s="239">
        <v>7807</v>
      </c>
      <c r="E92" s="239">
        <f t="shared" si="12"/>
        <v>4290</v>
      </c>
      <c r="F92" s="238">
        <f t="shared" si="13"/>
        <v>1.2197895934034688</v>
      </c>
    </row>
    <row r="93" spans="1:6" ht="20.25" customHeight="1" x14ac:dyDescent="0.3">
      <c r="A93" s="235">
        <v>8</v>
      </c>
      <c r="B93" s="236" t="s">
        <v>439</v>
      </c>
      <c r="C93" s="239">
        <v>1387</v>
      </c>
      <c r="D93" s="239">
        <v>2240</v>
      </c>
      <c r="E93" s="239">
        <f t="shared" si="12"/>
        <v>853</v>
      </c>
      <c r="F93" s="238">
        <f t="shared" si="13"/>
        <v>0.61499639509733239</v>
      </c>
    </row>
    <row r="94" spans="1:6" ht="20.25" customHeight="1" x14ac:dyDescent="0.3">
      <c r="A94" s="235">
        <v>9</v>
      </c>
      <c r="B94" s="236" t="s">
        <v>440</v>
      </c>
      <c r="C94" s="239">
        <v>61</v>
      </c>
      <c r="D94" s="239">
        <v>78</v>
      </c>
      <c r="E94" s="239">
        <f t="shared" si="12"/>
        <v>17</v>
      </c>
      <c r="F94" s="238">
        <f t="shared" si="13"/>
        <v>0.27868852459016391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7178921</v>
      </c>
      <c r="D95" s="243">
        <f>+D86+D88</f>
        <v>11779585</v>
      </c>
      <c r="E95" s="243">
        <f t="shared" si="12"/>
        <v>4600664</v>
      </c>
      <c r="F95" s="244">
        <f t="shared" si="13"/>
        <v>0.64085730989378487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2889758</v>
      </c>
      <c r="D96" s="243">
        <f>+D87+D89</f>
        <v>4287610</v>
      </c>
      <c r="E96" s="243">
        <f t="shared" si="12"/>
        <v>1397852</v>
      </c>
      <c r="F96" s="244">
        <f t="shared" si="13"/>
        <v>0.48372631895127549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8681371</v>
      </c>
      <c r="D98" s="237">
        <v>14060159</v>
      </c>
      <c r="E98" s="237">
        <f t="shared" ref="E98:E108" si="14">D98-C98</f>
        <v>5378788</v>
      </c>
      <c r="F98" s="238">
        <f t="shared" ref="F98:F108" si="15">IF(C98=0,0,E98/C98)</f>
        <v>0.61957817492191036</v>
      </c>
    </row>
    <row r="99" spans="1:7" ht="20.25" customHeight="1" x14ac:dyDescent="0.3">
      <c r="A99" s="235">
        <v>2</v>
      </c>
      <c r="B99" s="236" t="s">
        <v>435</v>
      </c>
      <c r="C99" s="237">
        <v>3825077</v>
      </c>
      <c r="D99" s="237">
        <v>5769767</v>
      </c>
      <c r="E99" s="237">
        <f t="shared" si="14"/>
        <v>1944690</v>
      </c>
      <c r="F99" s="238">
        <f t="shared" si="15"/>
        <v>0.50840545170724671</v>
      </c>
    </row>
    <row r="100" spans="1:7" ht="20.25" customHeight="1" x14ac:dyDescent="0.3">
      <c r="A100" s="235">
        <v>3</v>
      </c>
      <c r="B100" s="236" t="s">
        <v>436</v>
      </c>
      <c r="C100" s="237">
        <v>6953936</v>
      </c>
      <c r="D100" s="237">
        <v>11567172</v>
      </c>
      <c r="E100" s="237">
        <f t="shared" si="14"/>
        <v>4613236</v>
      </c>
      <c r="F100" s="238">
        <f t="shared" si="15"/>
        <v>0.66339926050512976</v>
      </c>
    </row>
    <row r="101" spans="1:7" ht="20.25" customHeight="1" x14ac:dyDescent="0.3">
      <c r="A101" s="235">
        <v>4</v>
      </c>
      <c r="B101" s="236" t="s">
        <v>437</v>
      </c>
      <c r="C101" s="237">
        <v>2439133</v>
      </c>
      <c r="D101" s="237">
        <v>3261385</v>
      </c>
      <c r="E101" s="237">
        <f t="shared" si="14"/>
        <v>822252</v>
      </c>
      <c r="F101" s="238">
        <f t="shared" si="15"/>
        <v>0.33710830856701951</v>
      </c>
    </row>
    <row r="102" spans="1:7" ht="20.25" customHeight="1" x14ac:dyDescent="0.3">
      <c r="A102" s="235">
        <v>5</v>
      </c>
      <c r="B102" s="236" t="s">
        <v>373</v>
      </c>
      <c r="C102" s="239">
        <v>802</v>
      </c>
      <c r="D102" s="239">
        <v>1075</v>
      </c>
      <c r="E102" s="239">
        <f t="shared" si="14"/>
        <v>273</v>
      </c>
      <c r="F102" s="238">
        <f t="shared" si="15"/>
        <v>0.34039900249376559</v>
      </c>
    </row>
    <row r="103" spans="1:7" ht="20.25" customHeight="1" x14ac:dyDescent="0.3">
      <c r="A103" s="235">
        <v>6</v>
      </c>
      <c r="B103" s="236" t="s">
        <v>372</v>
      </c>
      <c r="C103" s="239">
        <v>2443</v>
      </c>
      <c r="D103" s="239">
        <v>3344</v>
      </c>
      <c r="E103" s="239">
        <f t="shared" si="14"/>
        <v>901</v>
      </c>
      <c r="F103" s="238">
        <f t="shared" si="15"/>
        <v>0.3688088415882112</v>
      </c>
    </row>
    <row r="104" spans="1:7" ht="20.25" customHeight="1" x14ac:dyDescent="0.3">
      <c r="A104" s="235">
        <v>7</v>
      </c>
      <c r="B104" s="236" t="s">
        <v>438</v>
      </c>
      <c r="C104" s="239">
        <v>7129</v>
      </c>
      <c r="D104" s="239">
        <v>14125</v>
      </c>
      <c r="E104" s="239">
        <f t="shared" si="14"/>
        <v>6996</v>
      </c>
      <c r="F104" s="238">
        <f t="shared" si="15"/>
        <v>0.98134380698555201</v>
      </c>
    </row>
    <row r="105" spans="1:7" ht="20.25" customHeight="1" x14ac:dyDescent="0.3">
      <c r="A105" s="235">
        <v>8</v>
      </c>
      <c r="B105" s="236" t="s">
        <v>439</v>
      </c>
      <c r="C105" s="239">
        <v>3091</v>
      </c>
      <c r="D105" s="239">
        <v>4229</v>
      </c>
      <c r="E105" s="239">
        <f t="shared" si="14"/>
        <v>1138</v>
      </c>
      <c r="F105" s="238">
        <f t="shared" si="15"/>
        <v>0.36816564218699449</v>
      </c>
    </row>
    <row r="106" spans="1:7" ht="20.25" customHeight="1" x14ac:dyDescent="0.3">
      <c r="A106" s="235">
        <v>9</v>
      </c>
      <c r="B106" s="236" t="s">
        <v>440</v>
      </c>
      <c r="C106" s="239">
        <v>117</v>
      </c>
      <c r="D106" s="239">
        <v>207</v>
      </c>
      <c r="E106" s="239">
        <f t="shared" si="14"/>
        <v>90</v>
      </c>
      <c r="F106" s="238">
        <f t="shared" si="15"/>
        <v>0.76923076923076927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15635307</v>
      </c>
      <c r="D107" s="243">
        <f>+D98+D100</f>
        <v>25627331</v>
      </c>
      <c r="E107" s="243">
        <f t="shared" si="14"/>
        <v>9992024</v>
      </c>
      <c r="F107" s="244">
        <f t="shared" si="15"/>
        <v>0.63906797608770971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6264210</v>
      </c>
      <c r="D108" s="243">
        <f>+D99+D101</f>
        <v>9031152</v>
      </c>
      <c r="E108" s="243">
        <f t="shared" si="14"/>
        <v>2766942</v>
      </c>
      <c r="F108" s="244">
        <f t="shared" si="15"/>
        <v>0.44170645620118099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37601071</v>
      </c>
      <c r="D112" s="243">
        <f t="shared" si="16"/>
        <v>44897566</v>
      </c>
      <c r="E112" s="243">
        <f t="shared" ref="E112:E122" si="17">D112-C112</f>
        <v>7296495</v>
      </c>
      <c r="F112" s="244">
        <f t="shared" ref="F112:F122" si="18">IF(C112=0,0,E112/C112)</f>
        <v>0.19405019075121557</v>
      </c>
    </row>
    <row r="113" spans="1:6" ht="20.25" customHeight="1" x14ac:dyDescent="0.3">
      <c r="A113" s="249"/>
      <c r="B113" s="250" t="s">
        <v>461</v>
      </c>
      <c r="C113" s="243">
        <f t="shared" si="16"/>
        <v>14812276</v>
      </c>
      <c r="D113" s="243">
        <f t="shared" si="16"/>
        <v>18369872</v>
      </c>
      <c r="E113" s="243">
        <f t="shared" si="17"/>
        <v>3557596</v>
      </c>
      <c r="F113" s="244">
        <f t="shared" si="18"/>
        <v>0.24017888945628613</v>
      </c>
    </row>
    <row r="114" spans="1:6" ht="20.25" customHeight="1" x14ac:dyDescent="0.3">
      <c r="A114" s="249"/>
      <c r="B114" s="250" t="s">
        <v>462</v>
      </c>
      <c r="C114" s="243">
        <f t="shared" si="16"/>
        <v>32361841</v>
      </c>
      <c r="D114" s="243">
        <f t="shared" si="16"/>
        <v>38190798</v>
      </c>
      <c r="E114" s="243">
        <f t="shared" si="17"/>
        <v>5828957</v>
      </c>
      <c r="F114" s="244">
        <f t="shared" si="18"/>
        <v>0.18011821391743443</v>
      </c>
    </row>
    <row r="115" spans="1:6" ht="20.25" customHeight="1" x14ac:dyDescent="0.3">
      <c r="A115" s="249"/>
      <c r="B115" s="250" t="s">
        <v>463</v>
      </c>
      <c r="C115" s="243">
        <f t="shared" si="16"/>
        <v>9496635</v>
      </c>
      <c r="D115" s="243">
        <f t="shared" si="16"/>
        <v>11224417</v>
      </c>
      <c r="E115" s="243">
        <f t="shared" si="17"/>
        <v>1727782</v>
      </c>
      <c r="F115" s="244">
        <f t="shared" si="18"/>
        <v>0.18193623320260283</v>
      </c>
    </row>
    <row r="116" spans="1:6" ht="20.25" customHeight="1" x14ac:dyDescent="0.3">
      <c r="A116" s="249"/>
      <c r="B116" s="250" t="s">
        <v>464</v>
      </c>
      <c r="C116" s="252">
        <f t="shared" si="16"/>
        <v>3235</v>
      </c>
      <c r="D116" s="252">
        <f t="shared" si="16"/>
        <v>3341</v>
      </c>
      <c r="E116" s="252">
        <f t="shared" si="17"/>
        <v>106</v>
      </c>
      <c r="F116" s="244">
        <f t="shared" si="18"/>
        <v>3.2766615146831532E-2</v>
      </c>
    </row>
    <row r="117" spans="1:6" ht="20.25" customHeight="1" x14ac:dyDescent="0.3">
      <c r="A117" s="249"/>
      <c r="B117" s="250" t="s">
        <v>465</v>
      </c>
      <c r="C117" s="252">
        <f t="shared" si="16"/>
        <v>9943</v>
      </c>
      <c r="D117" s="252">
        <f t="shared" si="16"/>
        <v>10572</v>
      </c>
      <c r="E117" s="252">
        <f t="shared" si="17"/>
        <v>629</v>
      </c>
      <c r="F117" s="244">
        <f t="shared" si="18"/>
        <v>6.3260585336417582E-2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37254</v>
      </c>
      <c r="D118" s="252">
        <f t="shared" si="16"/>
        <v>49059</v>
      </c>
      <c r="E118" s="252">
        <f t="shared" si="17"/>
        <v>11805</v>
      </c>
      <c r="F118" s="244">
        <f t="shared" si="18"/>
        <v>0.31687872443227572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12421</v>
      </c>
      <c r="D119" s="252">
        <f t="shared" si="16"/>
        <v>13592</v>
      </c>
      <c r="E119" s="252">
        <f t="shared" si="17"/>
        <v>1171</v>
      </c>
      <c r="F119" s="244">
        <f t="shared" si="18"/>
        <v>9.4275823202640691E-2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513</v>
      </c>
      <c r="D120" s="252">
        <f t="shared" si="16"/>
        <v>587</v>
      </c>
      <c r="E120" s="252">
        <f t="shared" si="17"/>
        <v>74</v>
      </c>
      <c r="F120" s="244">
        <f t="shared" si="18"/>
        <v>0.14424951267056529</v>
      </c>
    </row>
    <row r="121" spans="1:6" ht="39.950000000000003" customHeight="1" x14ac:dyDescent="0.3">
      <c r="A121" s="249"/>
      <c r="B121" s="242" t="s">
        <v>441</v>
      </c>
      <c r="C121" s="243">
        <f>+C112+C114</f>
        <v>69962912</v>
      </c>
      <c r="D121" s="243">
        <f>+D112+D114</f>
        <v>83088364</v>
      </c>
      <c r="E121" s="243">
        <f t="shared" si="17"/>
        <v>13125452</v>
      </c>
      <c r="F121" s="244">
        <f t="shared" si="18"/>
        <v>0.18760585608557859</v>
      </c>
    </row>
    <row r="122" spans="1:6" ht="39.950000000000003" customHeight="1" x14ac:dyDescent="0.3">
      <c r="A122" s="249"/>
      <c r="B122" s="242" t="s">
        <v>470</v>
      </c>
      <c r="C122" s="243">
        <f>+C113+C115</f>
        <v>24308911</v>
      </c>
      <c r="D122" s="243">
        <f>+D113+D115</f>
        <v>29594289</v>
      </c>
      <c r="E122" s="243">
        <f t="shared" si="17"/>
        <v>5285378</v>
      </c>
      <c r="F122" s="244">
        <f t="shared" si="18"/>
        <v>0.21742553584568228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FILING&amp;RHARTFORD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82561000</v>
      </c>
      <c r="D13" s="23">
        <v>90044000</v>
      </c>
      <c r="E13" s="23">
        <f t="shared" ref="E13:E22" si="0">D13-C13</f>
        <v>7483000</v>
      </c>
      <c r="F13" s="24">
        <f t="shared" ref="F13:F22" si="1">IF(C13=0,0,E13/C13)</f>
        <v>9.063601458315669E-2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173216000</v>
      </c>
      <c r="D15" s="23">
        <v>177076000</v>
      </c>
      <c r="E15" s="23">
        <f t="shared" si="0"/>
        <v>3860000</v>
      </c>
      <c r="F15" s="24">
        <f t="shared" si="1"/>
        <v>2.2284315536670977E-2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6060000</v>
      </c>
      <c r="D18" s="23">
        <v>0</v>
      </c>
      <c r="E18" s="23">
        <f t="shared" si="0"/>
        <v>-6060000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14119000</v>
      </c>
      <c r="D19" s="23">
        <v>15055000</v>
      </c>
      <c r="E19" s="23">
        <f t="shared" si="0"/>
        <v>936000</v>
      </c>
      <c r="F19" s="24">
        <f t="shared" si="1"/>
        <v>6.6293646858842689E-2</v>
      </c>
    </row>
    <row r="20" spans="1:11" ht="24" customHeight="1" x14ac:dyDescent="0.2">
      <c r="A20" s="21">
        <v>8</v>
      </c>
      <c r="B20" s="22" t="s">
        <v>23</v>
      </c>
      <c r="C20" s="23">
        <v>21884000</v>
      </c>
      <c r="D20" s="23">
        <v>27564000</v>
      </c>
      <c r="E20" s="23">
        <f t="shared" si="0"/>
        <v>5680000</v>
      </c>
      <c r="F20" s="24">
        <f t="shared" si="1"/>
        <v>0.25955035642478524</v>
      </c>
    </row>
    <row r="21" spans="1:11" ht="24" customHeight="1" x14ac:dyDescent="0.2">
      <c r="A21" s="21">
        <v>9</v>
      </c>
      <c r="B21" s="22" t="s">
        <v>24</v>
      </c>
      <c r="C21" s="23">
        <v>26861000</v>
      </c>
      <c r="D21" s="23">
        <v>29897000</v>
      </c>
      <c r="E21" s="23">
        <f t="shared" si="0"/>
        <v>3036000</v>
      </c>
      <c r="F21" s="24">
        <f t="shared" si="1"/>
        <v>0.11302632068798631</v>
      </c>
    </row>
    <row r="22" spans="1:11" ht="24" customHeight="1" x14ac:dyDescent="0.25">
      <c r="A22" s="25"/>
      <c r="B22" s="26" t="s">
        <v>25</v>
      </c>
      <c r="C22" s="27">
        <f>SUM(C13:C21)</f>
        <v>324701000</v>
      </c>
      <c r="D22" s="27">
        <f>SUM(D13:D21)</f>
        <v>339636000</v>
      </c>
      <c r="E22" s="27">
        <f t="shared" si="0"/>
        <v>14935000</v>
      </c>
      <c r="F22" s="28">
        <f t="shared" si="1"/>
        <v>4.5996162623459735E-2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124401000</v>
      </c>
      <c r="D25" s="23">
        <v>139270000</v>
      </c>
      <c r="E25" s="23">
        <f>D25-C25</f>
        <v>14869000</v>
      </c>
      <c r="F25" s="24">
        <f>IF(C25=0,0,E25/C25)</f>
        <v>0.11952476266267956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385567000</v>
      </c>
      <c r="D28" s="23">
        <v>416021000</v>
      </c>
      <c r="E28" s="23">
        <f>D28-C28</f>
        <v>30454000</v>
      </c>
      <c r="F28" s="24">
        <f>IF(C28=0,0,E28/C28)</f>
        <v>7.8984975373929817E-2</v>
      </c>
    </row>
    <row r="29" spans="1:11" ht="35.1" customHeight="1" x14ac:dyDescent="0.25">
      <c r="A29" s="25"/>
      <c r="B29" s="26" t="s">
        <v>32</v>
      </c>
      <c r="C29" s="27">
        <f>SUM(C25:C28)</f>
        <v>509968000</v>
      </c>
      <c r="D29" s="27">
        <f>SUM(D25:D28)</f>
        <v>555291000</v>
      </c>
      <c r="E29" s="27">
        <f>D29-C29</f>
        <v>45323000</v>
      </c>
      <c r="F29" s="28">
        <f>IF(C29=0,0,E29/C29)</f>
        <v>8.8874203871615473E-2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48280000</v>
      </c>
      <c r="D33" s="23">
        <v>68558000</v>
      </c>
      <c r="E33" s="23">
        <f>D33-C33</f>
        <v>20278000</v>
      </c>
      <c r="F33" s="24">
        <f>IF(C33=0,0,E33/C33)</f>
        <v>0.4200082850041425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1202351000</v>
      </c>
      <c r="D36" s="23">
        <v>1311929000</v>
      </c>
      <c r="E36" s="23">
        <f>D36-C36</f>
        <v>109578000</v>
      </c>
      <c r="F36" s="24">
        <f>IF(C36=0,0,E36/C36)</f>
        <v>9.1136448507964818E-2</v>
      </c>
    </row>
    <row r="37" spans="1:8" ht="24" customHeight="1" x14ac:dyDescent="0.2">
      <c r="A37" s="21">
        <v>2</v>
      </c>
      <c r="B37" s="22" t="s">
        <v>39</v>
      </c>
      <c r="C37" s="23">
        <v>765929000</v>
      </c>
      <c r="D37" s="23">
        <v>825327000</v>
      </c>
      <c r="E37" s="23">
        <f>D37-C37</f>
        <v>59398000</v>
      </c>
      <c r="F37" s="23">
        <f>IF(C37=0,0,E37/C37)</f>
        <v>7.7550269019713319E-2</v>
      </c>
    </row>
    <row r="38" spans="1:8" ht="24" customHeight="1" x14ac:dyDescent="0.25">
      <c r="A38" s="25"/>
      <c r="B38" s="26" t="s">
        <v>40</v>
      </c>
      <c r="C38" s="27">
        <f>C36-C37</f>
        <v>436422000</v>
      </c>
      <c r="D38" s="27">
        <f>D36-D37</f>
        <v>486602000</v>
      </c>
      <c r="E38" s="27">
        <f>D38-C38</f>
        <v>50180000</v>
      </c>
      <c r="F38" s="28">
        <f>IF(C38=0,0,E38/C38)</f>
        <v>0.11498045469751754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64533000</v>
      </c>
      <c r="D40" s="23">
        <v>45615000</v>
      </c>
      <c r="E40" s="23">
        <f>D40-C40</f>
        <v>-18918000</v>
      </c>
      <c r="F40" s="24">
        <f>IF(C40=0,0,E40/C40)</f>
        <v>-0.29315234066291662</v>
      </c>
    </row>
    <row r="41" spans="1:8" ht="24" customHeight="1" x14ac:dyDescent="0.25">
      <c r="A41" s="25"/>
      <c r="B41" s="26" t="s">
        <v>42</v>
      </c>
      <c r="C41" s="27">
        <f>+C38+C40</f>
        <v>500955000</v>
      </c>
      <c r="D41" s="27">
        <f>+D38+D40</f>
        <v>532217000</v>
      </c>
      <c r="E41" s="27">
        <f>D41-C41</f>
        <v>31262000</v>
      </c>
      <c r="F41" s="28">
        <f>IF(C41=0,0,E41/C41)</f>
        <v>6.2404806818975755E-2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1383904000</v>
      </c>
      <c r="D43" s="27">
        <f>D22+D29+D31+D32+D33+D41</f>
        <v>1495702000</v>
      </c>
      <c r="E43" s="27">
        <f>D43-C43</f>
        <v>111798000</v>
      </c>
      <c r="F43" s="28">
        <f>IF(C43=0,0,E43/C43)</f>
        <v>8.078450528360348E-2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61651000</v>
      </c>
      <c r="D49" s="23">
        <v>60856000</v>
      </c>
      <c r="E49" s="23">
        <f t="shared" ref="E49:E56" si="2">D49-C49</f>
        <v>-795000</v>
      </c>
      <c r="F49" s="24">
        <f t="shared" ref="F49:F56" si="3">IF(C49=0,0,E49/C49)</f>
        <v>-1.2895167961590242E-2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58521000</v>
      </c>
      <c r="D50" s="23">
        <v>41733000</v>
      </c>
      <c r="E50" s="23">
        <f t="shared" si="2"/>
        <v>-16788000</v>
      </c>
      <c r="F50" s="24">
        <f t="shared" si="3"/>
        <v>-0.28687137950479313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2610000</v>
      </c>
      <c r="E51" s="23">
        <f t="shared" si="2"/>
        <v>2610000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25115000</v>
      </c>
      <c r="D53" s="23">
        <v>31854000</v>
      </c>
      <c r="E53" s="23">
        <f t="shared" si="2"/>
        <v>6739000</v>
      </c>
      <c r="F53" s="24">
        <f t="shared" si="3"/>
        <v>0.2683257017718495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15157000</v>
      </c>
      <c r="D54" s="23">
        <v>44621000</v>
      </c>
      <c r="E54" s="23">
        <f t="shared" si="2"/>
        <v>29464000</v>
      </c>
      <c r="F54" s="24">
        <f t="shared" si="3"/>
        <v>1.9439203008510919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33420000</v>
      </c>
      <c r="D55" s="23">
        <v>29447000</v>
      </c>
      <c r="E55" s="23">
        <f t="shared" si="2"/>
        <v>-3973000</v>
      </c>
      <c r="F55" s="24">
        <f t="shared" si="3"/>
        <v>-0.11888090963494913</v>
      </c>
    </row>
    <row r="56" spans="1:6" ht="24" customHeight="1" x14ac:dyDescent="0.25">
      <c r="A56" s="25"/>
      <c r="B56" s="26" t="s">
        <v>54</v>
      </c>
      <c r="C56" s="27">
        <f>SUM(C49:C55)</f>
        <v>193864000</v>
      </c>
      <c r="D56" s="27">
        <f>SUM(D49:D55)</f>
        <v>211121000</v>
      </c>
      <c r="E56" s="27">
        <f t="shared" si="2"/>
        <v>17257000</v>
      </c>
      <c r="F56" s="28">
        <f t="shared" si="3"/>
        <v>8.9016011224363478E-2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165631000</v>
      </c>
      <c r="D59" s="23">
        <v>168532000</v>
      </c>
      <c r="E59" s="23">
        <f>D59-C59</f>
        <v>2901000</v>
      </c>
      <c r="F59" s="24">
        <f>IF(C59=0,0,E59/C59)</f>
        <v>1.751483719835055E-2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165631000</v>
      </c>
      <c r="D61" s="27">
        <f>SUM(D59:D60)</f>
        <v>168532000</v>
      </c>
      <c r="E61" s="27">
        <f>D61-C61</f>
        <v>2901000</v>
      </c>
      <c r="F61" s="28">
        <f>IF(C61=0,0,E61/C61)</f>
        <v>1.751483719835055E-2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363364000</v>
      </c>
      <c r="D64" s="23">
        <v>406900000</v>
      </c>
      <c r="E64" s="23">
        <f>D64-C64</f>
        <v>43536000</v>
      </c>
      <c r="F64" s="24">
        <f>IF(C64=0,0,E64/C64)</f>
        <v>0.11981374049162823</v>
      </c>
    </row>
    <row r="65" spans="1:6" ht="24" customHeight="1" x14ac:dyDescent="0.25">
      <c r="A65" s="25"/>
      <c r="B65" s="26" t="s">
        <v>61</v>
      </c>
      <c r="C65" s="27">
        <f>SUM(C61:C64)</f>
        <v>528995000</v>
      </c>
      <c r="D65" s="27">
        <f>SUM(D61:D64)</f>
        <v>575432000</v>
      </c>
      <c r="E65" s="27">
        <f>D65-C65</f>
        <v>46437000</v>
      </c>
      <c r="F65" s="28">
        <f>IF(C65=0,0,E65/C65)</f>
        <v>8.7783438406790232E-2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350486000</v>
      </c>
      <c r="D70" s="23">
        <v>376306000</v>
      </c>
      <c r="E70" s="23">
        <f>D70-C70</f>
        <v>25820000</v>
      </c>
      <c r="F70" s="24">
        <f>IF(C70=0,0,E70/C70)</f>
        <v>7.3669133717181284E-2</v>
      </c>
    </row>
    <row r="71" spans="1:6" ht="24" customHeight="1" x14ac:dyDescent="0.2">
      <c r="A71" s="21">
        <v>2</v>
      </c>
      <c r="B71" s="22" t="s">
        <v>65</v>
      </c>
      <c r="C71" s="23">
        <v>107425000</v>
      </c>
      <c r="D71" s="23">
        <v>113708000</v>
      </c>
      <c r="E71" s="23">
        <f>D71-C71</f>
        <v>6283000</v>
      </c>
      <c r="F71" s="24">
        <f>IF(C71=0,0,E71/C71)</f>
        <v>5.8487316732604142E-2</v>
      </c>
    </row>
    <row r="72" spans="1:6" ht="24" customHeight="1" x14ac:dyDescent="0.2">
      <c r="A72" s="21">
        <v>3</v>
      </c>
      <c r="B72" s="22" t="s">
        <v>66</v>
      </c>
      <c r="C72" s="23">
        <v>203134000</v>
      </c>
      <c r="D72" s="23">
        <v>219135000</v>
      </c>
      <c r="E72" s="23">
        <f>D72-C72</f>
        <v>16001000</v>
      </c>
      <c r="F72" s="24">
        <f>IF(C72=0,0,E72/C72)</f>
        <v>7.8770663699823759E-2</v>
      </c>
    </row>
    <row r="73" spans="1:6" ht="24" customHeight="1" x14ac:dyDescent="0.25">
      <c r="A73" s="21"/>
      <c r="B73" s="26" t="s">
        <v>67</v>
      </c>
      <c r="C73" s="27">
        <f>SUM(C70:C72)</f>
        <v>661045000</v>
      </c>
      <c r="D73" s="27">
        <f>SUM(D70:D72)</f>
        <v>709149000</v>
      </c>
      <c r="E73" s="27">
        <f>D73-C73</f>
        <v>48104000</v>
      </c>
      <c r="F73" s="28">
        <f>IF(C73=0,0,E73/C73)</f>
        <v>7.2769629904166883E-2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1383904000</v>
      </c>
      <c r="D75" s="27">
        <f>D56+D65+D67+D73</f>
        <v>1495702000</v>
      </c>
      <c r="E75" s="27">
        <f>D75-C75</f>
        <v>111798000</v>
      </c>
      <c r="F75" s="28">
        <f>IF(C75=0,0,E75/C75)</f>
        <v>8.078450528360348E-2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2533111000</v>
      </c>
      <c r="D12" s="51">
        <v>2779860000</v>
      </c>
      <c r="E12" s="51">
        <f t="shared" ref="E12:E19" si="0">D12-C12</f>
        <v>246749000</v>
      </c>
      <c r="F12" s="70">
        <f t="shared" ref="F12:F19" si="1">IF(C12=0,0,E12/C12)</f>
        <v>9.7409470015328972E-2</v>
      </c>
    </row>
    <row r="13" spans="1:8" ht="23.1" customHeight="1" x14ac:dyDescent="0.2">
      <c r="A13" s="25">
        <v>2</v>
      </c>
      <c r="B13" s="48" t="s">
        <v>72</v>
      </c>
      <c r="C13" s="51">
        <v>1376028000</v>
      </c>
      <c r="D13" s="51">
        <v>1498919000</v>
      </c>
      <c r="E13" s="51">
        <f t="shared" si="0"/>
        <v>122891000</v>
      </c>
      <c r="F13" s="70">
        <f t="shared" si="1"/>
        <v>8.9308502443264243E-2</v>
      </c>
    </row>
    <row r="14" spans="1:8" ht="23.1" customHeight="1" x14ac:dyDescent="0.2">
      <c r="A14" s="25">
        <v>3</v>
      </c>
      <c r="B14" s="48" t="s">
        <v>73</v>
      </c>
      <c r="C14" s="51">
        <v>38297000</v>
      </c>
      <c r="D14" s="51">
        <v>38556000</v>
      </c>
      <c r="E14" s="51">
        <f t="shared" si="0"/>
        <v>259000</v>
      </c>
      <c r="F14" s="70">
        <f t="shared" si="1"/>
        <v>6.7629318223359535E-3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1118786000</v>
      </c>
      <c r="D16" s="27">
        <f>D12-D13-D14-D15</f>
        <v>1242385000</v>
      </c>
      <c r="E16" s="27">
        <f t="shared" si="0"/>
        <v>123599000</v>
      </c>
      <c r="F16" s="28">
        <f t="shared" si="1"/>
        <v>0.11047599809078769</v>
      </c>
    </row>
    <row r="17" spans="1:7" ht="23.1" customHeight="1" x14ac:dyDescent="0.2">
      <c r="A17" s="25">
        <v>5</v>
      </c>
      <c r="B17" s="48" t="s">
        <v>76</v>
      </c>
      <c r="C17" s="51">
        <v>162215000</v>
      </c>
      <c r="D17" s="51">
        <v>174247000</v>
      </c>
      <c r="E17" s="51">
        <f t="shared" si="0"/>
        <v>12032000</v>
      </c>
      <c r="F17" s="70">
        <f t="shared" si="1"/>
        <v>7.4173165243658107E-2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10942000</v>
      </c>
      <c r="D18" s="51">
        <v>9859000</v>
      </c>
      <c r="E18" s="51">
        <f t="shared" si="0"/>
        <v>-1083000</v>
      </c>
      <c r="F18" s="70">
        <f t="shared" si="1"/>
        <v>-9.8976421129592401E-2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1291943000</v>
      </c>
      <c r="D19" s="27">
        <f>SUM(D16:D18)</f>
        <v>1426491000</v>
      </c>
      <c r="E19" s="27">
        <f t="shared" si="0"/>
        <v>134548000</v>
      </c>
      <c r="F19" s="28">
        <f t="shared" si="1"/>
        <v>0.10414391346986671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593414000</v>
      </c>
      <c r="D22" s="51">
        <v>630357000</v>
      </c>
      <c r="E22" s="51">
        <f t="shared" ref="E22:E31" si="2">D22-C22</f>
        <v>36943000</v>
      </c>
      <c r="F22" s="70">
        <f t="shared" ref="F22:F31" si="3">IF(C22=0,0,E22/C22)</f>
        <v>6.2255019261426257E-2</v>
      </c>
    </row>
    <row r="23" spans="1:7" ht="23.1" customHeight="1" x14ac:dyDescent="0.2">
      <c r="A23" s="25">
        <v>2</v>
      </c>
      <c r="B23" s="48" t="s">
        <v>81</v>
      </c>
      <c r="C23" s="51">
        <v>135313000</v>
      </c>
      <c r="D23" s="51">
        <v>166567000</v>
      </c>
      <c r="E23" s="51">
        <f t="shared" si="2"/>
        <v>31254000</v>
      </c>
      <c r="F23" s="70">
        <f t="shared" si="3"/>
        <v>0.23097558992853606</v>
      </c>
    </row>
    <row r="24" spans="1:7" ht="23.1" customHeight="1" x14ac:dyDescent="0.2">
      <c r="A24" s="25">
        <v>3</v>
      </c>
      <c r="B24" s="48" t="s">
        <v>82</v>
      </c>
      <c r="C24" s="51">
        <v>39806000</v>
      </c>
      <c r="D24" s="51">
        <v>43233000</v>
      </c>
      <c r="E24" s="51">
        <f t="shared" si="2"/>
        <v>3427000</v>
      </c>
      <c r="F24" s="70">
        <f t="shared" si="3"/>
        <v>8.6092548861980603E-2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154679000</v>
      </c>
      <c r="D25" s="51">
        <v>167158000</v>
      </c>
      <c r="E25" s="51">
        <f t="shared" si="2"/>
        <v>12479000</v>
      </c>
      <c r="F25" s="70">
        <f t="shared" si="3"/>
        <v>8.0676756379340436E-2</v>
      </c>
    </row>
    <row r="26" spans="1:7" ht="23.1" customHeight="1" x14ac:dyDescent="0.2">
      <c r="A26" s="25">
        <v>5</v>
      </c>
      <c r="B26" s="48" t="s">
        <v>84</v>
      </c>
      <c r="C26" s="51">
        <v>60718000</v>
      </c>
      <c r="D26" s="51">
        <v>64992000</v>
      </c>
      <c r="E26" s="51">
        <f t="shared" si="2"/>
        <v>4274000</v>
      </c>
      <c r="F26" s="70">
        <f t="shared" si="3"/>
        <v>7.0390987845449449E-2</v>
      </c>
    </row>
    <row r="27" spans="1:7" ht="23.1" customHeight="1" x14ac:dyDescent="0.2">
      <c r="A27" s="25">
        <v>6</v>
      </c>
      <c r="B27" s="48" t="s">
        <v>85</v>
      </c>
      <c r="C27" s="51">
        <v>46405000</v>
      </c>
      <c r="D27" s="51">
        <v>64021000</v>
      </c>
      <c r="E27" s="51">
        <f t="shared" si="2"/>
        <v>17616000</v>
      </c>
      <c r="F27" s="70">
        <f t="shared" si="3"/>
        <v>0.37961426570412671</v>
      </c>
    </row>
    <row r="28" spans="1:7" ht="23.1" customHeight="1" x14ac:dyDescent="0.2">
      <c r="A28" s="25">
        <v>7</v>
      </c>
      <c r="B28" s="48" t="s">
        <v>86</v>
      </c>
      <c r="C28" s="51">
        <v>4609000</v>
      </c>
      <c r="D28" s="51">
        <v>4462000</v>
      </c>
      <c r="E28" s="51">
        <f t="shared" si="2"/>
        <v>-147000</v>
      </c>
      <c r="F28" s="70">
        <f t="shared" si="3"/>
        <v>-3.1894120199609459E-2</v>
      </c>
    </row>
    <row r="29" spans="1:7" ht="23.1" customHeight="1" x14ac:dyDescent="0.2">
      <c r="A29" s="25">
        <v>8</v>
      </c>
      <c r="B29" s="48" t="s">
        <v>87</v>
      </c>
      <c r="C29" s="51">
        <v>21253000</v>
      </c>
      <c r="D29" s="51">
        <v>21810242</v>
      </c>
      <c r="E29" s="51">
        <f t="shared" si="2"/>
        <v>557242</v>
      </c>
      <c r="F29" s="70">
        <f t="shared" si="3"/>
        <v>2.6219451371571074E-2</v>
      </c>
    </row>
    <row r="30" spans="1:7" ht="23.1" customHeight="1" x14ac:dyDescent="0.2">
      <c r="A30" s="25">
        <v>9</v>
      </c>
      <c r="B30" s="48" t="s">
        <v>88</v>
      </c>
      <c r="C30" s="51">
        <v>225290000</v>
      </c>
      <c r="D30" s="51">
        <v>245748758</v>
      </c>
      <c r="E30" s="51">
        <f t="shared" si="2"/>
        <v>20458758</v>
      </c>
      <c r="F30" s="70">
        <f t="shared" si="3"/>
        <v>9.0810768343024539E-2</v>
      </c>
    </row>
    <row r="31" spans="1:7" ht="23.1" customHeight="1" x14ac:dyDescent="0.25">
      <c r="A31" s="29"/>
      <c r="B31" s="71" t="s">
        <v>89</v>
      </c>
      <c r="C31" s="27">
        <f>SUM(C22:C30)</f>
        <v>1281487000</v>
      </c>
      <c r="D31" s="27">
        <f>SUM(D22:D30)</f>
        <v>1408349000</v>
      </c>
      <c r="E31" s="27">
        <f t="shared" si="2"/>
        <v>126862000</v>
      </c>
      <c r="F31" s="28">
        <f t="shared" si="3"/>
        <v>9.899593206954109E-2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10456000</v>
      </c>
      <c r="D33" s="27">
        <f>+D19-D31</f>
        <v>18142000</v>
      </c>
      <c r="E33" s="27">
        <f>D33-C33</f>
        <v>7686000</v>
      </c>
      <c r="F33" s="28">
        <f>IF(C33=0,0,E33/C33)</f>
        <v>0.73508033664881411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-8861000</v>
      </c>
      <c r="D36" s="51">
        <v>5713000</v>
      </c>
      <c r="E36" s="51">
        <f>D36-C36</f>
        <v>14574000</v>
      </c>
      <c r="F36" s="70">
        <f>IF(C36=0,0,E36/C36)</f>
        <v>-1.6447353571831622</v>
      </c>
    </row>
    <row r="37" spans="1:6" ht="23.1" customHeight="1" x14ac:dyDescent="0.2">
      <c r="A37" s="44">
        <v>2</v>
      </c>
      <c r="B37" s="48" t="s">
        <v>93</v>
      </c>
      <c r="C37" s="51">
        <v>1004000</v>
      </c>
      <c r="D37" s="51">
        <v>1274000</v>
      </c>
      <c r="E37" s="51">
        <f>D37-C37</f>
        <v>270000</v>
      </c>
      <c r="F37" s="70">
        <f>IF(C37=0,0,E37/C37)</f>
        <v>0.2689243027888446</v>
      </c>
    </row>
    <row r="38" spans="1:6" ht="23.1" customHeight="1" x14ac:dyDescent="0.2">
      <c r="A38" s="44">
        <v>3</v>
      </c>
      <c r="B38" s="48" t="s">
        <v>94</v>
      </c>
      <c r="C38" s="51">
        <v>-11525000</v>
      </c>
      <c r="D38" s="51">
        <v>-427000</v>
      </c>
      <c r="E38" s="51">
        <f>D38-C38</f>
        <v>11098000</v>
      </c>
      <c r="F38" s="70">
        <f>IF(C38=0,0,E38/C38)</f>
        <v>-0.96295010845986984</v>
      </c>
    </row>
    <row r="39" spans="1:6" ht="23.1" customHeight="1" x14ac:dyDescent="0.25">
      <c r="A39" s="20"/>
      <c r="B39" s="71" t="s">
        <v>95</v>
      </c>
      <c r="C39" s="27">
        <f>SUM(C36:C38)</f>
        <v>-19382000</v>
      </c>
      <c r="D39" s="27">
        <f>SUM(D36:D38)</f>
        <v>6560000</v>
      </c>
      <c r="E39" s="27">
        <f>D39-C39</f>
        <v>25942000</v>
      </c>
      <c r="F39" s="28">
        <f>IF(C39=0,0,E39/C39)</f>
        <v>-1.3384583634299865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-8926000</v>
      </c>
      <c r="D41" s="27">
        <f>D33+D39</f>
        <v>24702000</v>
      </c>
      <c r="E41" s="27">
        <f>D41-C41</f>
        <v>33628000</v>
      </c>
      <c r="F41" s="28">
        <f>IF(C41=0,0,E41/C41)</f>
        <v>-3.767421017252969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2052000</v>
      </c>
      <c r="D44" s="51">
        <v>25285000</v>
      </c>
      <c r="E44" s="51">
        <f>D44-C44</f>
        <v>23233000</v>
      </c>
      <c r="F44" s="70">
        <f>IF(C44=0,0,E44/C44)</f>
        <v>11.322124756335283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2052000</v>
      </c>
      <c r="D46" s="27">
        <f>SUM(D44:D45)</f>
        <v>25285000</v>
      </c>
      <c r="E46" s="27">
        <f>D46-C46</f>
        <v>23233000</v>
      </c>
      <c r="F46" s="28">
        <f>IF(C46=0,0,E46/C46)</f>
        <v>11.322124756335283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-6874000</v>
      </c>
      <c r="D48" s="27">
        <f>D41+D46</f>
        <v>49987000</v>
      </c>
      <c r="E48" s="27">
        <f>D48-C48</f>
        <v>56861000</v>
      </c>
      <c r="F48" s="28">
        <f>IF(C48=0,0,E48/C48)</f>
        <v>-8.2718940936863543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2011-08-05T20:11:05Z</cp:lastPrinted>
  <dcterms:created xsi:type="dcterms:W3CDTF">2006-08-03T13:49:12Z</dcterms:created>
  <dcterms:modified xsi:type="dcterms:W3CDTF">2011-08-05T20:11:47Z</dcterms:modified>
</cp:coreProperties>
</file>