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 s="1"/>
  <c r="D91" i="22"/>
  <c r="D93" i="22" s="1"/>
  <c r="C91" i="22"/>
  <c r="C93" i="22" s="1"/>
  <c r="E87" i="22"/>
  <c r="D87" i="22"/>
  <c r="C87" i="22"/>
  <c r="E86" i="22"/>
  <c r="E88" i="22"/>
  <c r="D86" i="22"/>
  <c r="D88" i="22" s="1"/>
  <c r="C86" i="22"/>
  <c r="C88" i="22" s="1"/>
  <c r="E83" i="22"/>
  <c r="E101" i="22"/>
  <c r="E103" i="22" s="1"/>
  <c r="D83" i="22"/>
  <c r="D102" i="22"/>
  <c r="C83" i="22"/>
  <c r="C101" i="22" s="1"/>
  <c r="E76" i="22"/>
  <c r="D76" i="22"/>
  <c r="C76" i="22"/>
  <c r="C102" i="22" s="1"/>
  <c r="C103" i="22" s="1"/>
  <c r="E75" i="22"/>
  <c r="E77" i="22" s="1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34" i="22"/>
  <c r="C12" i="22"/>
  <c r="C33" i="22" s="1"/>
  <c r="D21" i="21"/>
  <c r="E21" i="21" s="1"/>
  <c r="C21" i="21"/>
  <c r="D19" i="21"/>
  <c r="E19" i="21" s="1"/>
  <c r="C19" i="21"/>
  <c r="E17" i="21"/>
  <c r="F17" i="21" s="1"/>
  <c r="F15" i="21"/>
  <c r="E15" i="21"/>
  <c r="D45" i="20"/>
  <c r="C45" i="20"/>
  <c r="D44" i="20"/>
  <c r="E44" i="20"/>
  <c r="F44" i="20" s="1"/>
  <c r="C44" i="20"/>
  <c r="D43" i="20"/>
  <c r="D46" i="20" s="1"/>
  <c r="C43" i="20"/>
  <c r="D36" i="20"/>
  <c r="D40" i="20"/>
  <c r="E40" i="20" s="1"/>
  <c r="F40" i="20" s="1"/>
  <c r="C36" i="20"/>
  <c r="C40" i="20"/>
  <c r="E35" i="20"/>
  <c r="F35" i="20" s="1"/>
  <c r="F34" i="20"/>
  <c r="E34" i="20"/>
  <c r="F33" i="20"/>
  <c r="E33" i="20"/>
  <c r="E36" i="20" s="1"/>
  <c r="F36" i="20" s="1"/>
  <c r="E30" i="20"/>
  <c r="F30" i="20" s="1"/>
  <c r="F29" i="20"/>
  <c r="E29" i="20"/>
  <c r="F28" i="20"/>
  <c r="E28" i="20"/>
  <c r="E27" i="20"/>
  <c r="F27" i="20" s="1"/>
  <c r="D25" i="20"/>
  <c r="D39" i="20"/>
  <c r="C25" i="20"/>
  <c r="F24" i="20"/>
  <c r="E24" i="20"/>
  <c r="E23" i="20"/>
  <c r="F23" i="20" s="1"/>
  <c r="E22" i="20"/>
  <c r="F22" i="20" s="1"/>
  <c r="E25" i="20"/>
  <c r="D19" i="20"/>
  <c r="D20" i="20" s="1"/>
  <c r="E20" i="20" s="1"/>
  <c r="C19" i="20"/>
  <c r="C20" i="20"/>
  <c r="E18" i="20"/>
  <c r="F18" i="20" s="1"/>
  <c r="D16" i="20"/>
  <c r="E16" i="20"/>
  <c r="F16" i="20" s="1"/>
  <c r="C16" i="20"/>
  <c r="E15" i="20"/>
  <c r="F15" i="20" s="1"/>
  <c r="F13" i="20"/>
  <c r="E13" i="20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4" i="19"/>
  <c r="C63" i="19"/>
  <c r="C59" i="19"/>
  <c r="C60" i="19" s="1"/>
  <c r="C49" i="19"/>
  <c r="C48" i="19"/>
  <c r="C36" i="19"/>
  <c r="C32" i="19"/>
  <c r="C33" i="19" s="1"/>
  <c r="C21" i="19"/>
  <c r="C37" i="19" s="1"/>
  <c r="E328" i="18"/>
  <c r="E325" i="18"/>
  <c r="D324" i="18"/>
  <c r="E324" i="18"/>
  <c r="C324" i="18"/>
  <c r="C326" i="18" s="1"/>
  <c r="C330" i="18" s="1"/>
  <c r="E318" i="18"/>
  <c r="E315" i="18"/>
  <c r="D314" i="18"/>
  <c r="C314" i="18"/>
  <c r="C316" i="18" s="1"/>
  <c r="C320" i="18" s="1"/>
  <c r="E308" i="18"/>
  <c r="E305" i="18"/>
  <c r="D301" i="18"/>
  <c r="E301" i="18"/>
  <c r="C301" i="18"/>
  <c r="D293" i="18"/>
  <c r="E293" i="18" s="1"/>
  <c r="C293" i="18"/>
  <c r="D292" i="18"/>
  <c r="E292" i="18" s="1"/>
  <c r="C292" i="18"/>
  <c r="D291" i="18"/>
  <c r="E291" i="18" s="1"/>
  <c r="C291" i="18"/>
  <c r="D290" i="18"/>
  <c r="E290" i="18" s="1"/>
  <c r="C290" i="18"/>
  <c r="D288" i="18"/>
  <c r="E288" i="18"/>
  <c r="C288" i="18"/>
  <c r="D287" i="18"/>
  <c r="E287" i="18"/>
  <c r="C287" i="18"/>
  <c r="D282" i="18"/>
  <c r="E282" i="18"/>
  <c r="C282" i="18"/>
  <c r="D281" i="18"/>
  <c r="E281" i="18" s="1"/>
  <c r="C281" i="18"/>
  <c r="D280" i="18"/>
  <c r="E280" i="18" s="1"/>
  <c r="C280" i="18"/>
  <c r="D279" i="18"/>
  <c r="E279" i="18" s="1"/>
  <c r="C279" i="18"/>
  <c r="D278" i="18"/>
  <c r="C278" i="18"/>
  <c r="E278" i="18"/>
  <c r="D277" i="18"/>
  <c r="E277" i="18" s="1"/>
  <c r="C277" i="18"/>
  <c r="D276" i="18"/>
  <c r="C276" i="18"/>
  <c r="E276" i="18" s="1"/>
  <c r="E270" i="18"/>
  <c r="D265" i="18"/>
  <c r="D302" i="18" s="1"/>
  <c r="D303" i="18" s="1"/>
  <c r="C265" i="18"/>
  <c r="C302" i="18"/>
  <c r="D262" i="18"/>
  <c r="C262" i="18"/>
  <c r="E262" i="18"/>
  <c r="D251" i="18"/>
  <c r="C251" i="18"/>
  <c r="E251" i="18" s="1"/>
  <c r="D233" i="18"/>
  <c r="C233" i="18"/>
  <c r="D232" i="18"/>
  <c r="E232" i="18"/>
  <c r="C232" i="18"/>
  <c r="D231" i="18"/>
  <c r="C231" i="18"/>
  <c r="E231" i="18" s="1"/>
  <c r="D230" i="18"/>
  <c r="E230" i="18"/>
  <c r="C230" i="18"/>
  <c r="D228" i="18"/>
  <c r="E228" i="18"/>
  <c r="C228" i="18"/>
  <c r="D227" i="18"/>
  <c r="E227" i="18" s="1"/>
  <c r="C227" i="18"/>
  <c r="D221" i="18"/>
  <c r="D245" i="18" s="1"/>
  <c r="C221" i="18"/>
  <c r="D220" i="18"/>
  <c r="D244" i="18"/>
  <c r="E244" i="18" s="1"/>
  <c r="C220" i="18"/>
  <c r="C244" i="18"/>
  <c r="D219" i="18"/>
  <c r="D217" i="18"/>
  <c r="C219" i="18"/>
  <c r="D218" i="18"/>
  <c r="D242" i="18" s="1"/>
  <c r="C218" i="18"/>
  <c r="D216" i="18"/>
  <c r="D240" i="18" s="1"/>
  <c r="C216" i="18"/>
  <c r="D215" i="18"/>
  <c r="C215" i="18"/>
  <c r="C239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9" i="18"/>
  <c r="D188" i="18"/>
  <c r="D261" i="18" s="1"/>
  <c r="C188" i="18"/>
  <c r="E186" i="18"/>
  <c r="E185" i="18"/>
  <c r="D179" i="18"/>
  <c r="E179" i="18" s="1"/>
  <c r="C179" i="18"/>
  <c r="D178" i="18"/>
  <c r="E178" i="18" s="1"/>
  <c r="C178" i="18"/>
  <c r="D177" i="18"/>
  <c r="E177" i="18" s="1"/>
  <c r="C177" i="18"/>
  <c r="D176" i="18"/>
  <c r="C176" i="18"/>
  <c r="E176" i="18" s="1"/>
  <c r="D174" i="18"/>
  <c r="E174" i="18" s="1"/>
  <c r="C174" i="18"/>
  <c r="D173" i="18"/>
  <c r="E173" i="18"/>
  <c r="C173" i="18"/>
  <c r="D167" i="18"/>
  <c r="E167" i="18" s="1"/>
  <c r="C167" i="18"/>
  <c r="D166" i="18"/>
  <c r="E166" i="18" s="1"/>
  <c r="C166" i="18"/>
  <c r="D165" i="18"/>
  <c r="C165" i="18"/>
  <c r="E165" i="18"/>
  <c r="D164" i="18"/>
  <c r="C164" i="18"/>
  <c r="D162" i="18"/>
  <c r="E162" i="18" s="1"/>
  <c r="C162" i="18"/>
  <c r="D161" i="18"/>
  <c r="C161" i="18"/>
  <c r="E161" i="18" s="1"/>
  <c r="E155" i="18"/>
  <c r="E154" i="18"/>
  <c r="E153" i="18"/>
  <c r="E152" i="18"/>
  <c r="D151" i="18"/>
  <c r="C151" i="18"/>
  <c r="C163" i="18" s="1"/>
  <c r="E150" i="18"/>
  <c r="E149" i="18"/>
  <c r="E143" i="18"/>
  <c r="E142" i="18"/>
  <c r="E141" i="18"/>
  <c r="E140" i="18"/>
  <c r="D139" i="18"/>
  <c r="C139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E72" i="18" s="1"/>
  <c r="C72" i="18"/>
  <c r="D70" i="18"/>
  <c r="C70" i="18"/>
  <c r="D69" i="18"/>
  <c r="E69" i="18"/>
  <c r="C69" i="18"/>
  <c r="E64" i="18"/>
  <c r="E63" i="18"/>
  <c r="E62" i="18"/>
  <c r="E61" i="18"/>
  <c r="D60" i="18"/>
  <c r="D65" i="18" s="1"/>
  <c r="D289" i="18"/>
  <c r="C60" i="18"/>
  <c r="E59" i="18"/>
  <c r="E58" i="18"/>
  <c r="D54" i="18"/>
  <c r="D55" i="18" s="1"/>
  <c r="E55" i="18" s="1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E41" i="18" s="1"/>
  <c r="D40" i="18"/>
  <c r="C40" i="18"/>
  <c r="D39" i="18"/>
  <c r="E39" i="18" s="1"/>
  <c r="C39" i="18"/>
  <c r="D38" i="18"/>
  <c r="C38" i="18"/>
  <c r="E38" i="18"/>
  <c r="D37" i="18"/>
  <c r="D43" i="18" s="1"/>
  <c r="D44" i="18" s="1"/>
  <c r="C37" i="18"/>
  <c r="C43" i="18" s="1"/>
  <c r="C44" i="18" s="1"/>
  <c r="D36" i="18"/>
  <c r="C36" i="18"/>
  <c r="D33" i="18"/>
  <c r="D32" i="18"/>
  <c r="D294" i="18"/>
  <c r="C32" i="18"/>
  <c r="C33" i="18" s="1"/>
  <c r="E31" i="18"/>
  <c r="E30" i="18"/>
  <c r="E29" i="18"/>
  <c r="E28" i="18"/>
  <c r="E27" i="18"/>
  <c r="E26" i="18"/>
  <c r="E25" i="18"/>
  <c r="D21" i="18"/>
  <c r="D283" i="18"/>
  <c r="C21" i="18"/>
  <c r="C22" i="18" s="1"/>
  <c r="C284" i="18" s="1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E294" i="17" s="1"/>
  <c r="C294" i="17"/>
  <c r="D250" i="17"/>
  <c r="D306" i="17"/>
  <c r="C250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D239" i="17"/>
  <c r="C237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 s="1"/>
  <c r="C226" i="17"/>
  <c r="C227" i="17" s="1"/>
  <c r="E225" i="17"/>
  <c r="F225" i="17" s="1"/>
  <c r="E224" i="17"/>
  <c r="F224" i="17" s="1"/>
  <c r="D223" i="17"/>
  <c r="C223" i="17"/>
  <c r="E222" i="17"/>
  <c r="F222" i="17"/>
  <c r="E221" i="17"/>
  <c r="F221" i="17" s="1"/>
  <c r="C215" i="17"/>
  <c r="D204" i="17"/>
  <c r="C204" i="17"/>
  <c r="D203" i="17"/>
  <c r="D283" i="17"/>
  <c r="C203" i="17"/>
  <c r="D198" i="17"/>
  <c r="C198" i="17"/>
  <c r="D191" i="17"/>
  <c r="E191" i="17" s="1"/>
  <c r="C191" i="17"/>
  <c r="D189" i="17"/>
  <c r="E189" i="17"/>
  <c r="C189" i="17"/>
  <c r="C278" i="17" s="1"/>
  <c r="D188" i="17"/>
  <c r="E188" i="17"/>
  <c r="F188" i="17"/>
  <c r="C188" i="17"/>
  <c r="C277" i="17"/>
  <c r="D180" i="17"/>
  <c r="E180" i="17" s="1"/>
  <c r="C180" i="17"/>
  <c r="F180" i="17" s="1"/>
  <c r="F179" i="17"/>
  <c r="D179" i="17"/>
  <c r="C179" i="17"/>
  <c r="C181" i="17"/>
  <c r="F181" i="17" s="1"/>
  <c r="D171" i="17"/>
  <c r="D172" i="17"/>
  <c r="C171" i="17"/>
  <c r="D170" i="17"/>
  <c r="E170" i="17" s="1"/>
  <c r="C170" i="17"/>
  <c r="F170" i="17" s="1"/>
  <c r="F169" i="17"/>
  <c r="E169" i="17"/>
  <c r="F168" i="17"/>
  <c r="E168" i="17"/>
  <c r="D165" i="17"/>
  <c r="E165" i="17" s="1"/>
  <c r="C165" i="17"/>
  <c r="F165" i="17" s="1"/>
  <c r="D164" i="17"/>
  <c r="C164" i="17"/>
  <c r="F164" i="17" s="1"/>
  <c r="F163" i="17"/>
  <c r="E163" i="17"/>
  <c r="D158" i="17"/>
  <c r="D159" i="17" s="1"/>
  <c r="C158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D144" i="17"/>
  <c r="D146" i="17" s="1"/>
  <c r="C144" i="17"/>
  <c r="C146" i="17" s="1"/>
  <c r="D136" i="17"/>
  <c r="D137" i="17"/>
  <c r="C136" i="17"/>
  <c r="D135" i="17"/>
  <c r="E135" i="17" s="1"/>
  <c r="F135" i="17" s="1"/>
  <c r="C135" i="17"/>
  <c r="E134" i="17"/>
  <c r="F134" i="17"/>
  <c r="E133" i="17"/>
  <c r="F133" i="17" s="1"/>
  <c r="D130" i="17"/>
  <c r="E130" i="17" s="1"/>
  <c r="F130" i="17" s="1"/>
  <c r="C130" i="17"/>
  <c r="D129" i="17"/>
  <c r="E129" i="17"/>
  <c r="F129" i="17"/>
  <c r="C129" i="17"/>
  <c r="E128" i="17"/>
  <c r="F128" i="17" s="1"/>
  <c r="D123" i="17"/>
  <c r="C123" i="17"/>
  <c r="E122" i="17"/>
  <c r="F122" i="17"/>
  <c r="E121" i="17"/>
  <c r="F121" i="17"/>
  <c r="D120" i="17"/>
  <c r="C120" i="17"/>
  <c r="E120" i="17" s="1"/>
  <c r="E119" i="17"/>
  <c r="F119" i="17"/>
  <c r="E118" i="17"/>
  <c r="F118" i="17"/>
  <c r="D110" i="17"/>
  <c r="C110" i="17"/>
  <c r="E110" i="17" s="1"/>
  <c r="D109" i="17"/>
  <c r="E109" i="17" s="1"/>
  <c r="C109" i="17"/>
  <c r="D101" i="17"/>
  <c r="C101" i="17"/>
  <c r="C102" i="17" s="1"/>
  <c r="D100" i="17"/>
  <c r="E100" i="17" s="1"/>
  <c r="F100" i="17" s="1"/>
  <c r="C100" i="17"/>
  <c r="E99" i="17"/>
  <c r="F99" i="17"/>
  <c r="E98" i="17"/>
  <c r="F98" i="17" s="1"/>
  <c r="D95" i="17"/>
  <c r="E95" i="17" s="1"/>
  <c r="F95" i="17" s="1"/>
  <c r="C95" i="17"/>
  <c r="D94" i="17"/>
  <c r="E94" i="17"/>
  <c r="F94" i="17"/>
  <c r="C94" i="17"/>
  <c r="E93" i="17"/>
  <c r="F93" i="17" s="1"/>
  <c r="D88" i="17"/>
  <c r="C88" i="17"/>
  <c r="C89" i="17"/>
  <c r="E87" i="17"/>
  <c r="F87" i="17"/>
  <c r="E86" i="17"/>
  <c r="F86" i="17"/>
  <c r="D85" i="17"/>
  <c r="C85" i="17"/>
  <c r="E85" i="17" s="1"/>
  <c r="E84" i="17"/>
  <c r="F84" i="17"/>
  <c r="E83" i="17"/>
  <c r="F83" i="17"/>
  <c r="D76" i="17"/>
  <c r="D77" i="17"/>
  <c r="C76" i="17"/>
  <c r="C77" i="17" s="1"/>
  <c r="E77" i="17" s="1"/>
  <c r="E74" i="17"/>
  <c r="F74" i="17" s="1"/>
  <c r="E73" i="17"/>
  <c r="F73" i="17" s="1"/>
  <c r="D67" i="17"/>
  <c r="C67" i="17"/>
  <c r="E67" i="17" s="1"/>
  <c r="D66" i="17"/>
  <c r="D68" i="17" s="1"/>
  <c r="C66" i="17"/>
  <c r="D59" i="17"/>
  <c r="D60" i="17"/>
  <c r="D61" i="17" s="1"/>
  <c r="C59" i="17"/>
  <c r="C60" i="17"/>
  <c r="D58" i="17"/>
  <c r="C58" i="17"/>
  <c r="E57" i="17"/>
  <c r="F57" i="17" s="1"/>
  <c r="E56" i="17"/>
  <c r="F56" i="17" s="1"/>
  <c r="D53" i="17"/>
  <c r="C53" i="17"/>
  <c r="D52" i="17"/>
  <c r="C52" i="17"/>
  <c r="E51" i="17"/>
  <c r="F51" i="17" s="1"/>
  <c r="D47" i="17"/>
  <c r="D48" i="17"/>
  <c r="C47" i="17"/>
  <c r="C48" i="17" s="1"/>
  <c r="E48" i="17" s="1"/>
  <c r="E46" i="17"/>
  <c r="F46" i="17"/>
  <c r="E45" i="17"/>
  <c r="F45" i="17"/>
  <c r="D44" i="17"/>
  <c r="F44" i="17"/>
  <c r="C44" i="17"/>
  <c r="E44" i="17" s="1"/>
  <c r="E43" i="17"/>
  <c r="F43" i="17"/>
  <c r="E42" i="17"/>
  <c r="F42" i="17"/>
  <c r="D36" i="17"/>
  <c r="F36" i="17"/>
  <c r="C36" i="17"/>
  <c r="E36" i="17" s="1"/>
  <c r="D35" i="17"/>
  <c r="D37" i="17"/>
  <c r="C35" i="17"/>
  <c r="D30" i="17"/>
  <c r="D31" i="17" s="1"/>
  <c r="C30" i="17"/>
  <c r="C31" i="17"/>
  <c r="D29" i="17"/>
  <c r="E29" i="17" s="1"/>
  <c r="F29" i="17" s="1"/>
  <c r="C29" i="17"/>
  <c r="E28" i="17"/>
  <c r="F28" i="17" s="1"/>
  <c r="E27" i="17"/>
  <c r="F27" i="17"/>
  <c r="D24" i="17"/>
  <c r="E24" i="17" s="1"/>
  <c r="F24" i="17" s="1"/>
  <c r="C24" i="17"/>
  <c r="D23" i="17"/>
  <c r="E23" i="17" s="1"/>
  <c r="C23" i="17"/>
  <c r="E22" i="17"/>
  <c r="F22" i="17" s="1"/>
  <c r="D20" i="17"/>
  <c r="E20" i="17" s="1"/>
  <c r="F20" i="17" s="1"/>
  <c r="C20" i="17"/>
  <c r="E19" i="17"/>
  <c r="F19" i="17"/>
  <c r="E18" i="17"/>
  <c r="F18" i="17" s="1"/>
  <c r="D17" i="17"/>
  <c r="E17" i="17" s="1"/>
  <c r="F17" i="17" s="1"/>
  <c r="C17" i="17"/>
  <c r="E16" i="17"/>
  <c r="F16" i="17"/>
  <c r="E15" i="17"/>
  <c r="F15" i="17" s="1"/>
  <c r="D21" i="16"/>
  <c r="C21" i="16"/>
  <c r="E20" i="16"/>
  <c r="F20" i="16" s="1"/>
  <c r="D17" i="16"/>
  <c r="C17" i="16"/>
  <c r="E16" i="16"/>
  <c r="F16" i="16" s="1"/>
  <c r="D13" i="16"/>
  <c r="C13" i="16"/>
  <c r="E12" i="16"/>
  <c r="F12" i="16" s="1"/>
  <c r="D107" i="15"/>
  <c r="C107" i="15"/>
  <c r="E106" i="15"/>
  <c r="F106" i="15" s="1"/>
  <c r="E105" i="15"/>
  <c r="F105" i="15" s="1"/>
  <c r="E104" i="15"/>
  <c r="F104" i="15" s="1"/>
  <c r="D100" i="15"/>
  <c r="C100" i="15"/>
  <c r="E99" i="15"/>
  <c r="F99" i="15" s="1"/>
  <c r="F98" i="15"/>
  <c r="E98" i="15"/>
  <c r="E97" i="15"/>
  <c r="F97" i="15" s="1"/>
  <c r="E96" i="15"/>
  <c r="F96" i="15"/>
  <c r="E95" i="15"/>
  <c r="F95" i="15" s="1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E82" i="15"/>
  <c r="F82" i="15"/>
  <c r="E81" i="15"/>
  <c r="F81" i="15" s="1"/>
  <c r="F80" i="15"/>
  <c r="E80" i="15"/>
  <c r="E79" i="15"/>
  <c r="F79" i="15" s="1"/>
  <c r="D75" i="15"/>
  <c r="C75" i="15"/>
  <c r="E74" i="15"/>
  <c r="F74" i="15" s="1"/>
  <c r="E73" i="15"/>
  <c r="F73" i="15" s="1"/>
  <c r="D70" i="15"/>
  <c r="C70" i="15"/>
  <c r="E69" i="15"/>
  <c r="F69" i="15"/>
  <c r="E68" i="15"/>
  <c r="F68" i="15" s="1"/>
  <c r="D65" i="15"/>
  <c r="C65" i="15"/>
  <c r="E64" i="15"/>
  <c r="F64" i="15" s="1"/>
  <c r="E63" i="15"/>
  <c r="F63" i="15"/>
  <c r="D60" i="15"/>
  <c r="C60" i="15"/>
  <c r="F60" i="15"/>
  <c r="F59" i="15"/>
  <c r="E59" i="15"/>
  <c r="F58" i="15"/>
  <c r="E58" i="15"/>
  <c r="E60" i="15"/>
  <c r="D55" i="15"/>
  <c r="E55" i="15" s="1"/>
  <c r="C55" i="15"/>
  <c r="F55" i="15"/>
  <c r="F54" i="15"/>
  <c r="E54" i="15"/>
  <c r="F53" i="15"/>
  <c r="E53" i="15"/>
  <c r="D50" i="15"/>
  <c r="C50" i="15"/>
  <c r="F50" i="15" s="1"/>
  <c r="F49" i="15"/>
  <c r="E49" i="15"/>
  <c r="F48" i="15"/>
  <c r="E48" i="15"/>
  <c r="D45" i="15"/>
  <c r="C45" i="15"/>
  <c r="E44" i="15"/>
  <c r="F44" i="15" s="1"/>
  <c r="E43" i="15"/>
  <c r="F43" i="15" s="1"/>
  <c r="D37" i="15"/>
  <c r="C37" i="15"/>
  <c r="F37" i="15"/>
  <c r="F36" i="15"/>
  <c r="E36" i="15"/>
  <c r="F35" i="15"/>
  <c r="E35" i="15"/>
  <c r="F34" i="15"/>
  <c r="E34" i="15"/>
  <c r="F33" i="15"/>
  <c r="E33" i="15"/>
  <c r="D30" i="15"/>
  <c r="C30" i="15"/>
  <c r="F29" i="15"/>
  <c r="E29" i="15"/>
  <c r="F28" i="15"/>
  <c r="E28" i="15"/>
  <c r="E27" i="15"/>
  <c r="F27" i="15"/>
  <c r="E26" i="15"/>
  <c r="F26" i="15" s="1"/>
  <c r="D23" i="15"/>
  <c r="C23" i="15"/>
  <c r="F22" i="15"/>
  <c r="E22" i="15"/>
  <c r="E21" i="15"/>
  <c r="F21" i="15"/>
  <c r="E20" i="15"/>
  <c r="F20" i="15" s="1"/>
  <c r="E19" i="15"/>
  <c r="F19" i="15"/>
  <c r="D16" i="15"/>
  <c r="C16" i="15"/>
  <c r="F15" i="15"/>
  <c r="E15" i="15"/>
  <c r="E14" i="15"/>
  <c r="F14" i="15" s="1"/>
  <c r="E13" i="15"/>
  <c r="F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 s="1"/>
  <c r="D17" i="14"/>
  <c r="D33" i="14"/>
  <c r="D36" i="14" s="1"/>
  <c r="D38" i="14" s="1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D80" i="13"/>
  <c r="D77" i="13"/>
  <c r="C78" i="13"/>
  <c r="C80" i="13"/>
  <c r="C77" i="13" s="1"/>
  <c r="E73" i="13"/>
  <c r="E75" i="13" s="1"/>
  <c r="E69" i="13" s="1"/>
  <c r="D73" i="13"/>
  <c r="D75" i="13" s="1"/>
  <c r="C73" i="13"/>
  <c r="C75" i="13" s="1"/>
  <c r="E71" i="13"/>
  <c r="D71" i="13"/>
  <c r="C71" i="13"/>
  <c r="E66" i="13"/>
  <c r="E65" i="13"/>
  <c r="D66" i="13"/>
  <c r="C66" i="13"/>
  <c r="C65" i="13" s="1"/>
  <c r="D65" i="13"/>
  <c r="E60" i="13"/>
  <c r="D60" i="13"/>
  <c r="C60" i="13"/>
  <c r="E59" i="13"/>
  <c r="E61" i="13"/>
  <c r="E57" i="13" s="1"/>
  <c r="E58" i="13"/>
  <c r="D58" i="13"/>
  <c r="C58" i="13"/>
  <c r="E55" i="13"/>
  <c r="E50" i="13" s="1"/>
  <c r="D55" i="13"/>
  <c r="C55" i="13"/>
  <c r="E54" i="13"/>
  <c r="D54" i="13"/>
  <c r="C54" i="13"/>
  <c r="C50" i="13"/>
  <c r="D50" i="13"/>
  <c r="E48" i="13"/>
  <c r="C48" i="13"/>
  <c r="C42" i="13" s="1"/>
  <c r="E46" i="13"/>
  <c r="D46" i="13"/>
  <c r="D59" i="13"/>
  <c r="D61" i="13"/>
  <c r="D57" i="13"/>
  <c r="C46" i="13"/>
  <c r="C59" i="13" s="1"/>
  <c r="C61" i="13" s="1"/>
  <c r="C57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C25" i="13"/>
  <c r="C27" i="13"/>
  <c r="C15" i="13"/>
  <c r="C24" i="13"/>
  <c r="E13" i="13"/>
  <c r="E15" i="13" s="1"/>
  <c r="E24" i="13" s="1"/>
  <c r="D13" i="13"/>
  <c r="D25" i="13" s="1"/>
  <c r="D27" i="13" s="1"/>
  <c r="C13" i="13"/>
  <c r="D47" i="12"/>
  <c r="E47" i="12" s="1"/>
  <c r="C47" i="12"/>
  <c r="E46" i="12"/>
  <c r="F46" i="12" s="1"/>
  <c r="F45" i="12"/>
  <c r="E45" i="12"/>
  <c r="D40" i="12"/>
  <c r="C40" i="12"/>
  <c r="E40" i="12" s="1"/>
  <c r="E39" i="12"/>
  <c r="F39" i="12" s="1"/>
  <c r="E38" i="12"/>
  <c r="F38" i="12" s="1"/>
  <c r="E37" i="12"/>
  <c r="F37" i="12" s="1"/>
  <c r="D32" i="12"/>
  <c r="F32" i="12"/>
  <c r="C32" i="12"/>
  <c r="E32" i="12" s="1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F16" i="12"/>
  <c r="E16" i="12"/>
  <c r="D15" i="12"/>
  <c r="D17" i="12"/>
  <c r="C15" i="12"/>
  <c r="C17" i="12"/>
  <c r="F14" i="12"/>
  <c r="E14" i="12"/>
  <c r="E13" i="12"/>
  <c r="F13" i="12" s="1"/>
  <c r="E12" i="12"/>
  <c r="F12" i="12" s="1"/>
  <c r="E11" i="12"/>
  <c r="F11" i="12" s="1"/>
  <c r="D73" i="11"/>
  <c r="C73" i="1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C61" i="11"/>
  <c r="F60" i="11"/>
  <c r="E60" i="11"/>
  <c r="E59" i="11"/>
  <c r="F59" i="11" s="1"/>
  <c r="D56" i="11"/>
  <c r="E56" i="11"/>
  <c r="F56" i="11"/>
  <c r="C56" i="11"/>
  <c r="E55" i="11"/>
  <c r="F55" i="11" s="1"/>
  <c r="F54" i="11"/>
  <c r="E54" i="11"/>
  <c r="E53" i="11"/>
  <c r="F53" i="11" s="1"/>
  <c r="F52" i="11"/>
  <c r="E52" i="11"/>
  <c r="F51" i="11"/>
  <c r="E51" i="11"/>
  <c r="E50" i="11"/>
  <c r="F50" i="11" s="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E38" i="11"/>
  <c r="C38" i="11"/>
  <c r="C41" i="11" s="1"/>
  <c r="E37" i="11"/>
  <c r="F37" i="11" s="1"/>
  <c r="F36" i="11"/>
  <c r="E36" i="11"/>
  <c r="F33" i="11"/>
  <c r="E33" i="11"/>
  <c r="F32" i="11"/>
  <c r="E32" i="11"/>
  <c r="F31" i="11"/>
  <c r="E31" i="11"/>
  <c r="D29" i="11"/>
  <c r="E29" i="11" s="1"/>
  <c r="F29" i="11"/>
  <c r="C29" i="11"/>
  <c r="F28" i="11"/>
  <c r="E28" i="11"/>
  <c r="E27" i="11"/>
  <c r="F27" i="11" s="1"/>
  <c r="F26" i="11"/>
  <c r="E26" i="11"/>
  <c r="F25" i="11"/>
  <c r="E25" i="11"/>
  <c r="D22" i="11"/>
  <c r="E22" i="11" s="1"/>
  <c r="C22" i="11"/>
  <c r="C43" i="1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E15" i="11"/>
  <c r="F15" i="11" s="1"/>
  <c r="E14" i="11"/>
  <c r="F14" i="11" s="1"/>
  <c r="E13" i="11"/>
  <c r="F13" i="11" s="1"/>
  <c r="D120" i="10"/>
  <c r="C120" i="10"/>
  <c r="E120" i="10" s="1"/>
  <c r="D119" i="10"/>
  <c r="E119" i="10"/>
  <c r="C119" i="10"/>
  <c r="D118" i="10"/>
  <c r="C118" i="10"/>
  <c r="E118" i="10" s="1"/>
  <c r="D117" i="10"/>
  <c r="E117" i="10"/>
  <c r="C117" i="10"/>
  <c r="D116" i="10"/>
  <c r="C116" i="10"/>
  <c r="E116" i="10" s="1"/>
  <c r="D115" i="10"/>
  <c r="E115" i="10" s="1"/>
  <c r="C115" i="10"/>
  <c r="D114" i="10"/>
  <c r="E114" i="10" s="1"/>
  <c r="C114" i="10"/>
  <c r="F114" i="10" s="1"/>
  <c r="D113" i="10"/>
  <c r="D122" i="10" s="1"/>
  <c r="E122" i="10" s="1"/>
  <c r="C113" i="10"/>
  <c r="C122" i="10" s="1"/>
  <c r="D112" i="10"/>
  <c r="D121" i="10" s="1"/>
  <c r="C112" i="10"/>
  <c r="C121" i="10"/>
  <c r="D108" i="10"/>
  <c r="E108" i="10"/>
  <c r="C108" i="10"/>
  <c r="F108" i="10" s="1"/>
  <c r="D107" i="10"/>
  <c r="F107" i="10"/>
  <c r="C107" i="10"/>
  <c r="E107" i="10" s="1"/>
  <c r="E106" i="10"/>
  <c r="F106" i="10" s="1"/>
  <c r="E105" i="10"/>
  <c r="F105" i="10" s="1"/>
  <c r="E104" i="10"/>
  <c r="F104" i="10" s="1"/>
  <c r="E103" i="10"/>
  <c r="F103" i="10" s="1"/>
  <c r="E102" i="10"/>
  <c r="F102" i="10" s="1"/>
  <c r="E101" i="10"/>
  <c r="F101" i="10" s="1"/>
  <c r="E100" i="10"/>
  <c r="F100" i="10" s="1"/>
  <c r="E99" i="10"/>
  <c r="F99" i="10" s="1"/>
  <c r="E98" i="10"/>
  <c r="F98" i="10" s="1"/>
  <c r="D96" i="10"/>
  <c r="C96" i="10"/>
  <c r="E96" i="10" s="1"/>
  <c r="D95" i="10"/>
  <c r="E95" i="10"/>
  <c r="C95" i="10"/>
  <c r="E94" i="10"/>
  <c r="F94" i="10" s="1"/>
  <c r="E93" i="10"/>
  <c r="F93" i="10" s="1"/>
  <c r="E92" i="10"/>
  <c r="F92" i="10" s="1"/>
  <c r="E91" i="10"/>
  <c r="F91" i="10" s="1"/>
  <c r="E90" i="10"/>
  <c r="F90" i="10" s="1"/>
  <c r="E89" i="10"/>
  <c r="F89" i="10" s="1"/>
  <c r="F88" i="10"/>
  <c r="E88" i="10"/>
  <c r="E87" i="10"/>
  <c r="F87" i="10" s="1"/>
  <c r="E86" i="10"/>
  <c r="F86" i="10" s="1"/>
  <c r="D84" i="10"/>
  <c r="E84" i="10"/>
  <c r="C84" i="10"/>
  <c r="F84" i="10" s="1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D71" i="10"/>
  <c r="E71" i="10" s="1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 s="1"/>
  <c r="C60" i="10"/>
  <c r="D59" i="10"/>
  <c r="E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 s="1"/>
  <c r="C48" i="10"/>
  <c r="F48" i="10" s="1"/>
  <c r="F47" i="10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E35" i="10"/>
  <c r="C35" i="10"/>
  <c r="F35" i="10" s="1"/>
  <c r="E34" i="10"/>
  <c r="F34" i="10" s="1"/>
  <c r="E33" i="10"/>
  <c r="F33" i="10" s="1"/>
  <c r="E32" i="10"/>
  <c r="F32" i="10" s="1"/>
  <c r="E31" i="10"/>
  <c r="F31" i="10" s="1"/>
  <c r="E30" i="10"/>
  <c r="F30" i="10" s="1"/>
  <c r="E29" i="10"/>
  <c r="F29" i="10" s="1"/>
  <c r="E28" i="10"/>
  <c r="F28" i="10" s="1"/>
  <c r="E27" i="10"/>
  <c r="F27" i="10" s="1"/>
  <c r="E26" i="10"/>
  <c r="F26" i="10" s="1"/>
  <c r="D24" i="10"/>
  <c r="E24" i="10" s="1"/>
  <c r="C24" i="10"/>
  <c r="F24" i="10" s="1"/>
  <c r="D23" i="10"/>
  <c r="E23" i="10" s="1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E204" i="9" s="1"/>
  <c r="D203" i="9"/>
  <c r="C203" i="9"/>
  <c r="D202" i="9"/>
  <c r="C202" i="9"/>
  <c r="D201" i="9"/>
  <c r="C201" i="9"/>
  <c r="D200" i="9"/>
  <c r="C200" i="9"/>
  <c r="D199" i="9"/>
  <c r="D208" i="9" s="1"/>
  <c r="C199" i="9"/>
  <c r="D198" i="9"/>
  <c r="D207" i="9" s="1"/>
  <c r="C198" i="9"/>
  <c r="D193" i="9"/>
  <c r="C193" i="9"/>
  <c r="D192" i="9"/>
  <c r="C192" i="9"/>
  <c r="E191" i="9"/>
  <c r="F191" i="9"/>
  <c r="E190" i="9"/>
  <c r="F190" i="9"/>
  <c r="E189" i="9"/>
  <c r="F189" i="9"/>
  <c r="E188" i="9"/>
  <c r="F188" i="9" s="1"/>
  <c r="E187" i="9"/>
  <c r="F187" i="9"/>
  <c r="E186" i="9"/>
  <c r="F186" i="9"/>
  <c r="E185" i="9"/>
  <c r="F185" i="9"/>
  <c r="E184" i="9"/>
  <c r="F184" i="9" s="1"/>
  <c r="E183" i="9"/>
  <c r="F183" i="9"/>
  <c r="D180" i="9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E153" i="9" s="1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C140" i="9"/>
  <c r="E139" i="9"/>
  <c r="F139" i="9" s="1"/>
  <c r="E138" i="9"/>
  <c r="F138" i="9"/>
  <c r="E137" i="9"/>
  <c r="F137" i="9"/>
  <c r="E136" i="9"/>
  <c r="F136" i="9"/>
  <c r="E135" i="9"/>
  <c r="F135" i="9" s="1"/>
  <c r="E134" i="9"/>
  <c r="F134" i="9"/>
  <c r="E133" i="9"/>
  <c r="F133" i="9"/>
  <c r="F132" i="9"/>
  <c r="E132" i="9"/>
  <c r="E131" i="9"/>
  <c r="F131" i="9" s="1"/>
  <c r="D128" i="9"/>
  <c r="C128" i="9"/>
  <c r="D127" i="9"/>
  <c r="C127" i="9"/>
  <c r="E127" i="9" s="1"/>
  <c r="E126" i="9"/>
  <c r="F126" i="9"/>
  <c r="E125" i="9"/>
  <c r="F125" i="9" s="1"/>
  <c r="E124" i="9"/>
  <c r="F124" i="9" s="1"/>
  <c r="E123" i="9"/>
  <c r="F123" i="9"/>
  <c r="E122" i="9"/>
  <c r="F122" i="9" s="1"/>
  <c r="E121" i="9"/>
  <c r="F121" i="9" s="1"/>
  <c r="E120" i="9"/>
  <c r="F120" i="9" s="1"/>
  <c r="E119" i="9"/>
  <c r="F119" i="9"/>
  <c r="E118" i="9"/>
  <c r="F118" i="9"/>
  <c r="D115" i="9"/>
  <c r="C115" i="9"/>
  <c r="F115" i="9" s="1"/>
  <c r="D114" i="9"/>
  <c r="C114" i="9"/>
  <c r="F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 s="1"/>
  <c r="F102" i="9" s="1"/>
  <c r="C102" i="9"/>
  <c r="D101" i="9"/>
  <c r="C101" i="9"/>
  <c r="E100" i="9"/>
  <c r="F100" i="9"/>
  <c r="E99" i="9"/>
  <c r="F99" i="9"/>
  <c r="E98" i="9"/>
  <c r="F98" i="9" s="1"/>
  <c r="E97" i="9"/>
  <c r="F97" i="9" s="1"/>
  <c r="E96" i="9"/>
  <c r="F96" i="9"/>
  <c r="E95" i="9"/>
  <c r="F95" i="9"/>
  <c r="E94" i="9"/>
  <c r="F94" i="9" s="1"/>
  <c r="E93" i="9"/>
  <c r="F93" i="9" s="1"/>
  <c r="E92" i="9"/>
  <c r="F92" i="9"/>
  <c r="D89" i="9"/>
  <c r="C89" i="9"/>
  <c r="D88" i="9"/>
  <c r="C88" i="9"/>
  <c r="E87" i="9"/>
  <c r="F87" i="9" s="1"/>
  <c r="E86" i="9"/>
  <c r="F86" i="9"/>
  <c r="E85" i="9"/>
  <c r="F85" i="9"/>
  <c r="E84" i="9"/>
  <c r="F84" i="9" s="1"/>
  <c r="E83" i="9"/>
  <c r="F83" i="9" s="1"/>
  <c r="E82" i="9"/>
  <c r="F82" i="9"/>
  <c r="E81" i="9"/>
  <c r="F81" i="9"/>
  <c r="E80" i="9"/>
  <c r="F80" i="9" s="1"/>
  <c r="E79" i="9"/>
  <c r="F79" i="9" s="1"/>
  <c r="D76" i="9"/>
  <c r="C76" i="9"/>
  <c r="F76" i="9"/>
  <c r="D75" i="9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C63" i="9"/>
  <c r="F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 s="1"/>
  <c r="E46" i="9"/>
  <c r="F46" i="9"/>
  <c r="E45" i="9"/>
  <c r="F45" i="9"/>
  <c r="E44" i="9"/>
  <c r="F44" i="9" s="1"/>
  <c r="E43" i="9"/>
  <c r="F43" i="9" s="1"/>
  <c r="E42" i="9"/>
  <c r="F42" i="9"/>
  <c r="E41" i="9"/>
  <c r="F41" i="9"/>
  <c r="E40" i="9"/>
  <c r="F40" i="9" s="1"/>
  <c r="D37" i="9"/>
  <c r="E37" i="9" s="1"/>
  <c r="C37" i="9"/>
  <c r="D36" i="9"/>
  <c r="C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C23" i="9"/>
  <c r="E23" i="9"/>
  <c r="E22" i="9"/>
  <c r="F22" i="9" s="1"/>
  <c r="E21" i="9"/>
  <c r="F21" i="9" s="1"/>
  <c r="E20" i="9"/>
  <c r="F20" i="9"/>
  <c r="E19" i="9"/>
  <c r="F19" i="9"/>
  <c r="E18" i="9"/>
  <c r="F18" i="9" s="1"/>
  <c r="E17" i="9"/>
  <c r="F17" i="9" s="1"/>
  <c r="E16" i="9"/>
  <c r="F16" i="9"/>
  <c r="E15" i="9"/>
  <c r="F15" i="9"/>
  <c r="E14" i="9"/>
  <c r="F14" i="9" s="1"/>
  <c r="E191" i="8"/>
  <c r="D191" i="8"/>
  <c r="C191" i="8"/>
  <c r="E176" i="8"/>
  <c r="D176" i="8"/>
  <c r="C176" i="8"/>
  <c r="E164" i="8"/>
  <c r="E160" i="8" s="1"/>
  <c r="E166" i="8" s="1"/>
  <c r="D164" i="8"/>
  <c r="D160" i="8"/>
  <c r="D166" i="8" s="1"/>
  <c r="C164" i="8"/>
  <c r="E162" i="8"/>
  <c r="D162" i="8"/>
  <c r="C162" i="8"/>
  <c r="E161" i="8"/>
  <c r="D161" i="8"/>
  <c r="C161" i="8"/>
  <c r="C166" i="8" s="1"/>
  <c r="C160" i="8"/>
  <c r="E147" i="8"/>
  <c r="D147" i="8"/>
  <c r="D143" i="8" s="1"/>
  <c r="D149" i="8"/>
  <c r="C147" i="8"/>
  <c r="C143" i="8" s="1"/>
  <c r="C149" i="8" s="1"/>
  <c r="E145" i="8"/>
  <c r="D145" i="8"/>
  <c r="C145" i="8"/>
  <c r="E144" i="8"/>
  <c r="D144" i="8"/>
  <c r="C144" i="8"/>
  <c r="E143" i="8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D109" i="8" s="1"/>
  <c r="D106" i="8" s="1"/>
  <c r="C107" i="8"/>
  <c r="C109" i="8"/>
  <c r="C106" i="8"/>
  <c r="C104" i="8"/>
  <c r="E102" i="8"/>
  <c r="E104" i="8" s="1"/>
  <c r="D102" i="8"/>
  <c r="D104" i="8" s="1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C84" i="8"/>
  <c r="E83" i="8"/>
  <c r="E79" i="8"/>
  <c r="D83" i="8"/>
  <c r="D79" i="8" s="1"/>
  <c r="C83" i="8"/>
  <c r="C79" i="8"/>
  <c r="C77" i="8"/>
  <c r="C71" i="8"/>
  <c r="E75" i="8"/>
  <c r="E77" i="8" s="1"/>
  <c r="E71" i="8" s="1"/>
  <c r="D75" i="8"/>
  <c r="D88" i="8"/>
  <c r="D90" i="8" s="1"/>
  <c r="D86" i="8" s="1"/>
  <c r="C75" i="8"/>
  <c r="C88" i="8" s="1"/>
  <c r="C90" i="8" s="1"/>
  <c r="C86" i="8" s="1"/>
  <c r="E74" i="8"/>
  <c r="D74" i="8"/>
  <c r="C74" i="8"/>
  <c r="E67" i="8"/>
  <c r="D67" i="8"/>
  <c r="C67" i="8"/>
  <c r="E38" i="8"/>
  <c r="E57" i="8"/>
  <c r="E62" i="8" s="1"/>
  <c r="D38" i="8"/>
  <c r="D53" i="8" s="1"/>
  <c r="D57" i="8"/>
  <c r="D62" i="8" s="1"/>
  <c r="C38" i="8"/>
  <c r="C57" i="8"/>
  <c r="C62" i="8"/>
  <c r="E33" i="8"/>
  <c r="E34" i="8"/>
  <c r="D33" i="8"/>
  <c r="D34" i="8"/>
  <c r="E26" i="8"/>
  <c r="D26" i="8"/>
  <c r="C26" i="8"/>
  <c r="C25" i="8"/>
  <c r="C27" i="8" s="1"/>
  <c r="C20" i="8" s="1"/>
  <c r="E15" i="8"/>
  <c r="E24" i="8" s="1"/>
  <c r="E13" i="8"/>
  <c r="E25" i="8" s="1"/>
  <c r="E27" i="8" s="1"/>
  <c r="E21" i="8" s="1"/>
  <c r="D13" i="8"/>
  <c r="C13" i="8"/>
  <c r="C15" i="8" s="1"/>
  <c r="C24" i="8" s="1"/>
  <c r="E186" i="7"/>
  <c r="F186" i="7" s="1"/>
  <c r="D183" i="7"/>
  <c r="C183" i="7"/>
  <c r="E182" i="7"/>
  <c r="F182" i="7" s="1"/>
  <c r="E181" i="7"/>
  <c r="F181" i="7" s="1"/>
  <c r="F180" i="7"/>
  <c r="E180" i="7"/>
  <c r="E179" i="7"/>
  <c r="F179" i="7"/>
  <c r="F178" i="7"/>
  <c r="E178" i="7"/>
  <c r="F177" i="7"/>
  <c r="E177" i="7"/>
  <c r="E176" i="7"/>
  <c r="F176" i="7"/>
  <c r="E175" i="7"/>
  <c r="F175" i="7"/>
  <c r="F174" i="7"/>
  <c r="E174" i="7"/>
  <c r="E173" i="7"/>
  <c r="F173" i="7" s="1"/>
  <c r="F172" i="7"/>
  <c r="E172" i="7"/>
  <c r="E171" i="7"/>
  <c r="F171" i="7"/>
  <c r="E170" i="7"/>
  <c r="F170" i="7" s="1"/>
  <c r="D167" i="7"/>
  <c r="C167" i="7"/>
  <c r="E166" i="7"/>
  <c r="F166" i="7"/>
  <c r="F165" i="7"/>
  <c r="E165" i="7"/>
  <c r="E164" i="7"/>
  <c r="F164" i="7" s="1"/>
  <c r="F163" i="7"/>
  <c r="E163" i="7"/>
  <c r="F162" i="7"/>
  <c r="E162" i="7"/>
  <c r="E161" i="7"/>
  <c r="F161" i="7"/>
  <c r="E160" i="7"/>
  <c r="F160" i="7" s="1"/>
  <c r="F159" i="7"/>
  <c r="E159" i="7"/>
  <c r="E158" i="7"/>
  <c r="F158" i="7"/>
  <c r="E157" i="7"/>
  <c r="F157" i="7"/>
  <c r="E156" i="7"/>
  <c r="F156" i="7" s="1"/>
  <c r="F155" i="7"/>
  <c r="E155" i="7"/>
  <c r="E154" i="7"/>
  <c r="F154" i="7"/>
  <c r="F153" i="7"/>
  <c r="E153" i="7"/>
  <c r="E152" i="7"/>
  <c r="F152" i="7" s="1"/>
  <c r="E151" i="7"/>
  <c r="F151" i="7" s="1"/>
  <c r="E150" i="7"/>
  <c r="F150" i="7"/>
  <c r="F149" i="7"/>
  <c r="E149" i="7"/>
  <c r="E148" i="7"/>
  <c r="F148" i="7" s="1"/>
  <c r="E147" i="7"/>
  <c r="F147" i="7" s="1"/>
  <c r="E146" i="7"/>
  <c r="F146" i="7"/>
  <c r="F145" i="7"/>
  <c r="E145" i="7"/>
  <c r="E144" i="7"/>
  <c r="F144" i="7" s="1"/>
  <c r="F143" i="7"/>
  <c r="E143" i="7"/>
  <c r="E142" i="7"/>
  <c r="F142" i="7"/>
  <c r="E141" i="7"/>
  <c r="F141" i="7"/>
  <c r="E140" i="7"/>
  <c r="F140" i="7" s="1"/>
  <c r="E139" i="7"/>
  <c r="F139" i="7" s="1"/>
  <c r="E138" i="7"/>
  <c r="F138" i="7"/>
  <c r="E137" i="7"/>
  <c r="F137" i="7"/>
  <c r="E136" i="7"/>
  <c r="F136" i="7" s="1"/>
  <c r="E135" i="7"/>
  <c r="F135" i="7" s="1"/>
  <c r="E134" i="7"/>
  <c r="F134" i="7"/>
  <c r="E133" i="7"/>
  <c r="F133" i="7"/>
  <c r="D130" i="7"/>
  <c r="E130" i="7" s="1"/>
  <c r="F130" i="7" s="1"/>
  <c r="C130" i="7"/>
  <c r="E129" i="7"/>
  <c r="F129" i="7" s="1"/>
  <c r="F128" i="7"/>
  <c r="E128" i="7"/>
  <c r="E127" i="7"/>
  <c r="F127" i="7"/>
  <c r="E126" i="7"/>
  <c r="F126" i="7" s="1"/>
  <c r="E125" i="7"/>
  <c r="F125" i="7" s="1"/>
  <c r="E124" i="7"/>
  <c r="F124" i="7"/>
  <c r="D121" i="7"/>
  <c r="C121" i="7"/>
  <c r="E120" i="7"/>
  <c r="F120" i="7" s="1"/>
  <c r="E119" i="7"/>
  <c r="F119" i="7" s="1"/>
  <c r="E118" i="7"/>
  <c r="F118" i="7"/>
  <c r="E117" i="7"/>
  <c r="F117" i="7"/>
  <c r="E116" i="7"/>
  <c r="F116" i="7" s="1"/>
  <c r="E115" i="7"/>
  <c r="F115" i="7" s="1"/>
  <c r="E114" i="7"/>
  <c r="F114" i="7"/>
  <c r="E113" i="7"/>
  <c r="F113" i="7"/>
  <c r="E112" i="7"/>
  <c r="F112" i="7" s="1"/>
  <c r="E111" i="7"/>
  <c r="F111" i="7" s="1"/>
  <c r="E110" i="7"/>
  <c r="F110" i="7"/>
  <c r="E109" i="7"/>
  <c r="F109" i="7"/>
  <c r="E108" i="7"/>
  <c r="F108" i="7" s="1"/>
  <c r="E107" i="7"/>
  <c r="F107" i="7" s="1"/>
  <c r="E106" i="7"/>
  <c r="F106" i="7"/>
  <c r="E105" i="7"/>
  <c r="F105" i="7"/>
  <c r="E104" i="7"/>
  <c r="F104" i="7" s="1"/>
  <c r="E103" i="7"/>
  <c r="F103" i="7" s="1"/>
  <c r="F93" i="7"/>
  <c r="E93" i="7"/>
  <c r="D90" i="7"/>
  <c r="D95" i="7"/>
  <c r="C90" i="7"/>
  <c r="E89" i="7"/>
  <c r="F89" i="7"/>
  <c r="E88" i="7"/>
  <c r="F88" i="7" s="1"/>
  <c r="E87" i="7"/>
  <c r="F87" i="7"/>
  <c r="E86" i="7"/>
  <c r="F86" i="7"/>
  <c r="F85" i="7"/>
  <c r="E85" i="7"/>
  <c r="E84" i="7"/>
  <c r="F84" i="7" s="1"/>
  <c r="E83" i="7"/>
  <c r="F83" i="7"/>
  <c r="E82" i="7"/>
  <c r="F82" i="7" s="1"/>
  <c r="E81" i="7"/>
  <c r="F81" i="7"/>
  <c r="E80" i="7"/>
  <c r="F80" i="7" s="1"/>
  <c r="E79" i="7"/>
  <c r="F79" i="7"/>
  <c r="E78" i="7"/>
  <c r="F78" i="7" s="1"/>
  <c r="F77" i="7"/>
  <c r="E77" i="7"/>
  <c r="E76" i="7"/>
  <c r="F76" i="7" s="1"/>
  <c r="E75" i="7"/>
  <c r="F75" i="7"/>
  <c r="E74" i="7"/>
  <c r="F74" i="7"/>
  <c r="E73" i="7"/>
  <c r="F73" i="7"/>
  <c r="E72" i="7"/>
  <c r="F72" i="7" s="1"/>
  <c r="F71" i="7"/>
  <c r="E71" i="7"/>
  <c r="E70" i="7"/>
  <c r="F70" i="7" s="1"/>
  <c r="E69" i="7"/>
  <c r="F69" i="7"/>
  <c r="E68" i="7"/>
  <c r="F68" i="7" s="1"/>
  <c r="E67" i="7"/>
  <c r="F67" i="7"/>
  <c r="E66" i="7"/>
  <c r="F66" i="7"/>
  <c r="E65" i="7"/>
  <c r="F65" i="7"/>
  <c r="E64" i="7"/>
  <c r="F64" i="7" s="1"/>
  <c r="E63" i="7"/>
  <c r="F63" i="7"/>
  <c r="E62" i="7"/>
  <c r="F62" i="7"/>
  <c r="D59" i="7"/>
  <c r="C59" i="7"/>
  <c r="F58" i="7"/>
  <c r="E58" i="7"/>
  <c r="E57" i="7"/>
  <c r="F57" i="7"/>
  <c r="E56" i="7"/>
  <c r="F56" i="7" s="1"/>
  <c r="F55" i="7"/>
  <c r="E55" i="7"/>
  <c r="E54" i="7"/>
  <c r="F54" i="7"/>
  <c r="E53" i="7"/>
  <c r="F53" i="7"/>
  <c r="E50" i="7"/>
  <c r="F50" i="7" s="1"/>
  <c r="E47" i="7"/>
  <c r="F47" i="7" s="1"/>
  <c r="E44" i="7"/>
  <c r="F44" i="7"/>
  <c r="D41" i="7"/>
  <c r="C41" i="7"/>
  <c r="E41" i="7"/>
  <c r="F40" i="7"/>
  <c r="E40" i="7"/>
  <c r="E39" i="7"/>
  <c r="F39" i="7" s="1"/>
  <c r="E38" i="7"/>
  <c r="F38" i="7"/>
  <c r="D35" i="7"/>
  <c r="C35" i="7"/>
  <c r="E35" i="7" s="1"/>
  <c r="E34" i="7"/>
  <c r="F34" i="7"/>
  <c r="E33" i="7"/>
  <c r="F33" i="7" s="1"/>
  <c r="D30" i="7"/>
  <c r="C30" i="7"/>
  <c r="F29" i="7"/>
  <c r="E29" i="7"/>
  <c r="E28" i="7"/>
  <c r="F28" i="7"/>
  <c r="F27" i="7"/>
  <c r="E27" i="7"/>
  <c r="D24" i="7"/>
  <c r="C24" i="7"/>
  <c r="E24" i="7"/>
  <c r="E23" i="7"/>
  <c r="F23" i="7" s="1"/>
  <c r="E22" i="7"/>
  <c r="F22" i="7" s="1"/>
  <c r="E21" i="7"/>
  <c r="F21" i="7"/>
  <c r="D18" i="7"/>
  <c r="C18" i="7"/>
  <c r="E17" i="7"/>
  <c r="F17" i="7" s="1"/>
  <c r="E16" i="7"/>
  <c r="F16" i="7" s="1"/>
  <c r="E15" i="7"/>
  <c r="F15" i="7"/>
  <c r="D179" i="6"/>
  <c r="C179" i="6"/>
  <c r="F178" i="6"/>
  <c r="E178" i="6"/>
  <c r="F177" i="6"/>
  <c r="E177" i="6"/>
  <c r="E176" i="6"/>
  <c r="F176" i="6" s="1"/>
  <c r="F175" i="6"/>
  <c r="E175" i="6"/>
  <c r="E174" i="6"/>
  <c r="F174" i="6" s="1"/>
  <c r="F173" i="6"/>
  <c r="E173" i="6"/>
  <c r="E172" i="6"/>
  <c r="F172" i="6" s="1"/>
  <c r="E171" i="6"/>
  <c r="F171" i="6" s="1"/>
  <c r="E170" i="6"/>
  <c r="F170" i="6" s="1"/>
  <c r="F169" i="6"/>
  <c r="E169" i="6"/>
  <c r="E168" i="6"/>
  <c r="F168" i="6" s="1"/>
  <c r="D166" i="6"/>
  <c r="E166" i="6"/>
  <c r="C166" i="6"/>
  <c r="F165" i="6"/>
  <c r="E165" i="6"/>
  <c r="F164" i="6"/>
  <c r="E164" i="6"/>
  <c r="E163" i="6"/>
  <c r="F163" i="6" s="1"/>
  <c r="E162" i="6"/>
  <c r="F162" i="6" s="1"/>
  <c r="F161" i="6"/>
  <c r="E161" i="6"/>
  <c r="E160" i="6"/>
  <c r="F160" i="6" s="1"/>
  <c r="E159" i="6"/>
  <c r="F159" i="6" s="1"/>
  <c r="E158" i="6"/>
  <c r="F158" i="6" s="1"/>
  <c r="F157" i="6"/>
  <c r="E157" i="6"/>
  <c r="E156" i="6"/>
  <c r="F156" i="6" s="1"/>
  <c r="E155" i="6"/>
  <c r="F155" i="6" s="1"/>
  <c r="D153" i="6"/>
  <c r="E153" i="6"/>
  <c r="F153" i="6" s="1"/>
  <c r="C153" i="6"/>
  <c r="F152" i="6"/>
  <c r="E152" i="6"/>
  <c r="F151" i="6"/>
  <c r="E151" i="6"/>
  <c r="E150" i="6"/>
  <c r="F150" i="6" s="1"/>
  <c r="F149" i="6"/>
  <c r="E149" i="6"/>
  <c r="E148" i="6"/>
  <c r="F148" i="6" s="1"/>
  <c r="E147" i="6"/>
  <c r="F147" i="6" s="1"/>
  <c r="E146" i="6"/>
  <c r="F146" i="6" s="1"/>
  <c r="F145" i="6"/>
  <c r="E145" i="6"/>
  <c r="E144" i="6"/>
  <c r="F144" i="6" s="1"/>
  <c r="F143" i="6"/>
  <c r="E143" i="6"/>
  <c r="E142" i="6"/>
  <c r="F142" i="6" s="1"/>
  <c r="D137" i="6"/>
  <c r="E137" i="6" s="1"/>
  <c r="C137" i="6"/>
  <c r="F136" i="6"/>
  <c r="E136" i="6"/>
  <c r="F135" i="6"/>
  <c r="E135" i="6"/>
  <c r="F134" i="6"/>
  <c r="E134" i="6"/>
  <c r="E133" i="6"/>
  <c r="F133" i="6" s="1"/>
  <c r="E132" i="6"/>
  <c r="F132" i="6" s="1"/>
  <c r="E131" i="6"/>
  <c r="F131" i="6" s="1"/>
  <c r="F130" i="6"/>
  <c r="E130" i="6"/>
  <c r="E129" i="6"/>
  <c r="F129" i="6" s="1"/>
  <c r="E128" i="6"/>
  <c r="F128" i="6" s="1"/>
  <c r="E127" i="6"/>
  <c r="F127" i="6" s="1"/>
  <c r="F126" i="6"/>
  <c r="E126" i="6"/>
  <c r="D124" i="6"/>
  <c r="F124" i="6"/>
  <c r="C124" i="6"/>
  <c r="E124" i="6" s="1"/>
  <c r="F123" i="6"/>
  <c r="E123" i="6"/>
  <c r="F122" i="6"/>
  <c r="E122" i="6"/>
  <c r="E121" i="6"/>
  <c r="F121" i="6" s="1"/>
  <c r="E120" i="6"/>
  <c r="F120" i="6" s="1"/>
  <c r="E119" i="6"/>
  <c r="F119" i="6" s="1"/>
  <c r="F118" i="6"/>
  <c r="E118" i="6"/>
  <c r="E117" i="6"/>
  <c r="F117" i="6" s="1"/>
  <c r="E116" i="6"/>
  <c r="F116" i="6" s="1"/>
  <c r="E115" i="6"/>
  <c r="F115" i="6" s="1"/>
  <c r="F114" i="6"/>
  <c r="E114" i="6"/>
  <c r="E113" i="6"/>
  <c r="F113" i="6" s="1"/>
  <c r="D111" i="6"/>
  <c r="E111" i="6" s="1"/>
  <c r="C111" i="6"/>
  <c r="F110" i="6"/>
  <c r="E110" i="6"/>
  <c r="F109" i="6"/>
  <c r="E109" i="6"/>
  <c r="E108" i="6"/>
  <c r="F108" i="6" s="1"/>
  <c r="E107" i="6"/>
  <c r="F107" i="6" s="1"/>
  <c r="F106" i="6"/>
  <c r="E106" i="6"/>
  <c r="E105" i="6"/>
  <c r="F105" i="6" s="1"/>
  <c r="F104" i="6"/>
  <c r="E104" i="6"/>
  <c r="E103" i="6"/>
  <c r="F103" i="6" s="1"/>
  <c r="F102" i="6"/>
  <c r="E102" i="6"/>
  <c r="E101" i="6"/>
  <c r="F101" i="6" s="1"/>
  <c r="F100" i="6"/>
  <c r="E100" i="6"/>
  <c r="F94" i="6"/>
  <c r="D94" i="6"/>
  <c r="E94" i="6" s="1"/>
  <c r="C94" i="6"/>
  <c r="D93" i="6"/>
  <c r="C93" i="6"/>
  <c r="D92" i="6"/>
  <c r="E92" i="6"/>
  <c r="F92" i="6" s="1"/>
  <c r="C92" i="6"/>
  <c r="D91" i="6"/>
  <c r="C91" i="6"/>
  <c r="E91" i="6" s="1"/>
  <c r="D90" i="6"/>
  <c r="E90" i="6"/>
  <c r="F90" i="6" s="1"/>
  <c r="C90" i="6"/>
  <c r="D89" i="6"/>
  <c r="F89" i="6"/>
  <c r="C89" i="6"/>
  <c r="E89" i="6" s="1"/>
  <c r="D88" i="6"/>
  <c r="E88" i="6"/>
  <c r="F88" i="6" s="1"/>
  <c r="C88" i="6"/>
  <c r="D87" i="6"/>
  <c r="F87" i="6"/>
  <c r="C87" i="6"/>
  <c r="E87" i="6" s="1"/>
  <c r="D86" i="6"/>
  <c r="E86" i="6"/>
  <c r="F86" i="6" s="1"/>
  <c r="C86" i="6"/>
  <c r="D85" i="6"/>
  <c r="C85" i="6"/>
  <c r="D84" i="6"/>
  <c r="D95" i="6"/>
  <c r="C84" i="6"/>
  <c r="D81" i="6"/>
  <c r="E81" i="6"/>
  <c r="F81" i="6"/>
  <c r="C81" i="6"/>
  <c r="F80" i="6"/>
  <c r="E80" i="6"/>
  <c r="F79" i="6"/>
  <c r="E79" i="6"/>
  <c r="E78" i="6"/>
  <c r="F78" i="6" s="1"/>
  <c r="F77" i="6"/>
  <c r="E77" i="6"/>
  <c r="F76" i="6"/>
  <c r="E76" i="6"/>
  <c r="E75" i="6"/>
  <c r="F75" i="6" s="1"/>
  <c r="E74" i="6"/>
  <c r="F74" i="6" s="1"/>
  <c r="F73" i="6"/>
  <c r="E73" i="6"/>
  <c r="F72" i="6"/>
  <c r="E72" i="6"/>
  <c r="E71" i="6"/>
  <c r="F71" i="6" s="1"/>
  <c r="F70" i="6"/>
  <c r="E70" i="6"/>
  <c r="D68" i="6"/>
  <c r="E68" i="6" s="1"/>
  <c r="F68" i="6" s="1"/>
  <c r="C68" i="6"/>
  <c r="F67" i="6"/>
  <c r="E67" i="6"/>
  <c r="F66" i="6"/>
  <c r="E66" i="6"/>
  <c r="F65" i="6"/>
  <c r="E65" i="6"/>
  <c r="F64" i="6"/>
  <c r="E64" i="6"/>
  <c r="E63" i="6"/>
  <c r="F63" i="6" s="1"/>
  <c r="E62" i="6"/>
  <c r="F62" i="6" s="1"/>
  <c r="F61" i="6"/>
  <c r="E61" i="6"/>
  <c r="F60" i="6"/>
  <c r="E60" i="6"/>
  <c r="E59" i="6"/>
  <c r="F59" i="6" s="1"/>
  <c r="F58" i="6"/>
  <c r="E58" i="6"/>
  <c r="F57" i="6"/>
  <c r="E57" i="6"/>
  <c r="F51" i="6"/>
  <c r="D51" i="6"/>
  <c r="E51" i="6" s="1"/>
  <c r="C51" i="6"/>
  <c r="F50" i="6"/>
  <c r="D50" i="6"/>
  <c r="E50" i="6" s="1"/>
  <c r="C50" i="6"/>
  <c r="D49" i="6"/>
  <c r="E49" i="6" s="1"/>
  <c r="C49" i="6"/>
  <c r="D48" i="6"/>
  <c r="E48" i="6" s="1"/>
  <c r="F48" i="6" s="1"/>
  <c r="C48" i="6"/>
  <c r="D47" i="6"/>
  <c r="E47" i="6" s="1"/>
  <c r="C47" i="6"/>
  <c r="F47" i="6" s="1"/>
  <c r="D46" i="6"/>
  <c r="E46" i="6" s="1"/>
  <c r="F46" i="6" s="1"/>
  <c r="C46" i="6"/>
  <c r="D45" i="6"/>
  <c r="E45" i="6" s="1"/>
  <c r="C45" i="6"/>
  <c r="F45" i="6" s="1"/>
  <c r="D44" i="6"/>
  <c r="E44" i="6"/>
  <c r="F44" i="6"/>
  <c r="C44" i="6"/>
  <c r="D43" i="6"/>
  <c r="E43" i="6" s="1"/>
  <c r="C43" i="6"/>
  <c r="D42" i="6"/>
  <c r="C42" i="6"/>
  <c r="D41" i="6"/>
  <c r="C41" i="6"/>
  <c r="C52" i="6"/>
  <c r="D38" i="6"/>
  <c r="E38" i="6"/>
  <c r="F38" i="6"/>
  <c r="C38" i="6"/>
  <c r="F37" i="6"/>
  <c r="E37" i="6"/>
  <c r="F36" i="6"/>
  <c r="E36" i="6"/>
  <c r="E35" i="6"/>
  <c r="F35" i="6" s="1"/>
  <c r="F34" i="6"/>
  <c r="E34" i="6"/>
  <c r="F33" i="6"/>
  <c r="E33" i="6"/>
  <c r="E32" i="6"/>
  <c r="F32" i="6" s="1"/>
  <c r="F31" i="6"/>
  <c r="E31" i="6"/>
  <c r="E30" i="6"/>
  <c r="F30" i="6" s="1"/>
  <c r="F29" i="6"/>
  <c r="E29" i="6"/>
  <c r="E28" i="6"/>
  <c r="F28" i="6" s="1"/>
  <c r="E27" i="6"/>
  <c r="F27" i="6" s="1"/>
  <c r="D25" i="6"/>
  <c r="E25" i="6"/>
  <c r="F25" i="6" s="1"/>
  <c r="C25" i="6"/>
  <c r="F24" i="6"/>
  <c r="E24" i="6"/>
  <c r="F23" i="6"/>
  <c r="E23" i="6"/>
  <c r="F22" i="6"/>
  <c r="E22" i="6"/>
  <c r="F21" i="6"/>
  <c r="E21" i="6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F14" i="6"/>
  <c r="E14" i="6"/>
  <c r="E51" i="5"/>
  <c r="F51" i="5" s="1"/>
  <c r="D48" i="5"/>
  <c r="C48" i="5"/>
  <c r="E47" i="5"/>
  <c r="F47" i="5" s="1"/>
  <c r="F46" i="5"/>
  <c r="E46" i="5"/>
  <c r="D41" i="5"/>
  <c r="C41" i="5"/>
  <c r="F40" i="5"/>
  <c r="E40" i="5"/>
  <c r="F39" i="5"/>
  <c r="E39" i="5"/>
  <c r="E38" i="5"/>
  <c r="F38" i="5"/>
  <c r="D33" i="5"/>
  <c r="C33" i="5"/>
  <c r="E32" i="5"/>
  <c r="F32" i="5"/>
  <c r="E31" i="5"/>
  <c r="F31" i="5" s="1"/>
  <c r="E30" i="5"/>
  <c r="F30" i="5" s="1"/>
  <c r="E29" i="5"/>
  <c r="F29" i="5" s="1"/>
  <c r="E28" i="5"/>
  <c r="F28" i="5"/>
  <c r="E27" i="5"/>
  <c r="F27" i="5"/>
  <c r="E26" i="5"/>
  <c r="F26" i="5"/>
  <c r="E25" i="5"/>
  <c r="F25" i="5" s="1"/>
  <c r="E24" i="5"/>
  <c r="F24" i="5"/>
  <c r="E20" i="5"/>
  <c r="F20" i="5"/>
  <c r="E19" i="5"/>
  <c r="F19" i="5" s="1"/>
  <c r="F17" i="5"/>
  <c r="E17" i="5"/>
  <c r="D16" i="5"/>
  <c r="D18" i="5"/>
  <c r="C16" i="5"/>
  <c r="F15" i="5"/>
  <c r="E15" i="5"/>
  <c r="E14" i="5"/>
  <c r="F14" i="5" s="1"/>
  <c r="E13" i="5"/>
  <c r="F13" i="5"/>
  <c r="E12" i="5"/>
  <c r="F12" i="5"/>
  <c r="D73" i="4"/>
  <c r="C73" i="4"/>
  <c r="E73" i="4" s="1"/>
  <c r="E72" i="4"/>
  <c r="F72" i="4" s="1"/>
  <c r="E71" i="4"/>
  <c r="F71" i="4" s="1"/>
  <c r="F70" i="4"/>
  <c r="E70" i="4"/>
  <c r="F67" i="4"/>
  <c r="E67" i="4"/>
  <c r="E64" i="4"/>
  <c r="F64" i="4" s="1"/>
  <c r="E63" i="4"/>
  <c r="F63" i="4" s="1"/>
  <c r="D61" i="4"/>
  <c r="D65" i="4"/>
  <c r="D75" i="4" s="1"/>
  <c r="C61" i="4"/>
  <c r="C65" i="4" s="1"/>
  <c r="F60" i="4"/>
  <c r="E60" i="4"/>
  <c r="E59" i="4"/>
  <c r="F59" i="4" s="1"/>
  <c r="D56" i="4"/>
  <c r="C56" i="4"/>
  <c r="E55" i="4"/>
  <c r="F55" i="4" s="1"/>
  <c r="F54" i="4"/>
  <c r="E54" i="4"/>
  <c r="F53" i="4"/>
  <c r="E53" i="4"/>
  <c r="F52" i="4"/>
  <c r="E52" i="4"/>
  <c r="F51" i="4"/>
  <c r="E51" i="4"/>
  <c r="E50" i="4"/>
  <c r="F50" i="4"/>
  <c r="A50" i="4"/>
  <c r="A51" i="4" s="1"/>
  <c r="A52" i="4" s="1"/>
  <c r="A53" i="4" s="1"/>
  <c r="A54" i="4" s="1"/>
  <c r="A55" i="4" s="1"/>
  <c r="F49" i="4"/>
  <c r="E49" i="4"/>
  <c r="E40" i="4"/>
  <c r="F40" i="4" s="1"/>
  <c r="D38" i="4"/>
  <c r="D41" i="4" s="1"/>
  <c r="C38" i="4"/>
  <c r="C41" i="4"/>
  <c r="E37" i="4"/>
  <c r="F37" i="4" s="1"/>
  <c r="E36" i="4"/>
  <c r="F36" i="4" s="1"/>
  <c r="F33" i="4"/>
  <c r="E33" i="4"/>
  <c r="E32" i="4"/>
  <c r="F32" i="4" s="1"/>
  <c r="F31" i="4"/>
  <c r="E31" i="4"/>
  <c r="D29" i="4"/>
  <c r="C29" i="4"/>
  <c r="E28" i="4"/>
  <c r="F28" i="4" s="1"/>
  <c r="F27" i="4"/>
  <c r="E27" i="4"/>
  <c r="F26" i="4"/>
  <c r="E26" i="4"/>
  <c r="F25" i="4"/>
  <c r="E25" i="4"/>
  <c r="D22" i="4"/>
  <c r="C22" i="4"/>
  <c r="C43" i="4"/>
  <c r="F21" i="4"/>
  <c r="E21" i="4"/>
  <c r="F20" i="4"/>
  <c r="E20" i="4"/>
  <c r="E19" i="4"/>
  <c r="F19" i="4" s="1"/>
  <c r="F18" i="4"/>
  <c r="E18" i="4"/>
  <c r="F17" i="4"/>
  <c r="E17" i="4"/>
  <c r="F16" i="4"/>
  <c r="E16" i="4"/>
  <c r="E15" i="4"/>
  <c r="F15" i="4" s="1"/>
  <c r="E14" i="4"/>
  <c r="F14" i="4" s="1"/>
  <c r="E13" i="4"/>
  <c r="F13" i="4" s="1"/>
  <c r="E109" i="22"/>
  <c r="E108" i="22"/>
  <c r="D22" i="22"/>
  <c r="C23" i="22"/>
  <c r="E23" i="22"/>
  <c r="D33" i="22"/>
  <c r="C34" i="22"/>
  <c r="E34" i="22"/>
  <c r="E102" i="22"/>
  <c r="C22" i="22"/>
  <c r="E22" i="22"/>
  <c r="D23" i="22"/>
  <c r="F21" i="21"/>
  <c r="F20" i="20"/>
  <c r="E19" i="20"/>
  <c r="F19" i="20" s="1"/>
  <c r="E43" i="20"/>
  <c r="C38" i="19"/>
  <c r="C127" i="19" s="1"/>
  <c r="C129" i="19" s="1"/>
  <c r="C133" i="19" s="1"/>
  <c r="F294" i="17"/>
  <c r="E295" i="17"/>
  <c r="F295" i="17" s="1"/>
  <c r="E296" i="17"/>
  <c r="E297" i="17"/>
  <c r="E298" i="17"/>
  <c r="E299" i="17"/>
  <c r="C22" i="19"/>
  <c r="E33" i="18"/>
  <c r="D258" i="18"/>
  <c r="D101" i="18"/>
  <c r="D99" i="18"/>
  <c r="D97" i="18"/>
  <c r="D95" i="18"/>
  <c r="D88" i="18"/>
  <c r="D86" i="18"/>
  <c r="D84" i="18"/>
  <c r="D100" i="18"/>
  <c r="D98" i="18"/>
  <c r="D96" i="18"/>
  <c r="D89" i="18"/>
  <c r="D87" i="18"/>
  <c r="D85" i="18"/>
  <c r="D83" i="18"/>
  <c r="E43" i="18"/>
  <c r="E76" i="17"/>
  <c r="F76" i="17" s="1"/>
  <c r="D181" i="17"/>
  <c r="E181" i="17" s="1"/>
  <c r="D267" i="17"/>
  <c r="C283" i="18"/>
  <c r="E283" i="18" s="1"/>
  <c r="E21" i="18"/>
  <c r="D22" i="18"/>
  <c r="E37" i="18"/>
  <c r="D66" i="18"/>
  <c r="D241" i="18"/>
  <c r="E32" i="18"/>
  <c r="D295" i="18"/>
  <c r="E36" i="18"/>
  <c r="E54" i="18"/>
  <c r="C289" i="18"/>
  <c r="C71" i="18"/>
  <c r="C76" i="18" s="1"/>
  <c r="C65" i="18"/>
  <c r="E65" i="18" s="1"/>
  <c r="E60" i="18"/>
  <c r="E70" i="18"/>
  <c r="E289" i="18"/>
  <c r="C144" i="18"/>
  <c r="C145" i="18" s="1"/>
  <c r="C181" i="18" s="1"/>
  <c r="C175" i="18"/>
  <c r="C261" i="18"/>
  <c r="E261" i="18" s="1"/>
  <c r="C189" i="18"/>
  <c r="E189" i="18" s="1"/>
  <c r="E188" i="18"/>
  <c r="D260" i="18"/>
  <c r="E195" i="18"/>
  <c r="D239" i="18"/>
  <c r="E239" i="18" s="1"/>
  <c r="E220" i="18"/>
  <c r="D253" i="18"/>
  <c r="D254" i="18" s="1"/>
  <c r="E302" i="18"/>
  <c r="C303" i="18"/>
  <c r="E139" i="18"/>
  <c r="C229" i="18"/>
  <c r="C210" i="18"/>
  <c r="E205" i="18"/>
  <c r="C240" i="18"/>
  <c r="E240" i="18"/>
  <c r="E216" i="18"/>
  <c r="C242" i="18"/>
  <c r="E242" i="18" s="1"/>
  <c r="C217" i="18"/>
  <c r="C241" i="18"/>
  <c r="E218" i="18"/>
  <c r="D243" i="18"/>
  <c r="E219" i="18"/>
  <c r="D222" i="18"/>
  <c r="E265" i="18"/>
  <c r="D326" i="18"/>
  <c r="E233" i="18"/>
  <c r="C32" i="17"/>
  <c r="E60" i="17"/>
  <c r="F60" i="17" s="1"/>
  <c r="C61" i="17"/>
  <c r="C21" i="17"/>
  <c r="E30" i="17"/>
  <c r="F30" i="17"/>
  <c r="E35" i="17"/>
  <c r="F35" i="17"/>
  <c r="C37" i="17"/>
  <c r="E47" i="17"/>
  <c r="F47" i="17"/>
  <c r="E52" i="17"/>
  <c r="F52" i="17" s="1"/>
  <c r="E58" i="17"/>
  <c r="F58" i="17" s="1"/>
  <c r="E66" i="17"/>
  <c r="F66" i="17" s="1"/>
  <c r="C68" i="17"/>
  <c r="E68" i="17"/>
  <c r="D207" i="17"/>
  <c r="D138" i="17"/>
  <c r="E146" i="17"/>
  <c r="F146" i="17"/>
  <c r="D21" i="17"/>
  <c r="D160" i="17"/>
  <c r="C90" i="17"/>
  <c r="F48" i="17"/>
  <c r="E53" i="17"/>
  <c r="F53" i="17" s="1"/>
  <c r="E59" i="17"/>
  <c r="F59" i="17"/>
  <c r="F67" i="17"/>
  <c r="D89" i="17"/>
  <c r="E89" i="17" s="1"/>
  <c r="F89" i="17" s="1"/>
  <c r="D102" i="17"/>
  <c r="D103" i="17" s="1"/>
  <c r="D104" i="17" s="1"/>
  <c r="D111" i="17"/>
  <c r="D192" i="17"/>
  <c r="D193" i="17" s="1"/>
  <c r="E123" i="17"/>
  <c r="F123" i="17"/>
  <c r="D124" i="17"/>
  <c r="D173" i="17"/>
  <c r="C124" i="17"/>
  <c r="E144" i="17"/>
  <c r="F144" i="17"/>
  <c r="E171" i="17"/>
  <c r="E179" i="17"/>
  <c r="C284" i="17"/>
  <c r="C279" i="17"/>
  <c r="C190" i="17"/>
  <c r="E190" i="17" s="1"/>
  <c r="C192" i="17"/>
  <c r="E192" i="17" s="1"/>
  <c r="C290" i="17"/>
  <c r="C274" i="17"/>
  <c r="E198" i="17"/>
  <c r="F198" i="17" s="1"/>
  <c r="C285" i="17"/>
  <c r="C269" i="17"/>
  <c r="C272" i="17" s="1"/>
  <c r="E204" i="17"/>
  <c r="F204" i="17"/>
  <c r="E226" i="17"/>
  <c r="F226" i="17"/>
  <c r="E229" i="17"/>
  <c r="F229" i="17" s="1"/>
  <c r="E237" i="17"/>
  <c r="F237" i="17"/>
  <c r="C239" i="17"/>
  <c r="E239" i="17" s="1"/>
  <c r="C306" i="17"/>
  <c r="E306" i="17" s="1"/>
  <c r="E250" i="17"/>
  <c r="F250" i="17"/>
  <c r="D277" i="17"/>
  <c r="D261" i="17"/>
  <c r="D214" i="17"/>
  <c r="D206" i="17"/>
  <c r="E206" i="17" s="1"/>
  <c r="F206" i="17" s="1"/>
  <c r="D278" i="17"/>
  <c r="D262" i="17"/>
  <c r="D215" i="17"/>
  <c r="D190" i="17"/>
  <c r="D280" i="17"/>
  <c r="D264" i="17"/>
  <c r="D200" i="17"/>
  <c r="C283" i="17"/>
  <c r="C267" i="17"/>
  <c r="E267" i="17"/>
  <c r="E203" i="17"/>
  <c r="F203" i="17"/>
  <c r="C205" i="17"/>
  <c r="C206" i="17"/>
  <c r="C214" i="17"/>
  <c r="E223" i="17"/>
  <c r="F223" i="17"/>
  <c r="E230" i="17"/>
  <c r="F230" i="17"/>
  <c r="E238" i="17"/>
  <c r="F238" i="17" s="1"/>
  <c r="C254" i="17"/>
  <c r="C255" i="17"/>
  <c r="C261" i="17"/>
  <c r="C262" i="17"/>
  <c r="C264" i="17"/>
  <c r="D290" i="17"/>
  <c r="E290" i="17"/>
  <c r="F290" i="17" s="1"/>
  <c r="D274" i="17"/>
  <c r="E274" i="17"/>
  <c r="F274" i="17" s="1"/>
  <c r="D199" i="17"/>
  <c r="E283" i="17"/>
  <c r="D285" i="17"/>
  <c r="D286" i="17" s="1"/>
  <c r="D269" i="17"/>
  <c r="E269" i="17"/>
  <c r="D205" i="17"/>
  <c r="F296" i="17"/>
  <c r="F297" i="17"/>
  <c r="F298" i="17"/>
  <c r="F299" i="17"/>
  <c r="E13" i="16"/>
  <c r="F13" i="16"/>
  <c r="E17" i="16"/>
  <c r="F17" i="16"/>
  <c r="E21" i="16"/>
  <c r="F21" i="16" s="1"/>
  <c r="E23" i="15"/>
  <c r="F23" i="15"/>
  <c r="E16" i="15"/>
  <c r="F16" i="15"/>
  <c r="E30" i="15"/>
  <c r="F30" i="15"/>
  <c r="E37" i="15"/>
  <c r="E45" i="15"/>
  <c r="F45" i="15" s="1"/>
  <c r="E50" i="15"/>
  <c r="E65" i="15"/>
  <c r="F65" i="15"/>
  <c r="E70" i="15"/>
  <c r="F70" i="15"/>
  <c r="E75" i="15"/>
  <c r="F75" i="15" s="1"/>
  <c r="E92" i="15"/>
  <c r="F92" i="15" s="1"/>
  <c r="E107" i="15"/>
  <c r="F107" i="15"/>
  <c r="F36" i="14"/>
  <c r="F38" i="14" s="1"/>
  <c r="F40" i="14" s="1"/>
  <c r="I31" i="14"/>
  <c r="I17" i="14"/>
  <c r="D31" i="14"/>
  <c r="F31" i="14"/>
  <c r="H31" i="14"/>
  <c r="C33" i="14"/>
  <c r="C36" i="14" s="1"/>
  <c r="C38" i="14" s="1"/>
  <c r="C40" i="14" s="1"/>
  <c r="E33" i="14"/>
  <c r="E36" i="14"/>
  <c r="E38" i="14"/>
  <c r="E40" i="14"/>
  <c r="G33" i="14"/>
  <c r="H17" i="14"/>
  <c r="D21" i="13"/>
  <c r="C21" i="13"/>
  <c r="C20" i="13"/>
  <c r="D15" i="13"/>
  <c r="C17" i="13"/>
  <c r="C28" i="13"/>
  <c r="E17" i="13"/>
  <c r="E28" i="13"/>
  <c r="E70" i="13" s="1"/>
  <c r="E72" i="13" s="1"/>
  <c r="D48" i="13"/>
  <c r="D42" i="13"/>
  <c r="C20" i="12"/>
  <c r="F47" i="12"/>
  <c r="D20" i="12"/>
  <c r="D34" i="12" s="1"/>
  <c r="E17" i="12"/>
  <c r="F17" i="12" s="1"/>
  <c r="E15" i="12"/>
  <c r="F15" i="12" s="1"/>
  <c r="D41" i="11"/>
  <c r="E41" i="11"/>
  <c r="F41" i="11"/>
  <c r="D65" i="11"/>
  <c r="D75" i="11" s="1"/>
  <c r="F122" i="10"/>
  <c r="E112" i="10"/>
  <c r="F112" i="10"/>
  <c r="E113" i="10"/>
  <c r="F113" i="10"/>
  <c r="F23" i="9"/>
  <c r="F36" i="9"/>
  <c r="F37" i="9"/>
  <c r="E50" i="9"/>
  <c r="F50" i="9"/>
  <c r="E63" i="9"/>
  <c r="E76" i="9"/>
  <c r="E88" i="9"/>
  <c r="F88" i="9" s="1"/>
  <c r="E115" i="9"/>
  <c r="F127" i="9"/>
  <c r="E140" i="9"/>
  <c r="E179" i="9"/>
  <c r="F199" i="9"/>
  <c r="E199" i="9"/>
  <c r="E201" i="9"/>
  <c r="F201" i="9" s="1"/>
  <c r="E203" i="9"/>
  <c r="F203" i="9" s="1"/>
  <c r="E205" i="9"/>
  <c r="F205" i="9" s="1"/>
  <c r="C208" i="9"/>
  <c r="E208" i="9" s="1"/>
  <c r="E49" i="9"/>
  <c r="F49" i="9"/>
  <c r="E62" i="9"/>
  <c r="E75" i="9"/>
  <c r="E101" i="9"/>
  <c r="F101" i="9"/>
  <c r="E114" i="9"/>
  <c r="F128" i="9"/>
  <c r="E128" i="9"/>
  <c r="E141" i="9"/>
  <c r="F141" i="9" s="1"/>
  <c r="E167" i="9"/>
  <c r="E180" i="9"/>
  <c r="E192" i="9"/>
  <c r="F192" i="9"/>
  <c r="E198" i="9"/>
  <c r="F198" i="9"/>
  <c r="E202" i="9"/>
  <c r="F202" i="9"/>
  <c r="E206" i="9"/>
  <c r="F206" i="9"/>
  <c r="C140" i="8"/>
  <c r="C138" i="8"/>
  <c r="C136" i="8"/>
  <c r="C141" i="8" s="1"/>
  <c r="C139" i="8"/>
  <c r="C137" i="8"/>
  <c r="C135" i="8"/>
  <c r="D157" i="8"/>
  <c r="D155" i="8"/>
  <c r="E20" i="8"/>
  <c r="D139" i="8"/>
  <c r="D137" i="8"/>
  <c r="D135" i="8"/>
  <c r="D140" i="8"/>
  <c r="D138" i="8"/>
  <c r="D136" i="8"/>
  <c r="D141" i="8" s="1"/>
  <c r="C157" i="8"/>
  <c r="C155" i="8"/>
  <c r="C153" i="8"/>
  <c r="C156" i="8"/>
  <c r="C154" i="8"/>
  <c r="C152" i="8"/>
  <c r="C17" i="8"/>
  <c r="E17" i="8"/>
  <c r="C43" i="8"/>
  <c r="E43" i="8"/>
  <c r="D49" i="8"/>
  <c r="C53" i="8"/>
  <c r="E53" i="8"/>
  <c r="D77" i="8"/>
  <c r="D71" i="8"/>
  <c r="C49" i="8"/>
  <c r="E49" i="8"/>
  <c r="E18" i="7"/>
  <c r="F18" i="7"/>
  <c r="E30" i="7"/>
  <c r="F30" i="7" s="1"/>
  <c r="E59" i="7"/>
  <c r="F24" i="7"/>
  <c r="F59" i="7"/>
  <c r="E90" i="7"/>
  <c r="F90" i="7" s="1"/>
  <c r="E121" i="7"/>
  <c r="F121" i="7" s="1"/>
  <c r="F167" i="7"/>
  <c r="E167" i="7"/>
  <c r="E84" i="6"/>
  <c r="F84" i="6" s="1"/>
  <c r="E16" i="5"/>
  <c r="F16" i="5" s="1"/>
  <c r="C18" i="5"/>
  <c r="E33" i="5"/>
  <c r="F33" i="5"/>
  <c r="E41" i="5"/>
  <c r="F41" i="5" s="1"/>
  <c r="E48" i="5"/>
  <c r="F48" i="5"/>
  <c r="F73" i="4"/>
  <c r="E22" i="4"/>
  <c r="F22" i="4" s="1"/>
  <c r="E38" i="4"/>
  <c r="F38" i="4"/>
  <c r="E56" i="4"/>
  <c r="F56" i="4"/>
  <c r="E61" i="4"/>
  <c r="F61" i="4" s="1"/>
  <c r="C53" i="22"/>
  <c r="C45" i="22"/>
  <c r="C39" i="22"/>
  <c r="C35" i="22"/>
  <c r="C29" i="22"/>
  <c r="C54" i="22"/>
  <c r="C46" i="22"/>
  <c r="C40" i="22"/>
  <c r="C36" i="22"/>
  <c r="C30" i="22"/>
  <c r="E35" i="22"/>
  <c r="E29" i="22"/>
  <c r="E111" i="22"/>
  <c r="E54" i="22"/>
  <c r="E46" i="22"/>
  <c r="E40" i="22"/>
  <c r="E36" i="22"/>
  <c r="E30" i="22"/>
  <c r="E38" i="22" s="1"/>
  <c r="D110" i="22"/>
  <c r="D53" i="22"/>
  <c r="D45" i="22"/>
  <c r="D39" i="22"/>
  <c r="D35" i="22"/>
  <c r="D29" i="22"/>
  <c r="D37" i="22" s="1"/>
  <c r="D270" i="17"/>
  <c r="F43" i="20"/>
  <c r="C259" i="18"/>
  <c r="C263" i="18" s="1"/>
  <c r="C77" i="18"/>
  <c r="C123" i="18" s="1"/>
  <c r="D90" i="17"/>
  <c r="E90" i="17"/>
  <c r="F90" i="17"/>
  <c r="E326" i="18"/>
  <c r="D330" i="18"/>
  <c r="E330" i="18" s="1"/>
  <c r="D306" i="18"/>
  <c r="D252" i="18"/>
  <c r="D284" i="18"/>
  <c r="E284" i="18"/>
  <c r="E22" i="18"/>
  <c r="D246" i="18"/>
  <c r="C234" i="18"/>
  <c r="C211" i="18"/>
  <c r="C235" i="18"/>
  <c r="E260" i="18"/>
  <c r="C180" i="18"/>
  <c r="E217" i="18"/>
  <c r="D102" i="18"/>
  <c r="C300" i="17"/>
  <c r="F283" i="17"/>
  <c r="D255" i="17"/>
  <c r="E255" i="17"/>
  <c r="F255" i="17"/>
  <c r="E215" i="17"/>
  <c r="F215" i="17"/>
  <c r="E278" i="17"/>
  <c r="F278" i="17" s="1"/>
  <c r="D288" i="17"/>
  <c r="D289" i="17" s="1"/>
  <c r="E277" i="17"/>
  <c r="F277" i="17"/>
  <c r="D287" i="17"/>
  <c r="D291" i="17" s="1"/>
  <c r="D284" i="17"/>
  <c r="E284" i="17" s="1"/>
  <c r="F284" i="17" s="1"/>
  <c r="D279" i="17"/>
  <c r="E279" i="17"/>
  <c r="F279" i="17" s="1"/>
  <c r="F239" i="17"/>
  <c r="F190" i="17"/>
  <c r="C287" i="17"/>
  <c r="D125" i="17"/>
  <c r="D161" i="17"/>
  <c r="D49" i="17"/>
  <c r="D126" i="17"/>
  <c r="D127" i="17" s="1"/>
  <c r="D91" i="17"/>
  <c r="E21" i="17"/>
  <c r="F21" i="17"/>
  <c r="D139" i="17"/>
  <c r="C271" i="17"/>
  <c r="C268" i="17"/>
  <c r="C263" i="17"/>
  <c r="C270" i="17"/>
  <c r="F267" i="17"/>
  <c r="D194" i="17"/>
  <c r="D271" i="17"/>
  <c r="E271" i="17" s="1"/>
  <c r="F271" i="17" s="1"/>
  <c r="D268" i="17"/>
  <c r="E268" i="17" s="1"/>
  <c r="F268" i="17" s="1"/>
  <c r="D263" i="17"/>
  <c r="E261" i="17"/>
  <c r="F261" i="17"/>
  <c r="D208" i="17"/>
  <c r="F68" i="17"/>
  <c r="D174" i="17"/>
  <c r="C91" i="17"/>
  <c r="C49" i="17"/>
  <c r="F49" i="17" s="1"/>
  <c r="E37" i="17"/>
  <c r="F37" i="17"/>
  <c r="E61" i="17"/>
  <c r="F61" i="17"/>
  <c r="H33" i="14"/>
  <c r="H36" i="14" s="1"/>
  <c r="H38" i="14" s="1"/>
  <c r="H40" i="14" s="1"/>
  <c r="E20" i="12"/>
  <c r="C34" i="12"/>
  <c r="C42" i="12" s="1"/>
  <c r="D43" i="11"/>
  <c r="E43" i="11" s="1"/>
  <c r="F43" i="11"/>
  <c r="C158" i="8"/>
  <c r="C21" i="5"/>
  <c r="D55" i="22"/>
  <c r="D47" i="22"/>
  <c r="C56" i="22"/>
  <c r="C48" i="22"/>
  <c r="C38" i="22"/>
  <c r="E112" i="22"/>
  <c r="C55" i="22"/>
  <c r="C47" i="22"/>
  <c r="C37" i="22"/>
  <c r="D310" i="18"/>
  <c r="C127" i="18"/>
  <c r="C125" i="18"/>
  <c r="C121" i="18"/>
  <c r="C114" i="18"/>
  <c r="C112" i="18"/>
  <c r="C110" i="18"/>
  <c r="C116" i="18" s="1"/>
  <c r="C124" i="18"/>
  <c r="C122" i="18"/>
  <c r="C115" i="18"/>
  <c r="C113" i="18"/>
  <c r="C111" i="18"/>
  <c r="C109" i="18"/>
  <c r="C50" i="17"/>
  <c r="D162" i="17"/>
  <c r="E287" i="17"/>
  <c r="F287" i="17" s="1"/>
  <c r="C92" i="17"/>
  <c r="E270" i="17"/>
  <c r="F270" i="17"/>
  <c r="E91" i="17"/>
  <c r="F91" i="17"/>
  <c r="D92" i="17"/>
  <c r="D50" i="17"/>
  <c r="E50" i="17" s="1"/>
  <c r="E49" i="17"/>
  <c r="D42" i="12"/>
  <c r="D49" i="12" s="1"/>
  <c r="E49" i="12" s="1"/>
  <c r="E34" i="12"/>
  <c r="F34" i="12"/>
  <c r="C35" i="5"/>
  <c r="E92" i="17"/>
  <c r="F92" i="17"/>
  <c r="D305" i="17"/>
  <c r="C49" i="12"/>
  <c r="F49" i="12" s="1"/>
  <c r="C43" i="5"/>
  <c r="D309" i="17"/>
  <c r="F263" i="17" l="1"/>
  <c r="C273" i="17"/>
  <c r="E28" i="8"/>
  <c r="E112" i="8"/>
  <c r="E111" i="8" s="1"/>
  <c r="C207" i="9"/>
  <c r="E200" i="9"/>
  <c r="F200" i="9"/>
  <c r="E36" i="10"/>
  <c r="F36" i="10"/>
  <c r="C98" i="18"/>
  <c r="E98" i="18" s="1"/>
  <c r="C95" i="18"/>
  <c r="C96" i="18"/>
  <c r="C88" i="18"/>
  <c r="E88" i="18" s="1"/>
  <c r="C100" i="18"/>
  <c r="E100" i="18" s="1"/>
  <c r="C97" i="18"/>
  <c r="E97" i="18" s="1"/>
  <c r="C84" i="18"/>
  <c r="C258" i="18"/>
  <c r="C89" i="18"/>
  <c r="E89" i="18" s="1"/>
  <c r="C83" i="18"/>
  <c r="C101" i="18"/>
  <c r="E101" i="18" s="1"/>
  <c r="C86" i="18"/>
  <c r="E86" i="18" s="1"/>
  <c r="D209" i="17"/>
  <c r="C28" i="8"/>
  <c r="C99" i="8" s="1"/>
  <c r="C101" i="8" s="1"/>
  <c r="C98" i="8" s="1"/>
  <c r="C112" i="8"/>
  <c r="C111" i="8" s="1"/>
  <c r="C125" i="17"/>
  <c r="F124" i="17"/>
  <c r="C62" i="17"/>
  <c r="F41" i="7"/>
  <c r="E157" i="8"/>
  <c r="E156" i="8"/>
  <c r="E152" i="8"/>
  <c r="E153" i="8"/>
  <c r="F214" i="17"/>
  <c r="C216" i="17"/>
  <c r="C304" i="17"/>
  <c r="F50" i="17"/>
  <c r="C126" i="17"/>
  <c r="D195" i="17"/>
  <c r="D196" i="17"/>
  <c r="E102" i="17"/>
  <c r="E155" i="8"/>
  <c r="E214" i="17"/>
  <c r="D254" i="17"/>
  <c r="D216" i="17"/>
  <c r="C99" i="18"/>
  <c r="E99" i="18" s="1"/>
  <c r="D43" i="4"/>
  <c r="E43" i="4" s="1"/>
  <c r="F43" i="4" s="1"/>
  <c r="E29" i="4"/>
  <c r="F29" i="4" s="1"/>
  <c r="E41" i="4"/>
  <c r="F41" i="4" s="1"/>
  <c r="E100" i="15"/>
  <c r="F100" i="15"/>
  <c r="C137" i="17"/>
  <c r="E136" i="17"/>
  <c r="F136" i="17" s="1"/>
  <c r="C50" i="5"/>
  <c r="C112" i="22"/>
  <c r="C22" i="13"/>
  <c r="C70" i="13"/>
  <c r="C72" i="13" s="1"/>
  <c r="C69" i="13" s="1"/>
  <c r="G36" i="14"/>
  <c r="G38" i="14" s="1"/>
  <c r="G40" i="14" s="1"/>
  <c r="I33" i="14"/>
  <c r="I36" i="14" s="1"/>
  <c r="I38" i="14" s="1"/>
  <c r="I40" i="14" s="1"/>
  <c r="E205" i="17"/>
  <c r="F205" i="17"/>
  <c r="D300" i="17"/>
  <c r="E300" i="17" s="1"/>
  <c r="D265" i="17"/>
  <c r="C306" i="18"/>
  <c r="E303" i="18"/>
  <c r="C85" i="18"/>
  <c r="E85" i="18" s="1"/>
  <c r="D40" i="22"/>
  <c r="D36" i="22"/>
  <c r="D30" i="22"/>
  <c r="D46" i="22"/>
  <c r="E41" i="6"/>
  <c r="F41" i="6" s="1"/>
  <c r="D52" i="6"/>
  <c r="E52" i="6" s="1"/>
  <c r="C95" i="6"/>
  <c r="E85" i="6"/>
  <c r="F85" i="6" s="1"/>
  <c r="D109" i="22"/>
  <c r="D108" i="22"/>
  <c r="D112" i="22"/>
  <c r="E263" i="17"/>
  <c r="F300" i="17"/>
  <c r="E47" i="22"/>
  <c r="E37" i="22"/>
  <c r="E55" i="22"/>
  <c r="F204" i="9"/>
  <c r="F20" i="12"/>
  <c r="D282" i="17"/>
  <c r="D266" i="17"/>
  <c r="C104" i="17"/>
  <c r="E104" i="17" s="1"/>
  <c r="C87" i="18"/>
  <c r="E87" i="18" s="1"/>
  <c r="E53" i="22"/>
  <c r="E45" i="22"/>
  <c r="E39" i="22"/>
  <c r="E110" i="22"/>
  <c r="E65" i="4"/>
  <c r="F65" i="4" s="1"/>
  <c r="E42" i="6"/>
  <c r="F42" i="6"/>
  <c r="E179" i="6"/>
  <c r="F179" i="6"/>
  <c r="E183" i="7"/>
  <c r="F183" i="7" s="1"/>
  <c r="C188" i="7"/>
  <c r="D156" i="8"/>
  <c r="D154" i="8"/>
  <c r="D152" i="8"/>
  <c r="D153" i="8"/>
  <c r="E89" i="9"/>
  <c r="F89" i="9"/>
  <c r="C103" i="17"/>
  <c r="F102" i="17"/>
  <c r="D17" i="13"/>
  <c r="D28" i="13" s="1"/>
  <c r="D24" i="13"/>
  <c r="E103" i="17"/>
  <c r="E84" i="18"/>
  <c r="D90" i="18"/>
  <c r="C117" i="18"/>
  <c r="E289" i="17"/>
  <c r="F35" i="7"/>
  <c r="E285" i="17"/>
  <c r="F285" i="17" s="1"/>
  <c r="D272" i="17"/>
  <c r="E272" i="17" s="1"/>
  <c r="F272" i="17" s="1"/>
  <c r="E262" i="17"/>
  <c r="F262" i="17" s="1"/>
  <c r="E241" i="18"/>
  <c r="D101" i="22"/>
  <c r="D103" i="22" s="1"/>
  <c r="F111" i="6"/>
  <c r="F140" i="9"/>
  <c r="F154" i="9"/>
  <c r="E154" i="9"/>
  <c r="F193" i="9"/>
  <c r="E193" i="9"/>
  <c r="C193" i="17"/>
  <c r="F158" i="17"/>
  <c r="C159" i="17"/>
  <c r="E158" i="17"/>
  <c r="E151" i="18"/>
  <c r="D163" i="18"/>
  <c r="E163" i="18" s="1"/>
  <c r="D156" i="18"/>
  <c r="E126" i="17"/>
  <c r="E42" i="12"/>
  <c r="F42" i="12" s="1"/>
  <c r="D111" i="22"/>
  <c r="E154" i="8"/>
  <c r="F208" i="9"/>
  <c r="F269" i="17"/>
  <c r="D15" i="8"/>
  <c r="D25" i="8"/>
  <c r="D27" i="8" s="1"/>
  <c r="D20" i="13"/>
  <c r="E42" i="13"/>
  <c r="E31" i="17"/>
  <c r="F31" i="17" s="1"/>
  <c r="D32" i="17"/>
  <c r="C289" i="17"/>
  <c r="F192" i="17"/>
  <c r="D103" i="18"/>
  <c r="E113" i="22"/>
  <c r="E56" i="22"/>
  <c r="E48" i="22"/>
  <c r="E44" i="18"/>
  <c r="D304" i="17"/>
  <c r="C22" i="8"/>
  <c r="E264" i="17"/>
  <c r="F264" i="17" s="1"/>
  <c r="D54" i="22"/>
  <c r="C21" i="8"/>
  <c r="C286" i="17"/>
  <c r="C288" i="17"/>
  <c r="E124" i="17"/>
  <c r="E18" i="5"/>
  <c r="F18" i="5" s="1"/>
  <c r="D21" i="5"/>
  <c r="F52" i="6"/>
  <c r="F93" i="6"/>
  <c r="E93" i="6"/>
  <c r="E73" i="11"/>
  <c r="F73" i="11"/>
  <c r="C126" i="18"/>
  <c r="C128" i="18" s="1"/>
  <c r="C129" i="18" s="1"/>
  <c r="F43" i="6"/>
  <c r="C95" i="7"/>
  <c r="E95" i="7" s="1"/>
  <c r="F191" i="17"/>
  <c r="C200" i="17"/>
  <c r="C280" i="17"/>
  <c r="E40" i="18"/>
  <c r="C75" i="4"/>
  <c r="F49" i="6"/>
  <c r="E95" i="6"/>
  <c r="E215" i="18"/>
  <c r="D223" i="18"/>
  <c r="F19" i="21"/>
  <c r="F137" i="6"/>
  <c r="F166" i="6"/>
  <c r="D188" i="7"/>
  <c r="E188" i="7" s="1"/>
  <c r="E88" i="8"/>
  <c r="E90" i="8" s="1"/>
  <c r="E86" i="8" s="1"/>
  <c r="F117" i="10"/>
  <c r="E137" i="17"/>
  <c r="D316" i="18"/>
  <c r="E314" i="18"/>
  <c r="C39" i="20"/>
  <c r="E39" i="20" s="1"/>
  <c r="E41" i="20" s="1"/>
  <c r="F25" i="20"/>
  <c r="E149" i="8"/>
  <c r="F101" i="17"/>
  <c r="C245" i="18"/>
  <c r="E221" i="18"/>
  <c r="D41" i="20"/>
  <c r="F91" i="6"/>
  <c r="F171" i="17"/>
  <c r="C172" i="17"/>
  <c r="C243" i="18"/>
  <c r="C252" i="18" s="1"/>
  <c r="C222" i="18"/>
  <c r="C46" i="20"/>
  <c r="C294" i="18"/>
  <c r="E294" i="18" s="1"/>
  <c r="F95" i="10"/>
  <c r="E121" i="10"/>
  <c r="F121" i="10" s="1"/>
  <c r="F119" i="10"/>
  <c r="E25" i="13"/>
  <c r="E27" i="13" s="1"/>
  <c r="D144" i="18"/>
  <c r="D175" i="18"/>
  <c r="E175" i="18" s="1"/>
  <c r="C65" i="19"/>
  <c r="C114" i="19" s="1"/>
  <c r="C116" i="19" s="1"/>
  <c r="C119" i="19" s="1"/>
  <c r="C123" i="19" s="1"/>
  <c r="C77" i="22"/>
  <c r="E47" i="10"/>
  <c r="F22" i="11"/>
  <c r="E61" i="11"/>
  <c r="F61" i="11" s="1"/>
  <c r="C65" i="11"/>
  <c r="E159" i="17"/>
  <c r="E207" i="9"/>
  <c r="E101" i="17"/>
  <c r="E164" i="18"/>
  <c r="D229" i="18"/>
  <c r="E229" i="18" s="1"/>
  <c r="D210" i="18"/>
  <c r="E45" i="20"/>
  <c r="E46" i="20" s="1"/>
  <c r="C66" i="18"/>
  <c r="D43" i="8"/>
  <c r="F115" i="10"/>
  <c r="F85" i="17"/>
  <c r="E88" i="17"/>
  <c r="F88" i="17" s="1"/>
  <c r="F109" i="17"/>
  <c r="C111" i="17"/>
  <c r="E111" i="17" s="1"/>
  <c r="E164" i="17"/>
  <c r="E227" i="17"/>
  <c r="F227" i="17" s="1"/>
  <c r="F23" i="17"/>
  <c r="F38" i="11"/>
  <c r="F189" i="17"/>
  <c r="C199" i="17"/>
  <c r="C156" i="18"/>
  <c r="F96" i="10"/>
  <c r="F116" i="10"/>
  <c r="F118" i="10"/>
  <c r="F120" i="10"/>
  <c r="F40" i="12"/>
  <c r="F110" i="17"/>
  <c r="F120" i="17"/>
  <c r="D71" i="18"/>
  <c r="D21" i="8" l="1"/>
  <c r="D20" i="8"/>
  <c r="C109" i="22"/>
  <c r="C110" i="22"/>
  <c r="C111" i="22"/>
  <c r="C108" i="22"/>
  <c r="C113" i="22"/>
  <c r="E222" i="18"/>
  <c r="C246" i="18"/>
  <c r="E246" i="18" s="1"/>
  <c r="C223" i="18"/>
  <c r="C247" i="18" s="1"/>
  <c r="C253" i="18"/>
  <c r="E253" i="18" s="1"/>
  <c r="E245" i="18"/>
  <c r="E286" i="17"/>
  <c r="F286" i="17"/>
  <c r="C310" i="18"/>
  <c r="E310" i="18" s="1"/>
  <c r="E306" i="18"/>
  <c r="E200" i="17"/>
  <c r="F200" i="17" s="1"/>
  <c r="F207" i="9"/>
  <c r="E252" i="18"/>
  <c r="C254" i="18"/>
  <c r="E254" i="18" s="1"/>
  <c r="E158" i="8"/>
  <c r="E96" i="18"/>
  <c r="C102" i="18"/>
  <c r="E102" i="18" s="1"/>
  <c r="C75" i="11"/>
  <c r="E65" i="11"/>
  <c r="F65" i="11" s="1"/>
  <c r="E21" i="13"/>
  <c r="E20" i="13"/>
  <c r="E22" i="13"/>
  <c r="E172" i="17"/>
  <c r="C173" i="17"/>
  <c r="F172" i="17"/>
  <c r="E140" i="8"/>
  <c r="E138" i="8"/>
  <c r="E136" i="8"/>
  <c r="E135" i="8"/>
  <c r="E139" i="8"/>
  <c r="E137" i="8"/>
  <c r="F95" i="7"/>
  <c r="F159" i="17"/>
  <c r="C160" i="17"/>
  <c r="C161" i="17"/>
  <c r="D158" i="8"/>
  <c r="E125" i="17"/>
  <c r="F125" i="17" s="1"/>
  <c r="E83" i="18"/>
  <c r="E95" i="18"/>
  <c r="D48" i="22"/>
  <c r="D38" i="22"/>
  <c r="D56" i="22"/>
  <c r="D113" i="22"/>
  <c r="D197" i="17"/>
  <c r="D76" i="18"/>
  <c r="E71" i="18"/>
  <c r="D310" i="17"/>
  <c r="E304" i="17"/>
  <c r="F304" i="17" s="1"/>
  <c r="D17" i="8"/>
  <c r="D24" i="8"/>
  <c r="F45" i="20"/>
  <c r="C131" i="18"/>
  <c r="F188" i="7"/>
  <c r="E266" i="17"/>
  <c r="F137" i="17"/>
  <c r="C207" i="17"/>
  <c r="C138" i="17"/>
  <c r="E216" i="17"/>
  <c r="F126" i="17"/>
  <c r="C127" i="17"/>
  <c r="C63" i="17"/>
  <c r="C90" i="18"/>
  <c r="E90" i="18" s="1"/>
  <c r="D168" i="18"/>
  <c r="D145" i="18"/>
  <c r="D180" i="18"/>
  <c r="E180" i="18" s="1"/>
  <c r="E144" i="18"/>
  <c r="D211" i="18"/>
  <c r="D234" i="18"/>
  <c r="E234" i="18" s="1"/>
  <c r="E210" i="18"/>
  <c r="D70" i="13"/>
  <c r="D72" i="13" s="1"/>
  <c r="D69" i="13" s="1"/>
  <c r="D22" i="13"/>
  <c r="F216" i="17"/>
  <c r="E243" i="18"/>
  <c r="C266" i="17"/>
  <c r="C282" i="17"/>
  <c r="C194" i="17"/>
  <c r="E258" i="18"/>
  <c r="C264" i="18"/>
  <c r="C266" i="18" s="1"/>
  <c r="C267" i="18"/>
  <c r="D320" i="18"/>
  <c r="E320" i="18" s="1"/>
  <c r="E316" i="18"/>
  <c r="F289" i="17"/>
  <c r="E156" i="18"/>
  <c r="D157" i="18"/>
  <c r="E157" i="18" s="1"/>
  <c r="D273" i="17"/>
  <c r="E273" i="17" s="1"/>
  <c r="F273" i="17" s="1"/>
  <c r="F103" i="17"/>
  <c r="E193" i="17"/>
  <c r="F193" i="17" s="1"/>
  <c r="E254" i="17"/>
  <c r="F254" i="17" s="1"/>
  <c r="C295" i="18"/>
  <c r="E295" i="18" s="1"/>
  <c r="E66" i="18"/>
  <c r="F111" i="17"/>
  <c r="F104" i="17"/>
  <c r="E99" i="8"/>
  <c r="E101" i="8" s="1"/>
  <c r="E98" i="8" s="1"/>
  <c r="E22" i="8"/>
  <c r="C157" i="18"/>
  <c r="C169" i="18" s="1"/>
  <c r="C168" i="18"/>
  <c r="C41" i="20"/>
  <c r="F41" i="20" s="1"/>
  <c r="F39" i="20"/>
  <c r="D35" i="5"/>
  <c r="E21" i="5"/>
  <c r="F21" i="5" s="1"/>
  <c r="E199" i="17"/>
  <c r="F199" i="17"/>
  <c r="D247" i="18"/>
  <c r="F46" i="20"/>
  <c r="C281" i="17"/>
  <c r="E280" i="17"/>
  <c r="F280" i="17"/>
  <c r="E288" i="17"/>
  <c r="F288" i="17"/>
  <c r="C291" i="17"/>
  <c r="D105" i="17"/>
  <c r="D210" i="17"/>
  <c r="D175" i="17"/>
  <c r="E32" i="17"/>
  <c r="F32" i="17" s="1"/>
  <c r="D140" i="17"/>
  <c r="D62" i="17"/>
  <c r="D91" i="18"/>
  <c r="E282" i="17"/>
  <c r="D281" i="17"/>
  <c r="F95" i="6"/>
  <c r="C105" i="17"/>
  <c r="E75" i="4"/>
  <c r="F75" i="4" s="1"/>
  <c r="D43" i="5" l="1"/>
  <c r="E35" i="5"/>
  <c r="F35" i="5" s="1"/>
  <c r="D112" i="8"/>
  <c r="D111" i="8" s="1"/>
  <c r="D28" i="8"/>
  <c r="D211" i="17"/>
  <c r="D105" i="18"/>
  <c r="E247" i="18"/>
  <c r="E211" i="18"/>
  <c r="D235" i="18"/>
  <c r="E235" i="18" s="1"/>
  <c r="C70" i="17"/>
  <c r="D63" i="17"/>
  <c r="E62" i="17"/>
  <c r="F62" i="17" s="1"/>
  <c r="E127" i="17"/>
  <c r="F127" i="17" s="1"/>
  <c r="D77" i="18"/>
  <c r="E76" i="18"/>
  <c r="D259" i="18"/>
  <c r="E75" i="11"/>
  <c r="F75" i="11" s="1"/>
  <c r="D141" i="17"/>
  <c r="C268" i="18"/>
  <c r="C269" i="18"/>
  <c r="D181" i="18"/>
  <c r="E181" i="18" s="1"/>
  <c r="E145" i="18"/>
  <c r="D169" i="18"/>
  <c r="E169" i="18" s="1"/>
  <c r="C91" i="18"/>
  <c r="E173" i="17"/>
  <c r="F173" i="17"/>
  <c r="C174" i="17"/>
  <c r="C175" i="17"/>
  <c r="C106" i="17"/>
  <c r="F105" i="17"/>
  <c r="E168" i="18"/>
  <c r="C195" i="17"/>
  <c r="C196" i="17"/>
  <c r="E194" i="17"/>
  <c r="F194" i="17"/>
  <c r="C208" i="17"/>
  <c r="F207" i="17"/>
  <c r="E207" i="17"/>
  <c r="E105" i="17"/>
  <c r="D106" i="17"/>
  <c r="E223" i="18"/>
  <c r="F282" i="17"/>
  <c r="D312" i="17"/>
  <c r="E138" i="17"/>
  <c r="F138" i="17" s="1"/>
  <c r="C139" i="17"/>
  <c r="C140" i="17"/>
  <c r="D176" i="17"/>
  <c r="E281" i="17"/>
  <c r="F281" i="17" s="1"/>
  <c r="E141" i="8"/>
  <c r="C305" i="17"/>
  <c r="E291" i="17"/>
  <c r="F291" i="17" s="1"/>
  <c r="C162" i="17"/>
  <c r="E161" i="17"/>
  <c r="F161" i="17" s="1"/>
  <c r="F266" i="17"/>
  <c r="C265" i="17"/>
  <c r="C103" i="18"/>
  <c r="E103" i="18" s="1"/>
  <c r="E160" i="17"/>
  <c r="F160" i="17"/>
  <c r="C176" i="17" l="1"/>
  <c r="F176" i="17" s="1"/>
  <c r="D99" i="8"/>
  <c r="D101" i="8" s="1"/>
  <c r="D98" i="8" s="1"/>
  <c r="D22" i="8"/>
  <c r="F162" i="17"/>
  <c r="E162" i="17"/>
  <c r="C141" i="17"/>
  <c r="E195" i="17"/>
  <c r="F195" i="17" s="1"/>
  <c r="E141" i="17"/>
  <c r="D322" i="17"/>
  <c r="D148" i="17"/>
  <c r="E139" i="17"/>
  <c r="F139" i="17" s="1"/>
  <c r="C105" i="18"/>
  <c r="C197" i="17"/>
  <c r="E91" i="18"/>
  <c r="E105" i="18"/>
  <c r="D313" i="17"/>
  <c r="D115" i="18"/>
  <c r="E115" i="18" s="1"/>
  <c r="D114" i="18"/>
  <c r="E114" i="18" s="1"/>
  <c r="D113" i="18"/>
  <c r="E113" i="18" s="1"/>
  <c r="D112" i="18"/>
  <c r="E112" i="18" s="1"/>
  <c r="D122" i="18"/>
  <c r="D121" i="18"/>
  <c r="D123" i="18"/>
  <c r="E123" i="18" s="1"/>
  <c r="D110" i="18"/>
  <c r="D126" i="18"/>
  <c r="E126" i="18" s="1"/>
  <c r="D109" i="18"/>
  <c r="D125" i="18"/>
  <c r="E125" i="18" s="1"/>
  <c r="E77" i="18"/>
  <c r="D124" i="18"/>
  <c r="E124" i="18" s="1"/>
  <c r="D111" i="18"/>
  <c r="E111" i="18" s="1"/>
  <c r="D127" i="18"/>
  <c r="E127" i="18" s="1"/>
  <c r="F305" i="17"/>
  <c r="E305" i="17"/>
  <c r="C309" i="17"/>
  <c r="D263" i="18"/>
  <c r="E259" i="18"/>
  <c r="E63" i="17"/>
  <c r="F63" i="17" s="1"/>
  <c r="D70" i="17"/>
  <c r="E70" i="17" s="1"/>
  <c r="F70" i="17" s="1"/>
  <c r="E265" i="17"/>
  <c r="F265" i="17" s="1"/>
  <c r="E208" i="17"/>
  <c r="F208" i="17" s="1"/>
  <c r="C210" i="17"/>
  <c r="C209" i="17"/>
  <c r="C324" i="17"/>
  <c r="C113" i="17"/>
  <c r="D323" i="17"/>
  <c r="D183" i="17"/>
  <c r="E174" i="17"/>
  <c r="F174" i="17"/>
  <c r="C271" i="18"/>
  <c r="E175" i="17"/>
  <c r="F175" i="17" s="1"/>
  <c r="E196" i="17"/>
  <c r="F196" i="17" s="1"/>
  <c r="E140" i="17"/>
  <c r="F140" i="17" s="1"/>
  <c r="D113" i="17"/>
  <c r="E113" i="17" s="1"/>
  <c r="E106" i="17"/>
  <c r="F106" i="17" s="1"/>
  <c r="D324" i="17"/>
  <c r="D50" i="5"/>
  <c r="E50" i="5" s="1"/>
  <c r="F50" i="5" s="1"/>
  <c r="E43" i="5"/>
  <c r="F43" i="5" s="1"/>
  <c r="D325" i="17" l="1"/>
  <c r="E324" i="17"/>
  <c r="F324" i="17" s="1"/>
  <c r="E210" i="17"/>
  <c r="F210" i="17" s="1"/>
  <c r="D264" i="18"/>
  <c r="E263" i="18"/>
  <c r="F141" i="17"/>
  <c r="C322" i="17"/>
  <c r="C211" i="17"/>
  <c r="C148" i="17"/>
  <c r="E176" i="17"/>
  <c r="F309" i="17"/>
  <c r="E309" i="17"/>
  <c r="C310" i="17"/>
  <c r="E109" i="18"/>
  <c r="D116" i="18"/>
  <c r="E116" i="18" s="1"/>
  <c r="E110" i="18"/>
  <c r="D315" i="17"/>
  <c r="D314" i="17"/>
  <c r="D251" i="17"/>
  <c r="D256" i="17"/>
  <c r="E148" i="17"/>
  <c r="C183" i="17"/>
  <c r="F183" i="17" s="1"/>
  <c r="F113" i="17"/>
  <c r="C323" i="17"/>
  <c r="F323" i="17" s="1"/>
  <c r="E121" i="18"/>
  <c r="D129" i="18"/>
  <c r="E129" i="18" s="1"/>
  <c r="D128" i="18"/>
  <c r="E128" i="18" s="1"/>
  <c r="E122" i="18"/>
  <c r="E183" i="17"/>
  <c r="E209" i="17"/>
  <c r="F209" i="17" s="1"/>
  <c r="F197" i="17"/>
  <c r="E197" i="17"/>
  <c r="D117" i="18" l="1"/>
  <c r="D257" i="17"/>
  <c r="E211" i="17"/>
  <c r="F211" i="17" s="1"/>
  <c r="C325" i="17"/>
  <c r="F310" i="17"/>
  <c r="C312" i="17"/>
  <c r="E310" i="17"/>
  <c r="E264" i="18"/>
  <c r="D266" i="18"/>
  <c r="D318" i="17"/>
  <c r="E322" i="17"/>
  <c r="F322" i="17" s="1"/>
  <c r="F148" i="17"/>
  <c r="E323" i="17"/>
  <c r="E117" i="18" l="1"/>
  <c r="D131" i="18"/>
  <c r="E131" i="18" s="1"/>
  <c r="E266" i="18"/>
  <c r="D267" i="18"/>
  <c r="E325" i="17"/>
  <c r="F325" i="17" s="1"/>
  <c r="C313" i="17"/>
  <c r="E312" i="17"/>
  <c r="F312" i="17" s="1"/>
  <c r="E267" i="18" l="1"/>
  <c r="D268" i="18"/>
  <c r="D269" i="18"/>
  <c r="E269" i="18" s="1"/>
  <c r="F313" i="17"/>
  <c r="C251" i="17"/>
  <c r="C314" i="17"/>
  <c r="C315" i="17"/>
  <c r="C256" i="17"/>
  <c r="E313" i="17"/>
  <c r="C257" i="17" l="1"/>
  <c r="E256" i="17"/>
  <c r="F256" i="17" s="1"/>
  <c r="C318" i="17"/>
  <c r="E314" i="17"/>
  <c r="F314" i="17" s="1"/>
  <c r="E251" i="17"/>
  <c r="F251" i="17" s="1"/>
  <c r="D271" i="18"/>
  <c r="E271" i="18" s="1"/>
  <c r="E268" i="18"/>
  <c r="E315" i="17"/>
  <c r="F315" i="17" s="1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<sst xmlns="http://schemas.openxmlformats.org/spreadsheetml/2006/main" count="2333" uniqueCount="1007">
  <si>
    <t>GRIFFIN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</si>
  <si>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</si>
  <si>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</si>
  <si>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</si>
  <si>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</si>
  <si>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</si>
  <si>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</si>
  <si>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</si>
  <si>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</si>
  <si>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</si>
  <si>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</si>
  <si>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</si>
  <si>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</si>
  <si>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</si>
  <si>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</si>
  <si>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</si>
  <si>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</si>
  <si>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</si>
  <si>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</si>
  <si>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</si>
  <si>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</si>
  <si>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</si>
  <si>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</si>
  <si>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</si>
  <si>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</si>
  <si>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</si>
  <si>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</si>
  <si>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</si>
  <si>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</si>
  <si>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</si>
  <si>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</si>
  <si>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</si>
  <si>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</si>
  <si>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</si>
  <si>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</si>
  <si>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</si>
  <si>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</si>
  <si>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</si>
  <si>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</si>
  <si>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</si>
  <si>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</si>
  <si>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</si>
  <si>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</si>
  <si>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</si>
  <si>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</si>
  <si>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</si>
  <si>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</si>
  <si>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</si>
  <si>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</si>
  <si>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</si>
  <si>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</si>
  <si>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</si>
  <si>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</si>
  <si>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</si>
  <si>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</si>
  <si>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</si>
  <si>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</si>
  <si>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</si>
  <si>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</si>
  <si>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</si>
  <si>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</si>
  <si>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</si>
  <si>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</si>
  <si>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</si>
  <si>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</si>
  <si>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</si>
  <si>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</si>
  <si>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</si>
  <si>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</si>
  <si>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</si>
  <si>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</si>
  <si>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</si>
  <si>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</si>
  <si>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</si>
  <si>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</si>
  <si>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</si>
  <si>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</si>
  <si>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</si>
  <si>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</si>
  <si>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</si>
  <si>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</si>
  <si>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</si>
  <si>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</si>
  <si>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</si>
  <si>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</si>
  <si>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</si>
  <si>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</si>
  <si>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</si>
  <si>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</si>
  <si>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</si>
  <si>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</si>
  <si>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</si>
  <si>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</si>
  <si>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</si>
  <si>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</si>
  <si>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</si>
  <si>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</si>
  <si>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</si>
  <si>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</si>
  <si>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</si>
  <si>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</si>
  <si>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</si>
  <si>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</si>
  <si>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</si>
  <si>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</si>
  <si>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</si>
  <si>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</si>
  <si>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</si>
  <si>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</si>
  <si>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</si>
  <si>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</si>
  <si>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</si>
  <si>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</si>
  <si>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</si>
  <si>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</si>
  <si>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</si>
  <si>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</si>
  <si>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</si>
  <si>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</si>
  <si>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</si>
  <si>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</si>
  <si>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</si>
  <si>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</si>
  <si>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</si>
  <si>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</si>
  <si>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</si>
  <si>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</si>
  <si>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</si>
  <si>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</si>
  <si>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</si>
  <si>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</si>
  <si>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</si>
  <si>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</si>
  <si>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</si>
  <si>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</si>
  <si>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</si>
  <si>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</si>
  <si>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</si>
  <si>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</si>
  <si>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</si>
  <si>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</si>
  <si>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</si>
  <si>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</si>
  <si>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</si>
  <si>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</si>
  <si>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</si>
  <si>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</si>
  <si>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</si>
  <si>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</si>
  <si>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</si>
  <si>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</si>
  <si>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</si>
  <si>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</si>
  <si>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</si>
  <si>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</si>
  <si>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</si>
  <si>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</si>
  <si>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</si>
  <si>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</si>
  <si>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</si>
  <si>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</si>
  <si>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</si>
  <si>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</si>
  <si>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</si>
  <si>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</si>
  <si>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</si>
  <si>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</si>
  <si>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</si>
  <si>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</si>
  <si>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</si>
  <si>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</si>
  <si>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</si>
  <si>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</si>
  <si>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</si>
  <si>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</si>
  <si>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</si>
  <si>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</si>
  <si>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</si>
  <si>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</si>
  <si>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</si>
  <si>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</si>
  <si>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</si>
  <si>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</si>
  <si>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</si>
  <si>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</si>
  <si>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</si>
  <si>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</si>
  <si>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</si>
  <si>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</si>
  <si>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</si>
  <si>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</si>
  <si>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</si>
  <si>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</si>
  <si>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</si>
  <si>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</si>
  <si>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</si>
  <si>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</si>
  <si>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</si>
  <si>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</si>
  <si>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</si>
  <si>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</si>
  <si>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</si>
  <si>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</si>
  <si>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</si>
  <si>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</si>
  <si>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</si>
  <si>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</si>
  <si>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</si>
  <si>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</si>
  <si>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</si>
  <si>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</si>
  <si>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</si>
  <si>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</si>
  <si>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</si>
  <si>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</si>
  <si>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</si>
  <si>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</si>
  <si>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</si>
  <si>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</si>
  <si>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</si>
  <si>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</si>
  <si>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</si>
  <si>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</si>
  <si>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</si>
  <si>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</si>
  <si>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</si>
  <si>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</si>
  <si>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</si>
  <si>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</si>
  <si>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</si>
  <si>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</si>
  <si>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</si>
  <si>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</si>
  <si>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</si>
  <si>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</si>
  <si>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</si>
  <si>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</si>
  <si>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</si>
  <si>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</si>
  <si>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</si>
  <si>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</si>
  <si>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</si>
  <si>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</si>
  <si>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</si>
  <si>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</si>
  <si>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</si>
  <si>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</si>
  <si>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</si>
  <si>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</si>
  <si>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</si>
  <si>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</si>
  <si>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</si>
  <si>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</si>
  <si>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</si>
  <si>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</si>
  <si>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</si>
  <si>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</si>
  <si>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</si>
  <si>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</si>
  <si>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</si>
  <si>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</si>
  <si>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</si>
  <si>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</si>
  <si>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</si>
  <si>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</si>
  <si>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</si>
  <si>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</si>
  <si>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</si>
  <si>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</si>
  <si>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</si>
  <si>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</si>
  <si>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</si>
  <si>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</si>
  <si>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</si>
  <si>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</si>
  <si>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</si>
  <si>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</si>
  <si>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</si>
  <si>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</si>
  <si>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</si>
  <si>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</si>
  <si>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</si>
  <si>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</si>
  <si>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</si>
  <si>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</si>
  <si>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</si>
  <si>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</si>
  <si>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</si>
  <si>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</si>
  <si>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</si>
  <si>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</si>
  <si>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</si>
  <si>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</si>
  <si>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</si>
  <si>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</si>
  <si>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</si>
  <si>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</si>
  <si>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</si>
  <si>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</si>
  <si>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</si>
  <si>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</si>
  <si>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</si>
  <si>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</si>
  <si>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</si>
  <si>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</si>
  <si>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</si>
  <si>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</si>
  <si>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</si>
  <si>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</si>
  <si>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</si>
  <si>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</si>
  <si>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</si>
  <si>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</si>
  <si>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</si>
  <si>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</si>
  <si>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</si>
  <si>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</si>
  <si>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</si>
  <si>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</si>
  <si>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</si>
  <si>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</si>
  <si>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</si>
  <si>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</si>
  <si>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</si>
  <si>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</si>
  <si>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</si>
  <si>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</si>
  <si>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</si>
  <si>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</si>
  <si>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</si>
  <si>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</si>
  <si>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</si>
  <si>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</si>
  <si>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</si>
  <si>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</si>
  <si>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</si>
  <si>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</si>
  <si>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</si>
  <si>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</si>
  <si>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</si>
  <si>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</si>
  <si>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</si>
  <si>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</si>
  <si>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</si>
  <si>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</si>
  <si>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</si>
  <si>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</si>
  <si>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</si>
  <si>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</si>
  <si>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</si>
  <si>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</si>
  <si>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</si>
  <si>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</si>
  <si>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</si>
  <si>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</si>
  <si>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</si>
  <si>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</si>
  <si>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</si>
  <si>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</si>
  <si>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</si>
  <si>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</si>
  <si>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</si>
  <si>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</si>
  <si>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</si>
  <si>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</si>
  <si>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</si>
  <si>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</si>
  <si>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</si>
  <si>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</si>
  <si>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</si>
  <si>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</si>
  <si>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</si>
  <si>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</si>
  <si>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</si>
  <si>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</si>
  <si>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</si>
  <si>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</si>
  <si>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</si>
  <si>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</si>
  <si>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</si>
  <si>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</si>
  <si>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</si>
  <si>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</si>
  <si>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</si>
  <si>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</si>
  <si>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</si>
  <si>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</si>
  <si>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</si>
  <si>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</si>
  <si>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</si>
  <si>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</si>
  <si>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</si>
  <si>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</si>
  <si>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</si>
  <si>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</si>
  <si>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</si>
  <si>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</si>
  <si>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</si>
  <si>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</si>
  <si>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</si>
  <si>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</si>
  <si>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</si>
  <si>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</si>
  <si>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</si>
  <si>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</si>
  <si>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</si>
  <si>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</si>
  <si>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</si>
  <si>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</si>
  <si>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</si>
  <si>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</si>
  <si>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</si>
  <si>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</si>
  <si>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</si>
  <si>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</si>
  <si>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</si>
  <si>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</si>
  <si>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</si>
  <si>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</si>
  <si>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</si>
  <si>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</si>
  <si>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</si>
  <si>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</si>
  <si>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</si>
  <si>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</si>
  <si>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</si>
  <si>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</si>
  <si>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</si>
  <si>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</si>
  <si>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</si>
  <si>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</si>
  <si>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</si>
  <si>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</si>
  <si>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</si>
  <si>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</si>
  <si>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</si>
  <si>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</si>
  <si>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</si>
  <si>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</si>
  <si>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</si>
  <si>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</si>
  <si>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</si>
  <si>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</si>
  <si>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</si>
  <si>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</si>
  <si>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</si>
  <si>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</si>
  <si>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</si>
  <si>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</si>
  <si>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</si>
  <si>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</si>
  <si>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</si>
  <si>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</si>
  <si>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</si>
  <si>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</si>
  <si>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</si>
  <si>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</si>
  <si>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</si>
  <si>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</si>
  <si>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</si>
  <si>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</si>
  <si>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</si>
  <si>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</si>
  <si>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</si>
  <si>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</si>
  <si>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</si>
  <si>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</si>
  <si>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</si>
  <si>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</si>
  <si>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</si>
  <si>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</si>
  <si>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</si>
  <si>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</si>
  <si>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</si>
  <si>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</si>
  <si>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</si>
  <si>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</si>
  <si>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</si>
  <si>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</si>
  <si>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</si>
  <si>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</si>
  <si>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</si>
  <si>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</si>
  <si>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</si>
  <si>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</si>
  <si>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</si>
  <si>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</si>
  <si>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</si>
  <si>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</si>
  <si>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</si>
  <si>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</si>
  <si>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</si>
  <si>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</si>
  <si>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</si>
  <si>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</si>
  <si>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</si>
  <si>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</si>
  <si>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</si>
  <si>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</si>
  <si>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</si>
  <si>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GRIFFIN HEALTH SERVICES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</si>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</sst>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8071213</v>
      </c>
      <c r="D13" s="22">
        <v>5178405</v>
      </c>
      <c r="E13" s="22">
        <f t="shared" ref="E13:E22" si="0">D13-C13</f>
        <v>-2892808</v>
      </c>
      <c r="F13" s="23">
        <f t="shared" ref="F13:F22" si="1">IF(C13=0,0,E13/C13)</f>
        <v>-0.35841056356708711</v>
      </c>
    </row>
    <row r="14" spans="1:8" ht="24" customHeight="1" x14ac:dyDescent="0.2">
      <c r="A14" s="20">
        <v>2</v>
      </c>
      <c r="B14" s="21" t="s">
        <v>17</v>
      </c>
      <c r="C14" s="22">
        <v>5371978</v>
      </c>
      <c r="D14" s="22">
        <v>9040563</v>
      </c>
      <c r="E14" s="22">
        <f t="shared" si="0"/>
        <v>3668585</v>
      </c>
      <c r="F14" s="23">
        <f t="shared" si="1"/>
        <v>0.68291139688211677</v>
      </c>
    </row>
    <row r="15" spans="1:8" ht="24" customHeight="1" x14ac:dyDescent="0.2">
      <c r="A15" s="20">
        <v>3</v>
      </c>
      <c r="B15" s="21" t="s">
        <v>18</v>
      </c>
      <c r="C15" s="22">
        <v>12754987</v>
      </c>
      <c r="D15" s="22">
        <v>14419423</v>
      </c>
      <c r="E15" s="22">
        <f t="shared" si="0"/>
        <v>1664436</v>
      </c>
      <c r="F15" s="23">
        <f t="shared" si="1"/>
        <v>0.1304929593420989</v>
      </c>
    </row>
    <row r="16" spans="1:8" ht="24" customHeight="1" x14ac:dyDescent="0.2">
      <c r="A16" s="20">
        <v>4</v>
      </c>
      <c r="B16" s="21" t="s">
        <v>19</v>
      </c>
      <c r="C16" s="22">
        <v>700398</v>
      </c>
      <c r="D16" s="22">
        <v>710605</v>
      </c>
      <c r="E16" s="22">
        <f t="shared" si="0"/>
        <v>10207</v>
      </c>
      <c r="F16" s="23">
        <f t="shared" si="1"/>
        <v>1.4573142698865503E-2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852072</v>
      </c>
      <c r="D19" s="22">
        <v>804168</v>
      </c>
      <c r="E19" s="22">
        <f t="shared" si="0"/>
        <v>-47904</v>
      </c>
      <c r="F19" s="23">
        <f t="shared" si="1"/>
        <v>-5.622060107596541E-2</v>
      </c>
    </row>
    <row r="20" spans="1:11" ht="24" customHeight="1" x14ac:dyDescent="0.2">
      <c r="A20" s="20">
        <v>8</v>
      </c>
      <c r="B20" s="21" t="s">
        <v>23</v>
      </c>
      <c r="C20" s="22">
        <v>2258893</v>
      </c>
      <c r="D20" s="22">
        <v>2669266</v>
      </c>
      <c r="E20" s="22">
        <f t="shared" si="0"/>
        <v>410373</v>
      </c>
      <c r="F20" s="23">
        <f t="shared" si="1"/>
        <v>0.18166995957754528</v>
      </c>
    </row>
    <row r="21" spans="1:11" ht="24" customHeight="1" x14ac:dyDescent="0.2">
      <c r="A21" s="20">
        <v>9</v>
      </c>
      <c r="B21" s="21" t="s">
        <v>24</v>
      </c>
      <c r="C21" s="22">
        <v>2446687</v>
      </c>
      <c r="D21" s="22">
        <v>1817160</v>
      </c>
      <c r="E21" s="22">
        <f t="shared" si="0"/>
        <v>-629527</v>
      </c>
      <c r="F21" s="23">
        <f t="shared" si="1"/>
        <v>-0.25729772545487017</v>
      </c>
    </row>
    <row r="22" spans="1:11" ht="24" customHeight="1" x14ac:dyDescent="0.25">
      <c r="A22" s="24"/>
      <c r="B22" s="25" t="s">
        <v>25</v>
      </c>
      <c r="C22" s="26">
        <f>SUM(C13:C21)</f>
        <v>32456228</v>
      </c>
      <c r="D22" s="26">
        <f>SUM(D13:D21)</f>
        <v>34639590</v>
      </c>
      <c r="E22" s="26">
        <f t="shared" si="0"/>
        <v>2183362</v>
      </c>
      <c r="F22" s="27">
        <f t="shared" si="1"/>
        <v>6.7270971845526842E-2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3650093</v>
      </c>
      <c r="D25" s="22">
        <v>3670942</v>
      </c>
      <c r="E25" s="22">
        <f>D25-C25</f>
        <v>20849</v>
      </c>
      <c r="F25" s="23">
        <f>IF(C25=0,0,E25/C25)</f>
        <v>5.7119092582024623E-3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10001</v>
      </c>
      <c r="D26" s="22">
        <v>43179</v>
      </c>
      <c r="E26" s="22">
        <f>D26-C26</f>
        <v>33178</v>
      </c>
      <c r="F26" s="23">
        <f>IF(C26=0,0,E26/C26)</f>
        <v>3.3174682531746824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4288627</v>
      </c>
      <c r="D28" s="22">
        <v>4289166</v>
      </c>
      <c r="E28" s="22">
        <f>D28-C28</f>
        <v>539</v>
      </c>
      <c r="F28" s="23">
        <f>IF(C28=0,0,E28/C28)</f>
        <v>1.256812495001314E-4</v>
      </c>
    </row>
    <row r="29" spans="1:11" ht="24" customHeight="1" x14ac:dyDescent="0.25">
      <c r="A29" s="24"/>
      <c r="B29" s="25" t="s">
        <v>32</v>
      </c>
      <c r="C29" s="26">
        <f>SUM(C25:C28)</f>
        <v>7948721</v>
      </c>
      <c r="D29" s="26">
        <f>SUM(D25:D28)</f>
        <v>8003287</v>
      </c>
      <c r="E29" s="26">
        <f>D29-C29</f>
        <v>54566</v>
      </c>
      <c r="F29" s="27">
        <f>IF(C29=0,0,E29/C29)</f>
        <v>6.8647522035306056E-3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1147841</v>
      </c>
      <c r="D32" s="22">
        <v>1186601</v>
      </c>
      <c r="E32" s="22">
        <f>D32-C32</f>
        <v>38760</v>
      </c>
      <c r="F32" s="23">
        <f>IF(C32=0,0,E32/C32)</f>
        <v>3.376774309333784E-2</v>
      </c>
    </row>
    <row r="33" spans="1:8" ht="24" customHeight="1" x14ac:dyDescent="0.2">
      <c r="A33" s="20">
        <v>7</v>
      </c>
      <c r="B33" s="21" t="s">
        <v>35</v>
      </c>
      <c r="C33" s="22">
        <v>28400710</v>
      </c>
      <c r="D33" s="22">
        <v>20416572</v>
      </c>
      <c r="E33" s="22">
        <f>D33-C33</f>
        <v>-7984138</v>
      </c>
      <c r="F33" s="23">
        <f>IF(C33=0,0,E33/C33)</f>
        <v>-0.28112459160351977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148122636</v>
      </c>
      <c r="D36" s="22">
        <v>149886171</v>
      </c>
      <c r="E36" s="22">
        <f>D36-C36</f>
        <v>1763535</v>
      </c>
      <c r="F36" s="23">
        <f>IF(C36=0,0,E36/C36)</f>
        <v>1.1905911531307071E-2</v>
      </c>
    </row>
    <row r="37" spans="1:8" ht="24" customHeight="1" x14ac:dyDescent="0.2">
      <c r="A37" s="20">
        <v>2</v>
      </c>
      <c r="B37" s="21" t="s">
        <v>39</v>
      </c>
      <c r="C37" s="22">
        <v>88278310</v>
      </c>
      <c r="D37" s="22">
        <v>94328204</v>
      </c>
      <c r="E37" s="22">
        <f>D37-C37</f>
        <v>6049894</v>
      </c>
      <c r="F37" s="23">
        <f>IF(C37=0,0,E37/C37)</f>
        <v>6.8532055042739265E-2</v>
      </c>
    </row>
    <row r="38" spans="1:8" ht="24" customHeight="1" x14ac:dyDescent="0.25">
      <c r="A38" s="24"/>
      <c r="B38" s="25" t="s">
        <v>40</v>
      </c>
      <c r="C38" s="26">
        <f>C36-C37</f>
        <v>59844326</v>
      </c>
      <c r="D38" s="26">
        <f>D36-D37</f>
        <v>55557967</v>
      </c>
      <c r="E38" s="26">
        <f>D38-C38</f>
        <v>-4286359</v>
      </c>
      <c r="F38" s="27">
        <f>IF(C38=0,0,E38/C38)</f>
        <v>-7.1625152900878189E-2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122391</v>
      </c>
      <c r="D40" s="22">
        <v>52906</v>
      </c>
      <c r="E40" s="22">
        <f>D40-C40</f>
        <v>-69485</v>
      </c>
      <c r="F40" s="23">
        <f>IF(C40=0,0,E40/C40)</f>
        <v>-0.56772965332418235</v>
      </c>
    </row>
    <row r="41" spans="1:8" ht="24" customHeight="1" x14ac:dyDescent="0.25">
      <c r="A41" s="24"/>
      <c r="B41" s="25" t="s">
        <v>42</v>
      </c>
      <c r="C41" s="26">
        <f>+C38+C40</f>
        <v>59966717</v>
      </c>
      <c r="D41" s="26">
        <f>+D38+D40</f>
        <v>55610873</v>
      </c>
      <c r="E41" s="26">
        <f>D41-C41</f>
        <v>-4355844</v>
      </c>
      <c r="F41" s="27">
        <f>IF(C41=0,0,E41/C41)</f>
        <v>-7.2637693339123441E-2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129920217</v>
      </c>
      <c r="D43" s="26">
        <f>D22+D29+D31+D32+D33+D41</f>
        <v>119856923</v>
      </c>
      <c r="E43" s="26">
        <f>D43-C43</f>
        <v>-10063294</v>
      </c>
      <c r="F43" s="27">
        <f>IF(C43=0,0,E43/C43)</f>
        <v>-7.7457490699850043E-2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26788433</v>
      </c>
      <c r="D49" s="22">
        <v>23929263</v>
      </c>
      <c r="E49" s="22">
        <f t="shared" ref="E49:E56" si="2">D49-C49</f>
        <v>-2859170</v>
      </c>
      <c r="F49" s="23">
        <f t="shared" ref="F49:F56" si="3">IF(C49=0,0,E49/C49)</f>
        <v>-0.10673151356034898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1512123</v>
      </c>
      <c r="D50" s="22">
        <v>2028283</v>
      </c>
      <c r="E50" s="22">
        <f t="shared" si="2"/>
        <v>516160</v>
      </c>
      <c r="F50" s="23">
        <f t="shared" si="3"/>
        <v>0.34134789299547724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6418425</v>
      </c>
      <c r="D53" s="22">
        <v>5679417</v>
      </c>
      <c r="E53" s="22">
        <f t="shared" si="2"/>
        <v>-739008</v>
      </c>
      <c r="F53" s="23">
        <f t="shared" si="3"/>
        <v>-0.11513852697507566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1018756</v>
      </c>
      <c r="D55" s="22">
        <v>900237</v>
      </c>
      <c r="E55" s="22">
        <f t="shared" si="2"/>
        <v>-118519</v>
      </c>
      <c r="F55" s="23">
        <f t="shared" si="3"/>
        <v>-0.11633698353678408</v>
      </c>
    </row>
    <row r="56" spans="1:6" ht="24" customHeight="1" x14ac:dyDescent="0.25">
      <c r="A56" s="24"/>
      <c r="B56" s="25" t="s">
        <v>54</v>
      </c>
      <c r="C56" s="26">
        <f>SUM(C49:C55)</f>
        <v>35737737</v>
      </c>
      <c r="D56" s="26">
        <f>SUM(D49:D55)</f>
        <v>32537200</v>
      </c>
      <c r="E56" s="26">
        <f t="shared" si="2"/>
        <v>-3200537</v>
      </c>
      <c r="F56" s="27">
        <f t="shared" si="3"/>
        <v>-8.9556230155255767E-2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46957600</v>
      </c>
      <c r="D59" s="22">
        <v>43898212</v>
      </c>
      <c r="E59" s="22">
        <f>D59-C59</f>
        <v>-3059388</v>
      </c>
      <c r="F59" s="23">
        <f>IF(C59=0,0,E59/C59)</f>
        <v>-6.5152137247218772E-2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46957600</v>
      </c>
      <c r="D61" s="26">
        <f>SUM(D59:D60)</f>
        <v>43898212</v>
      </c>
      <c r="E61" s="26">
        <f>D61-C61</f>
        <v>-3059388</v>
      </c>
      <c r="F61" s="27">
        <f>IF(C61=0,0,E61/C61)</f>
        <v>-6.5152137247218772E-2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42427930</v>
      </c>
      <c r="D63" s="22">
        <v>30640516</v>
      </c>
      <c r="E63" s="22">
        <f>D63-C63</f>
        <v>-11787414</v>
      </c>
      <c r="F63" s="23">
        <f>IF(C63=0,0,E63/C63)</f>
        <v>-0.27782203845438608</v>
      </c>
    </row>
    <row r="64" spans="1:6" ht="24" customHeight="1" x14ac:dyDescent="0.2">
      <c r="A64" s="20">
        <v>4</v>
      </c>
      <c r="B64" s="21" t="s">
        <v>60</v>
      </c>
      <c r="C64" s="22">
        <v>34832595</v>
      </c>
      <c r="D64" s="22">
        <v>26488170</v>
      </c>
      <c r="E64" s="22">
        <f>D64-C64</f>
        <v>-8344425</v>
      </c>
      <c r="F64" s="23">
        <f>IF(C64=0,0,E64/C64)</f>
        <v>-0.23955794852493764</v>
      </c>
    </row>
    <row r="65" spans="1:6" ht="24" customHeight="1" x14ac:dyDescent="0.25">
      <c r="A65" s="24"/>
      <c r="B65" s="25" t="s">
        <v>61</v>
      </c>
      <c r="C65" s="26">
        <f>SUM(C61:C64)</f>
        <v>124218125</v>
      </c>
      <c r="D65" s="26">
        <f>SUM(D61:D64)</f>
        <v>101026898</v>
      </c>
      <c r="E65" s="26">
        <f>D65-C65</f>
        <v>-23191227</v>
      </c>
      <c r="F65" s="27">
        <f>IF(C65=0,0,E65/C65)</f>
        <v>-0.18669760954772099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-38049002</v>
      </c>
      <c r="D70" s="22">
        <v>-22179759</v>
      </c>
      <c r="E70" s="22">
        <f>D70-C70</f>
        <v>15869243</v>
      </c>
      <c r="F70" s="23">
        <f>IF(C70=0,0,E70/C70)</f>
        <v>-0.4170738302150474</v>
      </c>
    </row>
    <row r="71" spans="1:6" ht="24" customHeight="1" x14ac:dyDescent="0.2">
      <c r="A71" s="20">
        <v>2</v>
      </c>
      <c r="B71" s="21" t="s">
        <v>65</v>
      </c>
      <c r="C71" s="22">
        <v>2203003</v>
      </c>
      <c r="D71" s="22">
        <v>2641381</v>
      </c>
      <c r="E71" s="22">
        <f>D71-C71</f>
        <v>438378</v>
      </c>
      <c r="F71" s="23">
        <f>IF(C71=0,0,E71/C71)</f>
        <v>0.19899110441520051</v>
      </c>
    </row>
    <row r="72" spans="1:6" ht="24" customHeight="1" x14ac:dyDescent="0.2">
      <c r="A72" s="20">
        <v>3</v>
      </c>
      <c r="B72" s="21" t="s">
        <v>66</v>
      </c>
      <c r="C72" s="22">
        <v>5810354</v>
      </c>
      <c r="D72" s="22">
        <v>5831203</v>
      </c>
      <c r="E72" s="22">
        <f>D72-C72</f>
        <v>20849</v>
      </c>
      <c r="F72" s="23">
        <f>IF(C72=0,0,E72/C72)</f>
        <v>3.5882495283419908E-3</v>
      </c>
    </row>
    <row r="73" spans="1:6" ht="24" customHeight="1" x14ac:dyDescent="0.25">
      <c r="A73" s="20"/>
      <c r="B73" s="25" t="s">
        <v>67</v>
      </c>
      <c r="C73" s="26">
        <f>SUM(C70:C72)</f>
        <v>-30035645</v>
      </c>
      <c r="D73" s="26">
        <f>SUM(D70:D72)</f>
        <v>-13707175</v>
      </c>
      <c r="E73" s="26">
        <f>D73-C73</f>
        <v>16328470</v>
      </c>
      <c r="F73" s="27">
        <f>IF(C73=0,0,E73/C73)</f>
        <v>-0.54363640268088131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129920217</v>
      </c>
      <c r="D75" s="26">
        <f>D56+D65+D67+D73</f>
        <v>119856923</v>
      </c>
      <c r="E75" s="26">
        <f>D75-C75</f>
        <v>-10063294</v>
      </c>
      <c r="F75" s="27">
        <f>IF(C75=0,0,E75/C75)</f>
        <v>-7.7457490699850043E-2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124691401</v>
      </c>
      <c r="D11" s="76">
        <v>123980407</v>
      </c>
      <c r="E11" s="76">
        <v>129011298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24405299</v>
      </c>
      <c r="D12" s="185">
        <v>23428706</v>
      </c>
      <c r="E12" s="185">
        <v>15858922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149096700</v>
      </c>
      <c r="D13" s="76">
        <f>+D11+D12</f>
        <v>147409113</v>
      </c>
      <c r="E13" s="76">
        <f>+E11+E12</f>
        <v>144870220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151427994</v>
      </c>
      <c r="D14" s="185">
        <v>154797623</v>
      </c>
      <c r="E14" s="185">
        <v>149355129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-2331294</v>
      </c>
      <c r="D15" s="76">
        <f>+D13-D14</f>
        <v>-7388510</v>
      </c>
      <c r="E15" s="76">
        <f>+E13-E14</f>
        <v>-4484909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194021</v>
      </c>
      <c r="D16" s="185">
        <v>1020932</v>
      </c>
      <c r="E16" s="185">
        <v>5640008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-2137273</v>
      </c>
      <c r="D17" s="76">
        <f>D15+D16</f>
        <v>-6367578</v>
      </c>
      <c r="E17" s="76">
        <f>E15+E16</f>
        <v>1155099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-1.5615799725422989E-2</v>
      </c>
      <c r="D20" s="189">
        <f>IF(+D27=0,0,+D24/+D27)</f>
        <v>-4.9777725257713151E-2</v>
      </c>
      <c r="E20" s="189">
        <f>IF(+E27=0,0,+E24/+E27)</f>
        <v>-2.9798034722264857E-2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1.2996186146090084E-3</v>
      </c>
      <c r="D21" s="189">
        <f>IF(+D27=0,0,+D26/+D27)</f>
        <v>6.878203129292321E-3</v>
      </c>
      <c r="E21" s="189">
        <f>IF(+E27=0,0,+E26/+E27)</f>
        <v>3.7472589570457633E-2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-1.431618111081398E-2</v>
      </c>
      <c r="D22" s="189">
        <f>IF(+D27=0,0,+D28/+D27)</f>
        <v>-4.2899522128420832E-2</v>
      </c>
      <c r="E22" s="189">
        <f>IF(+E27=0,0,+E28/+E27)</f>
        <v>7.6745548481927757E-3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-2331294</v>
      </c>
      <c r="D24" s="76">
        <f>+D15</f>
        <v>-7388510</v>
      </c>
      <c r="E24" s="76">
        <f>+E15</f>
        <v>-4484909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149096700</v>
      </c>
      <c r="D25" s="76">
        <f>+D13</f>
        <v>147409113</v>
      </c>
      <c r="E25" s="76">
        <f>+E13</f>
        <v>144870220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194021</v>
      </c>
      <c r="D26" s="76">
        <f>+D16</f>
        <v>1020932</v>
      </c>
      <c r="E26" s="76">
        <f>+E16</f>
        <v>5640008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149290721</v>
      </c>
      <c r="D27" s="76">
        <f>SUM(D25:D26)</f>
        <v>148430045</v>
      </c>
      <c r="E27" s="76">
        <f>SUM(E25:E26)</f>
        <v>150510228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-2137273</v>
      </c>
      <c r="D28" s="76">
        <f>+D17</f>
        <v>-6367578</v>
      </c>
      <c r="E28" s="76">
        <f>+E17</f>
        <v>1155099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-43306301</v>
      </c>
      <c r="D31" s="76">
        <v>-38333914</v>
      </c>
      <c r="E31" s="76">
        <v>-20374016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-35834584</v>
      </c>
      <c r="D32" s="76">
        <v>-30268735</v>
      </c>
      <c r="E32" s="76">
        <v>-11868935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-19619977</v>
      </c>
      <c r="D33" s="76">
        <f>+D32-C32</f>
        <v>5565849</v>
      </c>
      <c r="E33" s="76">
        <f>+E32-D32</f>
        <v>18399800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2.21</v>
      </c>
      <c r="D34" s="193">
        <f>IF(C32=0,0,+D33/C32)</f>
        <v>-0.15532059755458583</v>
      </c>
      <c r="E34" s="193">
        <f>IF(D32=0,0,+E33/D32)</f>
        <v>-0.60788136669735293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1.9078153914175151</v>
      </c>
      <c r="D38" s="338">
        <f>IF(+D40=0,0,+D39/+D40)</f>
        <v>1.8918119716221073</v>
      </c>
      <c r="E38" s="338">
        <f>IF(+E40=0,0,+E39/+E40)</f>
        <v>1.8058385912374373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75494760</v>
      </c>
      <c r="D39" s="341">
        <v>79019081</v>
      </c>
      <c r="E39" s="341">
        <v>67007519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39571313</v>
      </c>
      <c r="D40" s="341">
        <v>41768993</v>
      </c>
      <c r="E40" s="341">
        <v>37106040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110.31295780253093</v>
      </c>
      <c r="D42" s="343">
        <f>IF((D48/365)=0,0,+D45/(D48/365))</f>
        <v>130.95772648815657</v>
      </c>
      <c r="E42" s="343">
        <f>IF((E48/365)=0,0,+E45/(E48/365))</f>
        <v>111.06697718077835</v>
      </c>
    </row>
    <row r="43" spans="1:14" ht="24" customHeight="1" x14ac:dyDescent="0.2">
      <c r="A43" s="339">
        <v>5</v>
      </c>
      <c r="B43" s="344" t="s">
        <v>16</v>
      </c>
      <c r="C43" s="345">
        <v>7733210</v>
      </c>
      <c r="D43" s="345">
        <v>10631688</v>
      </c>
      <c r="E43" s="345">
        <v>10022977</v>
      </c>
    </row>
    <row r="44" spans="1:14" ht="24" customHeight="1" x14ac:dyDescent="0.2">
      <c r="A44" s="339">
        <v>6</v>
      </c>
      <c r="B44" s="346" t="s">
        <v>17</v>
      </c>
      <c r="C44" s="345">
        <v>36220671</v>
      </c>
      <c r="D44" s="345">
        <v>42693844</v>
      </c>
      <c r="E44" s="345">
        <v>33424704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43953881</v>
      </c>
      <c r="D45" s="341">
        <f>+D43+D44</f>
        <v>53325532</v>
      </c>
      <c r="E45" s="341">
        <f>+E43+E44</f>
        <v>43447681</v>
      </c>
    </row>
    <row r="46" spans="1:14" ht="24" customHeight="1" x14ac:dyDescent="0.2">
      <c r="A46" s="339">
        <v>8</v>
      </c>
      <c r="B46" s="340" t="s">
        <v>334</v>
      </c>
      <c r="C46" s="341">
        <f>+C14</f>
        <v>151427994</v>
      </c>
      <c r="D46" s="341">
        <f>+D14</f>
        <v>154797623</v>
      </c>
      <c r="E46" s="341">
        <f>+E14</f>
        <v>149355129</v>
      </c>
    </row>
    <row r="47" spans="1:14" ht="24" customHeight="1" x14ac:dyDescent="0.2">
      <c r="A47" s="339">
        <v>9</v>
      </c>
      <c r="B47" s="340" t="s">
        <v>356</v>
      </c>
      <c r="C47" s="341">
        <v>5994793</v>
      </c>
      <c r="D47" s="341">
        <v>6170889</v>
      </c>
      <c r="E47" s="341">
        <v>6572783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145433201</v>
      </c>
      <c r="D48" s="341">
        <f>+D46-D47</f>
        <v>148626734</v>
      </c>
      <c r="E48" s="341">
        <f>+E46-E47</f>
        <v>142782346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50.64158417788569</v>
      </c>
      <c r="D50" s="350">
        <f>IF((D55/365)=0,0,+D54/(D55/365))</f>
        <v>38.59762232430807</v>
      </c>
      <c r="E50" s="350">
        <f>IF((E55/365)=0,0,+E54/(E55/365))</f>
        <v>41.712660777973106</v>
      </c>
    </row>
    <row r="51" spans="1:5" ht="24" customHeight="1" x14ac:dyDescent="0.2">
      <c r="A51" s="339">
        <v>12</v>
      </c>
      <c r="B51" s="344" t="s">
        <v>359</v>
      </c>
      <c r="C51" s="351">
        <v>17300192</v>
      </c>
      <c r="D51" s="351">
        <v>13110545</v>
      </c>
      <c r="E51" s="351">
        <v>14743574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17300192</v>
      </c>
      <c r="D54" s="352">
        <f>+D51+D52-D53</f>
        <v>13110545</v>
      </c>
      <c r="E54" s="352">
        <f>+E51+E52-E53</f>
        <v>14743574</v>
      </c>
    </row>
    <row r="55" spans="1:5" ht="24" customHeight="1" x14ac:dyDescent="0.2">
      <c r="A55" s="339">
        <v>16</v>
      </c>
      <c r="B55" s="340" t="s">
        <v>75</v>
      </c>
      <c r="C55" s="341">
        <f>+C11</f>
        <v>124691401</v>
      </c>
      <c r="D55" s="341">
        <f>+D11</f>
        <v>123980407</v>
      </c>
      <c r="E55" s="341">
        <f>+E11</f>
        <v>129011298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99.313837182198853</v>
      </c>
      <c r="D57" s="355">
        <f>IF((D61/365)=0,0,+D58/(D61/365))</f>
        <v>102.57698621702876</v>
      </c>
      <c r="E57" s="355">
        <f>IF((E61/365)=0,0,+E58/(E61/365))</f>
        <v>94.855596503506106</v>
      </c>
    </row>
    <row r="58" spans="1:5" ht="24" customHeight="1" x14ac:dyDescent="0.2">
      <c r="A58" s="339">
        <v>18</v>
      </c>
      <c r="B58" s="340" t="s">
        <v>54</v>
      </c>
      <c r="C58" s="353">
        <f>+C40</f>
        <v>39571313</v>
      </c>
      <c r="D58" s="353">
        <f>+D40</f>
        <v>41768993</v>
      </c>
      <c r="E58" s="353">
        <f>+E40</f>
        <v>37106040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151427994</v>
      </c>
      <c r="D59" s="353">
        <f t="shared" si="0"/>
        <v>154797623</v>
      </c>
      <c r="E59" s="353">
        <f t="shared" si="0"/>
        <v>149355129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5994793</v>
      </c>
      <c r="D60" s="356">
        <f t="shared" si="0"/>
        <v>6170889</v>
      </c>
      <c r="E60" s="356">
        <f t="shared" si="0"/>
        <v>6572783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145433201</v>
      </c>
      <c r="D61" s="353">
        <f>+D59-D60</f>
        <v>148626734</v>
      </c>
      <c r="E61" s="353">
        <f>+E59-E60</f>
        <v>142782346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-21.39910035071583</v>
      </c>
      <c r="D65" s="357">
        <f>IF(D67=0,0,(D66/D67)*100)</f>
        <v>-17.801843218831038</v>
      </c>
      <c r="E65" s="357">
        <f>IF(E67=0,0,(E66/E67)*100)</f>
        <v>-7.5989310014502838</v>
      </c>
    </row>
    <row r="66" spans="1:5" ht="24" customHeight="1" x14ac:dyDescent="0.2">
      <c r="A66" s="339">
        <v>2</v>
      </c>
      <c r="B66" s="340" t="s">
        <v>67</v>
      </c>
      <c r="C66" s="353">
        <f>+C32</f>
        <v>-35834584</v>
      </c>
      <c r="D66" s="353">
        <f>+D32</f>
        <v>-30268735</v>
      </c>
      <c r="E66" s="353">
        <f>+E32</f>
        <v>-11868935</v>
      </c>
    </row>
    <row r="67" spans="1:5" ht="24" customHeight="1" x14ac:dyDescent="0.2">
      <c r="A67" s="339">
        <v>3</v>
      </c>
      <c r="B67" s="340" t="s">
        <v>43</v>
      </c>
      <c r="C67" s="353">
        <v>167458367</v>
      </c>
      <c r="D67" s="353">
        <v>170031466</v>
      </c>
      <c r="E67" s="353">
        <v>156192167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4.2315957282857708</v>
      </c>
      <c r="D69" s="357">
        <f>IF(D75=0,0,(D72/D75)*100)</f>
        <v>-0.21447163228865959</v>
      </c>
      <c r="E69" s="357">
        <f>IF(E75=0,0,(E72/E75)*100)</f>
        <v>9.2077951085605854</v>
      </c>
    </row>
    <row r="70" spans="1:5" ht="24" customHeight="1" x14ac:dyDescent="0.2">
      <c r="A70" s="339">
        <v>5</v>
      </c>
      <c r="B70" s="340" t="s">
        <v>366</v>
      </c>
      <c r="C70" s="353">
        <f>+C28</f>
        <v>-2137273</v>
      </c>
      <c r="D70" s="353">
        <f>+D28</f>
        <v>-6367578</v>
      </c>
      <c r="E70" s="353">
        <f>+E28</f>
        <v>1155099</v>
      </c>
    </row>
    <row r="71" spans="1:5" ht="24" customHeight="1" x14ac:dyDescent="0.2">
      <c r="A71" s="339">
        <v>6</v>
      </c>
      <c r="B71" s="340" t="s">
        <v>356</v>
      </c>
      <c r="C71" s="356">
        <f>+C47</f>
        <v>5994793</v>
      </c>
      <c r="D71" s="356">
        <f>+D47</f>
        <v>6170889</v>
      </c>
      <c r="E71" s="356">
        <f>+E47</f>
        <v>6572783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3857520</v>
      </c>
      <c r="D72" s="353">
        <f>+D70+D71</f>
        <v>-196689</v>
      </c>
      <c r="E72" s="353">
        <f>+E70+E71</f>
        <v>7727882</v>
      </c>
    </row>
    <row r="73" spans="1:5" ht="24" customHeight="1" x14ac:dyDescent="0.2">
      <c r="A73" s="339">
        <v>8</v>
      </c>
      <c r="B73" s="340" t="s">
        <v>54</v>
      </c>
      <c r="C73" s="341">
        <f>+C40</f>
        <v>39571313</v>
      </c>
      <c r="D73" s="341">
        <f>+D40</f>
        <v>41768993</v>
      </c>
      <c r="E73" s="341">
        <f>+E40</f>
        <v>37106040</v>
      </c>
    </row>
    <row r="74" spans="1:5" ht="24" customHeight="1" x14ac:dyDescent="0.2">
      <c r="A74" s="339">
        <v>9</v>
      </c>
      <c r="B74" s="340" t="s">
        <v>58</v>
      </c>
      <c r="C74" s="353">
        <v>51588624</v>
      </c>
      <c r="D74" s="353">
        <v>49939639</v>
      </c>
      <c r="E74" s="353">
        <v>46821566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91159937</v>
      </c>
      <c r="D75" s="341">
        <f>+D73+D74</f>
        <v>91708632</v>
      </c>
      <c r="E75" s="341">
        <f>+E73+E74</f>
        <v>83927606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327.46282223480449</v>
      </c>
      <c r="D77" s="359">
        <f>IF(D80=0,0,(D78/D80)*100)</f>
        <v>253.87566834752485</v>
      </c>
      <c r="E77" s="359">
        <f>IF(E80=0,0,(E78/E80)*100)</f>
        <v>133.95720053234334</v>
      </c>
    </row>
    <row r="78" spans="1:5" ht="24" customHeight="1" x14ac:dyDescent="0.2">
      <c r="A78" s="339">
        <v>12</v>
      </c>
      <c r="B78" s="340" t="s">
        <v>58</v>
      </c>
      <c r="C78" s="341">
        <f>+C74</f>
        <v>51588624</v>
      </c>
      <c r="D78" s="341">
        <f>+D74</f>
        <v>49939639</v>
      </c>
      <c r="E78" s="341">
        <f>+E74</f>
        <v>46821566</v>
      </c>
    </row>
    <row r="79" spans="1:5" ht="24" customHeight="1" x14ac:dyDescent="0.2">
      <c r="A79" s="339">
        <v>13</v>
      </c>
      <c r="B79" s="340" t="s">
        <v>67</v>
      </c>
      <c r="C79" s="341">
        <f>+C32</f>
        <v>-35834584</v>
      </c>
      <c r="D79" s="341">
        <f>+D32</f>
        <v>-30268735</v>
      </c>
      <c r="E79" s="341">
        <f>+E32</f>
        <v>-11868935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15754040</v>
      </c>
      <c r="D80" s="341">
        <f>+D78+D79</f>
        <v>19670904</v>
      </c>
      <c r="E80" s="341">
        <f>+E78+E79</f>
        <v>34952631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21448</v>
      </c>
      <c r="D11" s="376">
        <v>5389</v>
      </c>
      <c r="E11" s="376">
        <v>5176</v>
      </c>
      <c r="F11" s="377">
        <v>59</v>
      </c>
      <c r="G11" s="377">
        <v>118</v>
      </c>
      <c r="H11" s="378">
        <f>IF(F11=0,0,$C11/(F11*365))</f>
        <v>0.99596006501044809</v>
      </c>
      <c r="I11" s="378">
        <f>IF(G11=0,0,$C11/(G11*365))</f>
        <v>0.49798003250522405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2822</v>
      </c>
      <c r="D13" s="376">
        <v>262</v>
      </c>
      <c r="E13" s="376">
        <v>0</v>
      </c>
      <c r="F13" s="377">
        <v>8</v>
      </c>
      <c r="G13" s="377">
        <v>14</v>
      </c>
      <c r="H13" s="378">
        <f>IF(F13=0,0,$C13/(F13*365))</f>
        <v>0.96643835616438356</v>
      </c>
      <c r="I13" s="378">
        <f>IF(G13=0,0,$C13/(G13*365))</f>
        <v>0.55225048923679065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3806</v>
      </c>
      <c r="D16" s="376">
        <v>508</v>
      </c>
      <c r="E16" s="376">
        <v>485</v>
      </c>
      <c r="F16" s="377">
        <v>11</v>
      </c>
      <c r="G16" s="377">
        <v>16</v>
      </c>
      <c r="H16" s="378">
        <f t="shared" si="0"/>
        <v>0.94794520547945205</v>
      </c>
      <c r="I16" s="378">
        <f t="shared" si="0"/>
        <v>0.65171232876712326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3806</v>
      </c>
      <c r="D17" s="381">
        <f>SUM(D15:D16)</f>
        <v>508</v>
      </c>
      <c r="E17" s="381">
        <f>SUM(E15:E16)</f>
        <v>485</v>
      </c>
      <c r="F17" s="381">
        <f>SUM(F15:F16)</f>
        <v>11</v>
      </c>
      <c r="G17" s="381">
        <f>SUM(G15:G16)</f>
        <v>16</v>
      </c>
      <c r="H17" s="382">
        <f t="shared" si="0"/>
        <v>0.94794520547945205</v>
      </c>
      <c r="I17" s="382">
        <f t="shared" si="0"/>
        <v>0.65171232876712326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1723</v>
      </c>
      <c r="D21" s="376">
        <v>659</v>
      </c>
      <c r="E21" s="376">
        <v>627</v>
      </c>
      <c r="F21" s="377">
        <v>5</v>
      </c>
      <c r="G21" s="377">
        <v>12</v>
      </c>
      <c r="H21" s="378">
        <f>IF(F21=0,0,$C21/(F21*365))</f>
        <v>0.94410958904109588</v>
      </c>
      <c r="I21" s="378">
        <f>IF(G21=0,0,$C21/(G21*365))</f>
        <v>0.39337899543378996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1472</v>
      </c>
      <c r="D23" s="376">
        <v>620</v>
      </c>
      <c r="E23" s="376">
        <v>618</v>
      </c>
      <c r="F23" s="377">
        <v>5</v>
      </c>
      <c r="G23" s="377">
        <v>20</v>
      </c>
      <c r="H23" s="378">
        <f>IF(F23=0,0,$C23/(F23*365))</f>
        <v>0.80657534246575346</v>
      </c>
      <c r="I23" s="378">
        <f>IF(G23=0,0,$C23/(G23*365))</f>
        <v>0.20164383561643837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29799</v>
      </c>
      <c r="D31" s="384">
        <f>SUM(D10:D29)-D13-D17-D23</f>
        <v>6556</v>
      </c>
      <c r="E31" s="384">
        <f>SUM(E10:E29)-E17-E23</f>
        <v>6288</v>
      </c>
      <c r="F31" s="384">
        <f>SUM(F10:F29)-F17-F23</f>
        <v>83</v>
      </c>
      <c r="G31" s="384">
        <f>SUM(G10:G29)-G17-G23</f>
        <v>160</v>
      </c>
      <c r="H31" s="385">
        <f>IF(F31=0,0,$C31/(F31*365))</f>
        <v>0.98362766133025248</v>
      </c>
      <c r="I31" s="385">
        <f>IF(G31=0,0,$C31/(G31*365))</f>
        <v>0.51025684931506854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31271</v>
      </c>
      <c r="D33" s="384">
        <f>SUM(D10:D29)-D13-D17</f>
        <v>7176</v>
      </c>
      <c r="E33" s="384">
        <f>SUM(E10:E29)-E17</f>
        <v>6906</v>
      </c>
      <c r="F33" s="384">
        <f>SUM(F10:F29)-F17</f>
        <v>88</v>
      </c>
      <c r="G33" s="384">
        <f>SUM(G10:G29)-G17</f>
        <v>180</v>
      </c>
      <c r="H33" s="385">
        <f>IF(F33=0,0,$C33/(F33*365))</f>
        <v>0.97356787048567872</v>
      </c>
      <c r="I33" s="385">
        <f>IF(G33=0,0,$C33/(G33*365))</f>
        <v>0.47596651445966515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31271</v>
      </c>
      <c r="D36" s="384">
        <f t="shared" si="1"/>
        <v>7176</v>
      </c>
      <c r="E36" s="384">
        <f t="shared" si="1"/>
        <v>6906</v>
      </c>
      <c r="F36" s="384">
        <f t="shared" si="1"/>
        <v>88</v>
      </c>
      <c r="G36" s="384">
        <f t="shared" si="1"/>
        <v>180</v>
      </c>
      <c r="H36" s="387">
        <f t="shared" si="1"/>
        <v>0.97356787048567872</v>
      </c>
      <c r="I36" s="387">
        <f t="shared" si="1"/>
        <v>0.47596651445966515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29321</v>
      </c>
      <c r="D37" s="384">
        <v>7063</v>
      </c>
      <c r="E37" s="384">
        <v>6499</v>
      </c>
      <c r="F37" s="386">
        <v>82</v>
      </c>
      <c r="G37" s="386">
        <v>180</v>
      </c>
      <c r="H37" s="385">
        <f>IF(F37=0,0,$C37/(F37*365))</f>
        <v>0.97965252255262281</v>
      </c>
      <c r="I37" s="385">
        <f>IF(G37=0,0,$C37/(G37*365))</f>
        <v>0.44628614916286147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1950</v>
      </c>
      <c r="D38" s="384">
        <f t="shared" si="2"/>
        <v>113</v>
      </c>
      <c r="E38" s="384">
        <f t="shared" si="2"/>
        <v>407</v>
      </c>
      <c r="F38" s="384">
        <f t="shared" si="2"/>
        <v>6</v>
      </c>
      <c r="G38" s="384">
        <f t="shared" si="2"/>
        <v>0</v>
      </c>
      <c r="H38" s="387">
        <f t="shared" si="2"/>
        <v>-6.0846520669440851E-3</v>
      </c>
      <c r="I38" s="387">
        <f t="shared" si="2"/>
        <v>2.9680365296803679E-2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6.6505235155690456E-2</v>
      </c>
      <c r="D40" s="389">
        <f t="shared" si="3"/>
        <v>1.5998867336825713E-2</v>
      </c>
      <c r="E40" s="389">
        <f t="shared" si="3"/>
        <v>6.2625019233728263E-2</v>
      </c>
      <c r="F40" s="389">
        <f t="shared" si="3"/>
        <v>7.3170731707317069E-2</v>
      </c>
      <c r="G40" s="389">
        <f t="shared" si="3"/>
        <v>0</v>
      </c>
      <c r="H40" s="389">
        <f t="shared" si="3"/>
        <v>-6.2110308776520745E-3</v>
      </c>
      <c r="I40" s="389">
        <f t="shared" si="3"/>
        <v>6.6505235155690526E-2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180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4391</v>
      </c>
      <c r="D12" s="409">
        <v>4439</v>
      </c>
      <c r="E12" s="409">
        <f>+D12-C12</f>
        <v>48</v>
      </c>
      <c r="F12" s="410">
        <f>IF(C12=0,0,+E12/C12)</f>
        <v>1.0931450694602596E-2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8014</v>
      </c>
      <c r="D13" s="409">
        <v>7495</v>
      </c>
      <c r="E13" s="409">
        <f>+D13-C13</f>
        <v>-519</v>
      </c>
      <c r="F13" s="410">
        <f>IF(C13=0,0,+E13/C13)</f>
        <v>-6.4761667082605445E-2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5862</v>
      </c>
      <c r="D14" s="409">
        <v>5973</v>
      </c>
      <c r="E14" s="409">
        <f>+D14-C14</f>
        <v>111</v>
      </c>
      <c r="F14" s="410">
        <f>IF(C14=0,0,+E14/C14)</f>
        <v>1.8935516888433982E-2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18267</v>
      </c>
      <c r="D16" s="401">
        <f>SUM(D12:D15)</f>
        <v>17907</v>
      </c>
      <c r="E16" s="401">
        <f>+D16-C16</f>
        <v>-360</v>
      </c>
      <c r="F16" s="402">
        <f>IF(C16=0,0,+E16/C16)</f>
        <v>-1.9707669568073575E-2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389</v>
      </c>
      <c r="D19" s="409">
        <v>418</v>
      </c>
      <c r="E19" s="409">
        <f>+D19-C19</f>
        <v>29</v>
      </c>
      <c r="F19" s="410">
        <f>IF(C19=0,0,+E19/C19)</f>
        <v>7.4550128534704371E-2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4301</v>
      </c>
      <c r="D20" s="409">
        <v>3743</v>
      </c>
      <c r="E20" s="409">
        <f>+D20-C20</f>
        <v>-558</v>
      </c>
      <c r="F20" s="410">
        <f>IF(C20=0,0,+E20/C20)</f>
        <v>-0.12973727040223204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65</v>
      </c>
      <c r="D21" s="409">
        <v>46</v>
      </c>
      <c r="E21" s="409">
        <f>+D21-C21</f>
        <v>-19</v>
      </c>
      <c r="F21" s="410">
        <f>IF(C21=0,0,+E21/C21)</f>
        <v>-0.29230769230769232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4755</v>
      </c>
      <c r="D23" s="401">
        <f>SUM(D19:D22)</f>
        <v>4207</v>
      </c>
      <c r="E23" s="401">
        <f>+D23-C23</f>
        <v>-548</v>
      </c>
      <c r="F23" s="402">
        <f>IF(C23=0,0,+E23/C23)</f>
        <v>-0.11524710830704521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</v>
      </c>
      <c r="D26" s="409">
        <v>1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224</v>
      </c>
      <c r="D27" s="409">
        <v>193</v>
      </c>
      <c r="E27" s="409">
        <f>+D27-C27</f>
        <v>-31</v>
      </c>
      <c r="F27" s="410">
        <f>IF(C27=0,0,+E27/C27)</f>
        <v>-0.13839285714285715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225</v>
      </c>
      <c r="D30" s="401">
        <f>SUM(D26:D29)</f>
        <v>194</v>
      </c>
      <c r="E30" s="401">
        <f>+D30-C30</f>
        <v>-31</v>
      </c>
      <c r="F30" s="402">
        <f>IF(C30=0,0,+E30/C30)</f>
        <v>-0.13777777777777778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</v>
      </c>
      <c r="D43" s="409">
        <v>34</v>
      </c>
      <c r="E43" s="409">
        <f>+D43-C43</f>
        <v>31</v>
      </c>
      <c r="F43" s="410">
        <f>IF(C43=0,0,+E43/C43)</f>
        <v>10.333333333333334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4635</v>
      </c>
      <c r="D44" s="409">
        <v>4460</v>
      </c>
      <c r="E44" s="409">
        <f>+D44-C44</f>
        <v>-175</v>
      </c>
      <c r="F44" s="410">
        <f>IF(C44=0,0,+E44/C44)</f>
        <v>-3.7756202804746494E-2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4638</v>
      </c>
      <c r="D45" s="401">
        <f>SUM(D43:D44)</f>
        <v>4494</v>
      </c>
      <c r="E45" s="401">
        <f>+D45-C45</f>
        <v>-144</v>
      </c>
      <c r="F45" s="402">
        <f>IF(C45=0,0,+E45/C45)</f>
        <v>-3.1047865459249677E-2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1454</v>
      </c>
      <c r="D63" s="409">
        <v>1359</v>
      </c>
      <c r="E63" s="409">
        <f>+D63-C63</f>
        <v>-95</v>
      </c>
      <c r="F63" s="410">
        <f>IF(C63=0,0,+E63/C63)</f>
        <v>-6.5337001375515819E-2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2973</v>
      </c>
      <c r="D64" s="409">
        <v>3222</v>
      </c>
      <c r="E64" s="409">
        <f>+D64-C64</f>
        <v>249</v>
      </c>
      <c r="F64" s="410">
        <f>IF(C64=0,0,+E64/C64)</f>
        <v>8.3753784056508573E-2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4427</v>
      </c>
      <c r="D65" s="401">
        <f>SUM(D63:D64)</f>
        <v>4581</v>
      </c>
      <c r="E65" s="401">
        <f>+D65-C65</f>
        <v>154</v>
      </c>
      <c r="F65" s="402">
        <f>IF(C65=0,0,+E65/C65)</f>
        <v>3.4786537158346509E-2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367</v>
      </c>
      <c r="D68" s="409">
        <v>366</v>
      </c>
      <c r="E68" s="409">
        <f>+D68-C68</f>
        <v>-1</v>
      </c>
      <c r="F68" s="410">
        <f>IF(C68=0,0,+E68/C68)</f>
        <v>-2.7247956403269754E-3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3080</v>
      </c>
      <c r="D69" s="409">
        <v>2883</v>
      </c>
      <c r="E69" s="409">
        <f>+D69-C69</f>
        <v>-197</v>
      </c>
      <c r="F69" s="412">
        <f>IF(C69=0,0,+E69/C69)</f>
        <v>-6.3961038961038955E-2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3447</v>
      </c>
      <c r="D70" s="401">
        <f>SUM(D68:D69)</f>
        <v>3249</v>
      </c>
      <c r="E70" s="401">
        <f>+D70-C70</f>
        <v>-198</v>
      </c>
      <c r="F70" s="402">
        <f>IF(C70=0,0,+E70/C70)</f>
        <v>-5.7441253263707574E-2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4870</v>
      </c>
      <c r="D73" s="376">
        <v>5156</v>
      </c>
      <c r="E73" s="409">
        <f>+D73-C73</f>
        <v>286</v>
      </c>
      <c r="F73" s="410">
        <f>IF(C73=0,0,+E73/C73)</f>
        <v>5.8726899383983573E-2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36080</v>
      </c>
      <c r="D74" s="376">
        <v>34542</v>
      </c>
      <c r="E74" s="409">
        <f>+D74-C74</f>
        <v>-1538</v>
      </c>
      <c r="F74" s="410">
        <f>IF(C74=0,0,+E74/C74)</f>
        <v>-4.2627494456762748E-2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40950</v>
      </c>
      <c r="D75" s="401">
        <f>SUM(D73:D74)</f>
        <v>39698</v>
      </c>
      <c r="E75" s="401">
        <f>SUM(E73:E74)</f>
        <v>-1252</v>
      </c>
      <c r="F75" s="402">
        <f>IF(C75=0,0,+E75/C75)</f>
        <v>-3.0573870573870576E-2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6413</v>
      </c>
      <c r="D79" s="376">
        <v>5436</v>
      </c>
      <c r="E79" s="409">
        <f t="shared" ref="E79:E92" si="0">+D79-C79</f>
        <v>-977</v>
      </c>
      <c r="F79" s="410">
        <f t="shared" ref="F79:F92" si="1">IF(C79=0,0,+E79/C79)</f>
        <v>-0.15234679557149541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6684</v>
      </c>
      <c r="D81" s="376">
        <v>7040</v>
      </c>
      <c r="E81" s="409">
        <f t="shared" si="0"/>
        <v>356</v>
      </c>
      <c r="F81" s="410">
        <f t="shared" si="1"/>
        <v>5.3261520047875523E-2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161</v>
      </c>
      <c r="D82" s="376">
        <v>0</v>
      </c>
      <c r="E82" s="409">
        <f t="shared" si="0"/>
        <v>-161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133</v>
      </c>
      <c r="E86" s="409">
        <f t="shared" si="0"/>
        <v>133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13258</v>
      </c>
      <c r="D92" s="381">
        <f>SUM(D79:D91)</f>
        <v>12609</v>
      </c>
      <c r="E92" s="401">
        <f t="shared" si="0"/>
        <v>-649</v>
      </c>
      <c r="F92" s="402">
        <f t="shared" si="1"/>
        <v>-4.8951576406697846E-2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14170</v>
      </c>
      <c r="D95" s="414">
        <v>14352</v>
      </c>
      <c r="E95" s="415">
        <f t="shared" ref="E95:E100" si="2">+D95-C95</f>
        <v>182</v>
      </c>
      <c r="F95" s="412">
        <f t="shared" ref="F95:F100" si="3">IF(C95=0,0,+E95/C95)</f>
        <v>1.2844036697247707E-2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3025</v>
      </c>
      <c r="D96" s="414">
        <v>2684</v>
      </c>
      <c r="E96" s="409">
        <f t="shared" si="2"/>
        <v>-341</v>
      </c>
      <c r="F96" s="410">
        <f t="shared" si="3"/>
        <v>-0.11272727272727273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1143</v>
      </c>
      <c r="D97" s="414">
        <v>1211</v>
      </c>
      <c r="E97" s="409">
        <f t="shared" si="2"/>
        <v>68</v>
      </c>
      <c r="F97" s="410">
        <f t="shared" si="3"/>
        <v>5.94925634295713E-2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59510</v>
      </c>
      <c r="D99" s="414">
        <v>59032</v>
      </c>
      <c r="E99" s="409">
        <f t="shared" si="2"/>
        <v>-478</v>
      </c>
      <c r="F99" s="410">
        <f t="shared" si="3"/>
        <v>-8.0322634851285497E-3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77848</v>
      </c>
      <c r="D100" s="381">
        <f>SUM(D95:D99)</f>
        <v>77279</v>
      </c>
      <c r="E100" s="401">
        <f t="shared" si="2"/>
        <v>-569</v>
      </c>
      <c r="F100" s="402">
        <f t="shared" si="3"/>
        <v>-7.3091151988490394E-3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357</v>
      </c>
      <c r="D104" s="416">
        <v>301.89999999999998</v>
      </c>
      <c r="E104" s="417">
        <f>+D104-C104</f>
        <v>-55.100000000000023</v>
      </c>
      <c r="F104" s="410">
        <f>IF(C104=0,0,+E104/C104)</f>
        <v>-0.15434173669467793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45</v>
      </c>
      <c r="D105" s="416">
        <v>52.5</v>
      </c>
      <c r="E105" s="417">
        <f>+D105-C105</f>
        <v>7.5</v>
      </c>
      <c r="F105" s="410">
        <f>IF(C105=0,0,+E105/C105)</f>
        <v>0.16666666666666666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571</v>
      </c>
      <c r="D106" s="416">
        <v>548</v>
      </c>
      <c r="E106" s="417">
        <f>+D106-C106</f>
        <v>-23</v>
      </c>
      <c r="F106" s="410">
        <f>IF(C106=0,0,+E106/C106)</f>
        <v>-4.0280210157618214E-2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973</v>
      </c>
      <c r="D107" s="418">
        <f>SUM(D104:D106)</f>
        <v>902.4</v>
      </c>
      <c r="E107" s="418">
        <f>+D107-C107</f>
        <v>-70.600000000000023</v>
      </c>
      <c r="F107" s="402">
        <f>IF(C107=0,0,+E107/C107)</f>
        <v>-7.2559095580678343E-2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0</v>
      </c>
      <c r="C12" s="409">
        <v>2973</v>
      </c>
      <c r="D12" s="409">
        <v>3222</v>
      </c>
      <c r="E12" s="409">
        <f>+D12-C12</f>
        <v>249</v>
      </c>
      <c r="F12" s="410">
        <f>IF(C12=0,0,+E12/C12)</f>
        <v>8.3753784056508573E-2</v>
      </c>
    </row>
    <row r="13" spans="1:6" ht="15.75" customHeight="1" x14ac:dyDescent="0.25">
      <c r="A13" s="374"/>
      <c r="B13" s="399" t="s">
        <v>621</v>
      </c>
      <c r="C13" s="401">
        <f>SUM(C11:C12)</f>
        <v>2973</v>
      </c>
      <c r="D13" s="401">
        <f>SUM(D11:D12)</f>
        <v>3222</v>
      </c>
      <c r="E13" s="401">
        <f>+D13-C13</f>
        <v>249</v>
      </c>
      <c r="F13" s="402">
        <f>IF(C13=0,0,+E13/C13)</f>
        <v>8.3753784056508573E-2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0</v>
      </c>
      <c r="C16" s="409">
        <v>3080</v>
      </c>
      <c r="D16" s="409">
        <v>2883</v>
      </c>
      <c r="E16" s="409">
        <f>+D16-C16</f>
        <v>-197</v>
      </c>
      <c r="F16" s="410">
        <f>IF(C16=0,0,+E16/C16)</f>
        <v>-6.3961038961038955E-2</v>
      </c>
    </row>
    <row r="17" spans="1:6" ht="15.75" customHeight="1" x14ac:dyDescent="0.25">
      <c r="A17" s="374"/>
      <c r="B17" s="399" t="s">
        <v>622</v>
      </c>
      <c r="C17" s="401">
        <f>SUM(C15:C16)</f>
        <v>3080</v>
      </c>
      <c r="D17" s="401">
        <f>SUM(D15:D16)</f>
        <v>2883</v>
      </c>
      <c r="E17" s="401">
        <f>+D17-C17</f>
        <v>-197</v>
      </c>
      <c r="F17" s="402">
        <f>IF(C17=0,0,+E17/C17)</f>
        <v>-6.3961038961038955E-2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0</v>
      </c>
      <c r="C20" s="409">
        <v>36080</v>
      </c>
      <c r="D20" s="409">
        <v>34542</v>
      </c>
      <c r="E20" s="409">
        <f>+D20-C20</f>
        <v>-1538</v>
      </c>
      <c r="F20" s="410">
        <f>IF(C20=0,0,+E20/C20)</f>
        <v>-4.2627494456762748E-2</v>
      </c>
    </row>
    <row r="21" spans="1:6" ht="15.75" customHeight="1" x14ac:dyDescent="0.25">
      <c r="A21" s="374"/>
      <c r="B21" s="399" t="s">
        <v>624</v>
      </c>
      <c r="C21" s="401">
        <f>SUM(C19:C20)</f>
        <v>36080</v>
      </c>
      <c r="D21" s="401">
        <f>SUM(D19:D20)</f>
        <v>34542</v>
      </c>
      <c r="E21" s="401">
        <f>+D21-C21</f>
        <v>-1538</v>
      </c>
      <c r="F21" s="402">
        <f>IF(C21=0,0,+E21/C21)</f>
        <v>-4.2627494456762748E-2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625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626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627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106132822</v>
      </c>
      <c r="D15" s="448">
        <v>115723692</v>
      </c>
      <c r="E15" s="448">
        <f t="shared" ref="E15:E24" si="0">D15-C15</f>
        <v>9590870</v>
      </c>
      <c r="F15" s="449">
        <f t="shared" ref="F15:F24" si="1">IF(C15=0,0,E15/C15)</f>
        <v>9.0366672809284204E-2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33366452</v>
      </c>
      <c r="D16" s="448">
        <v>35052885</v>
      </c>
      <c r="E16" s="448">
        <f t="shared" si="0"/>
        <v>1686433</v>
      </c>
      <c r="F16" s="449">
        <f t="shared" si="1"/>
        <v>5.0542772722733602E-2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0.31438391414863159</v>
      </c>
      <c r="D17" s="453">
        <f>IF(LN_IA1=0,0,LN_IA2/LN_IA1)</f>
        <v>0.30290154413670106</v>
      </c>
      <c r="E17" s="454">
        <f t="shared" si="0"/>
        <v>-1.1482370011930532E-2</v>
      </c>
      <c r="F17" s="449">
        <f t="shared" si="1"/>
        <v>-3.6523401787350994E-2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3301</v>
      </c>
      <c r="D18" s="456">
        <v>3456</v>
      </c>
      <c r="E18" s="456">
        <f t="shared" si="0"/>
        <v>155</v>
      </c>
      <c r="F18" s="449">
        <f t="shared" si="1"/>
        <v>4.6955468039987881E-2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1.361</v>
      </c>
      <c r="D19" s="459">
        <v>1.3304</v>
      </c>
      <c r="E19" s="460">
        <f t="shared" si="0"/>
        <v>-3.0599999999999961E-2</v>
      </c>
      <c r="F19" s="449">
        <f t="shared" si="1"/>
        <v>-2.2483468038207173E-2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4492.6610000000001</v>
      </c>
      <c r="D20" s="463">
        <f>LN_IA4*LN_IA5</f>
        <v>4597.8624</v>
      </c>
      <c r="E20" s="463">
        <f t="shared" si="0"/>
        <v>105.20139999999992</v>
      </c>
      <c r="F20" s="449">
        <f t="shared" si="1"/>
        <v>2.3416278236884538E-2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7426.8795264098489</v>
      </c>
      <c r="D21" s="465">
        <f>IF(LN_IA6=0,0,LN_IA2/LN_IA6)</f>
        <v>7623.7351078622969</v>
      </c>
      <c r="E21" s="465">
        <f t="shared" si="0"/>
        <v>196.85558145244795</v>
      </c>
      <c r="F21" s="449">
        <f t="shared" si="1"/>
        <v>2.6505826673562303E-2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15894</v>
      </c>
      <c r="D22" s="456">
        <v>17572</v>
      </c>
      <c r="E22" s="456">
        <f t="shared" si="0"/>
        <v>1678</v>
      </c>
      <c r="F22" s="449">
        <f t="shared" si="1"/>
        <v>0.10557443060274317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2099.3111866112999</v>
      </c>
      <c r="D23" s="465">
        <f>IF(LN_IA8=0,0,LN_IA2/LN_IA8)</f>
        <v>1994.8147621215571</v>
      </c>
      <c r="E23" s="465">
        <f t="shared" si="0"/>
        <v>-104.49642448974282</v>
      </c>
      <c r="F23" s="449">
        <f t="shared" si="1"/>
        <v>-4.9776529156890049E-2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4.8149045743714023</v>
      </c>
      <c r="D24" s="466">
        <f>IF(LN_IA4=0,0,LN_IA8/LN_IA4)</f>
        <v>5.0844907407407405</v>
      </c>
      <c r="E24" s="466">
        <f t="shared" si="0"/>
        <v>0.26958616636933819</v>
      </c>
      <c r="F24" s="449">
        <f t="shared" si="1"/>
        <v>5.5989929230224326E-2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77487056</v>
      </c>
      <c r="D27" s="448">
        <v>80923302</v>
      </c>
      <c r="E27" s="448">
        <f t="shared" ref="E27:E32" si="2">D27-C27</f>
        <v>3436246</v>
      </c>
      <c r="F27" s="449">
        <f t="shared" ref="F27:F32" si="3">IF(C27=0,0,E27/C27)</f>
        <v>4.434606471563457E-2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14130060</v>
      </c>
      <c r="D28" s="448">
        <v>15795456</v>
      </c>
      <c r="E28" s="448">
        <f t="shared" si="2"/>
        <v>1665396</v>
      </c>
      <c r="F28" s="449">
        <f t="shared" si="3"/>
        <v>0.11786191990692184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0.18235381145465121</v>
      </c>
      <c r="D29" s="453">
        <f>IF(LN_IA11=0,0,LN_IA12/LN_IA11)</f>
        <v>0.19519045330107759</v>
      </c>
      <c r="E29" s="454">
        <f t="shared" si="2"/>
        <v>1.2836641846426383E-2</v>
      </c>
      <c r="F29" s="449">
        <f t="shared" si="3"/>
        <v>7.0394151589305676E-2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0.73009512552111355</v>
      </c>
      <c r="D30" s="453">
        <f>IF(LN_IA1=0,0,LN_IA11/LN_IA1)</f>
        <v>0.69928033405640044</v>
      </c>
      <c r="E30" s="454">
        <f t="shared" si="2"/>
        <v>-3.0814791464713109E-2</v>
      </c>
      <c r="F30" s="449">
        <f t="shared" si="3"/>
        <v>-4.2206543212733691E-2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2410.0440093451957</v>
      </c>
      <c r="D31" s="463">
        <f>LN_IA14*LN_IA4</f>
        <v>2416.7128344989201</v>
      </c>
      <c r="E31" s="463">
        <f t="shared" si="2"/>
        <v>6.6688251537243559</v>
      </c>
      <c r="F31" s="449">
        <f t="shared" si="3"/>
        <v>2.7670968363504127E-3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5862.9883708385514</v>
      </c>
      <c r="D32" s="465">
        <f>IF(LN_IA15=0,0,LN_IA12/LN_IA15)</f>
        <v>6535.9258967460328</v>
      </c>
      <c r="E32" s="465">
        <f t="shared" si="2"/>
        <v>672.93752590748136</v>
      </c>
      <c r="F32" s="449">
        <f t="shared" si="3"/>
        <v>0.11477722337887475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183619878</v>
      </c>
      <c r="D35" s="448">
        <f>LN_IA1+LN_IA11</f>
        <v>196646994</v>
      </c>
      <c r="E35" s="448">
        <f>D35-C35</f>
        <v>13027116</v>
      </c>
      <c r="F35" s="449">
        <f>IF(C35=0,0,E35/C35)</f>
        <v>7.0946109658127532E-2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47496512</v>
      </c>
      <c r="D36" s="448">
        <f>LN_IA2+LN_IA12</f>
        <v>50848341</v>
      </c>
      <c r="E36" s="448">
        <f>D36-C36</f>
        <v>3351829</v>
      </c>
      <c r="F36" s="449">
        <f>IF(C36=0,0,E36/C36)</f>
        <v>7.0570003119386951E-2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136123366</v>
      </c>
      <c r="D37" s="448">
        <f>LN_IA17-LN_IA18</f>
        <v>145798653</v>
      </c>
      <c r="E37" s="448">
        <f>D37-C37</f>
        <v>9675287</v>
      </c>
      <c r="F37" s="449">
        <f>IF(C37=0,0,E37/C37)</f>
        <v>7.1077341710753764E-2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55982381</v>
      </c>
      <c r="D42" s="448">
        <v>55746660</v>
      </c>
      <c r="E42" s="448">
        <f t="shared" ref="E42:E53" si="4">D42-C42</f>
        <v>-235721</v>
      </c>
      <c r="F42" s="449">
        <f t="shared" ref="F42:F53" si="5">IF(C42=0,0,E42/C42)</f>
        <v>-4.2106283403701601E-3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21249204</v>
      </c>
      <c r="D43" s="448">
        <v>21796955</v>
      </c>
      <c r="E43" s="448">
        <f t="shared" si="4"/>
        <v>547751</v>
      </c>
      <c r="F43" s="449">
        <f t="shared" si="5"/>
        <v>2.577748324125459E-2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0.37956949348045771</v>
      </c>
      <c r="D44" s="453">
        <f>IF(LN_IB1=0,0,LN_IB2/LN_IB1)</f>
        <v>0.39100019624494098</v>
      </c>
      <c r="E44" s="454">
        <f t="shared" si="4"/>
        <v>1.1430702764483269E-2</v>
      </c>
      <c r="F44" s="449">
        <f t="shared" si="5"/>
        <v>3.0114914293215674E-2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2462</v>
      </c>
      <c r="D45" s="456">
        <v>2395</v>
      </c>
      <c r="E45" s="456">
        <f t="shared" si="4"/>
        <v>-67</v>
      </c>
      <c r="F45" s="449">
        <f t="shared" si="5"/>
        <v>-2.7213647441104792E-2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1.02</v>
      </c>
      <c r="D46" s="459">
        <v>1.0626</v>
      </c>
      <c r="E46" s="460">
        <f t="shared" si="4"/>
        <v>4.2599999999999971E-2</v>
      </c>
      <c r="F46" s="449">
        <f t="shared" si="5"/>
        <v>4.1764705882352912E-2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2511.2400000000002</v>
      </c>
      <c r="D47" s="463">
        <f>LN_IB4*LN_IB5</f>
        <v>2544.9270000000001</v>
      </c>
      <c r="E47" s="463">
        <f t="shared" si="4"/>
        <v>33.686999999999898</v>
      </c>
      <c r="F47" s="449">
        <f t="shared" si="5"/>
        <v>1.3414488459884319E-2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8461.6380752138375</v>
      </c>
      <c r="D48" s="465">
        <f>IF(LN_IB6=0,0,LN_IB2/LN_IB6)</f>
        <v>8564.8645324600657</v>
      </c>
      <c r="E48" s="465">
        <f t="shared" si="4"/>
        <v>103.22645724622816</v>
      </c>
      <c r="F48" s="449">
        <f t="shared" si="5"/>
        <v>1.2199346784708643E-2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-1034.7585488039886</v>
      </c>
      <c r="D49" s="465">
        <f>LN_IA7-LN_IB7</f>
        <v>-941.12942459776878</v>
      </c>
      <c r="E49" s="465">
        <f t="shared" si="4"/>
        <v>93.629124206219785</v>
      </c>
      <c r="F49" s="449">
        <f t="shared" si="5"/>
        <v>-9.0484030612203906E-2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-2598527.0580985285</v>
      </c>
      <c r="D50" s="479">
        <f>LN_IB8*LN_IB6</f>
        <v>-2395105.6831533262</v>
      </c>
      <c r="E50" s="479">
        <f t="shared" si="4"/>
        <v>203421.37494520238</v>
      </c>
      <c r="F50" s="449">
        <f t="shared" si="5"/>
        <v>-7.8283339136770783E-2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8595</v>
      </c>
      <c r="D51" s="456">
        <v>8583</v>
      </c>
      <c r="E51" s="456">
        <f t="shared" si="4"/>
        <v>-12</v>
      </c>
      <c r="F51" s="449">
        <f t="shared" si="5"/>
        <v>-1.3961605584642235E-3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2472.2750436300175</v>
      </c>
      <c r="D52" s="465">
        <f>IF(LN_IB10=0,0,LN_IB2/LN_IB10)</f>
        <v>2539.5496912501458</v>
      </c>
      <c r="E52" s="465">
        <f t="shared" si="4"/>
        <v>67.274647620128235</v>
      </c>
      <c r="F52" s="449">
        <f t="shared" si="5"/>
        <v>2.7211635612091736E-2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3.4910641754671001</v>
      </c>
      <c r="D53" s="466">
        <f>IF(LN_IB4=0,0,LN_IB10/LN_IB4)</f>
        <v>3.5837160751565764</v>
      </c>
      <c r="E53" s="466">
        <f t="shared" si="4"/>
        <v>9.2651899689476291E-2</v>
      </c>
      <c r="F53" s="449">
        <f t="shared" si="5"/>
        <v>2.6539729730714442E-2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115222423</v>
      </c>
      <c r="D56" s="448">
        <v>118492157</v>
      </c>
      <c r="E56" s="448">
        <f t="shared" ref="E56:E63" si="6">D56-C56</f>
        <v>3269734</v>
      </c>
      <c r="F56" s="449">
        <f t="shared" ref="F56:F63" si="7">IF(C56=0,0,E56/C56)</f>
        <v>2.837758410964852E-2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40943036</v>
      </c>
      <c r="D57" s="448">
        <v>41299783</v>
      </c>
      <c r="E57" s="448">
        <f t="shared" si="6"/>
        <v>356747</v>
      </c>
      <c r="F57" s="449">
        <f t="shared" si="7"/>
        <v>8.7132522365952533E-3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0.35533913394617644</v>
      </c>
      <c r="D58" s="453">
        <f>IF(LN_IB13=0,0,LN_IB14/LN_IB13)</f>
        <v>0.34854444416941455</v>
      </c>
      <c r="E58" s="454">
        <f t="shared" si="6"/>
        <v>-6.7946897767618974E-3</v>
      </c>
      <c r="F58" s="449">
        <f t="shared" si="7"/>
        <v>-1.9121704106452558E-2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2.0581908261458191</v>
      </c>
      <c r="D59" s="453">
        <f>IF(LN_IB1=0,0,LN_IB13/LN_IB1)</f>
        <v>2.1255471987021286</v>
      </c>
      <c r="E59" s="454">
        <f t="shared" si="6"/>
        <v>6.7356372556309552E-2</v>
      </c>
      <c r="F59" s="449">
        <f t="shared" si="7"/>
        <v>3.2726009513141946E-2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5067.2658139710065</v>
      </c>
      <c r="D60" s="463">
        <f>LN_IB16*LN_IB4</f>
        <v>5090.6855408915981</v>
      </c>
      <c r="E60" s="463">
        <f t="shared" si="6"/>
        <v>23.419726920591529</v>
      </c>
      <c r="F60" s="449">
        <f t="shared" si="7"/>
        <v>4.6217679869922706E-3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8079.9068971506422</v>
      </c>
      <c r="D61" s="465">
        <f>IF(LN_IB17=0,0,LN_IB14/LN_IB17)</f>
        <v>8112.8136217124566</v>
      </c>
      <c r="E61" s="465">
        <f t="shared" si="6"/>
        <v>32.906724561814372</v>
      </c>
      <c r="F61" s="449">
        <f t="shared" si="7"/>
        <v>4.0726613537364941E-3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-2216.9185263120908</v>
      </c>
      <c r="D62" s="465">
        <f>LN_IA16-LN_IB18</f>
        <v>-1576.8877249664238</v>
      </c>
      <c r="E62" s="465">
        <f t="shared" si="6"/>
        <v>640.03080134566699</v>
      </c>
      <c r="F62" s="449">
        <f t="shared" si="7"/>
        <v>-0.28870289717429404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-11233715.46074024</v>
      </c>
      <c r="D63" s="448">
        <f>LN_IB19*LN_IB17</f>
        <v>-8027439.5410960205</v>
      </c>
      <c r="E63" s="448">
        <f t="shared" si="6"/>
        <v>3206275.9196442198</v>
      </c>
      <c r="F63" s="449">
        <f t="shared" si="7"/>
        <v>-0.28541544699521382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171204804</v>
      </c>
      <c r="D66" s="448">
        <f>LN_IB1+LN_IB13</f>
        <v>174238817</v>
      </c>
      <c r="E66" s="448">
        <f>D66-C66</f>
        <v>3034013</v>
      </c>
      <c r="F66" s="449">
        <f>IF(C66=0,0,E66/C66)</f>
        <v>1.7721541271704035E-2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62192240</v>
      </c>
      <c r="D67" s="448">
        <f>LN_IB2+LN_IB14</f>
        <v>63096738</v>
      </c>
      <c r="E67" s="448">
        <f>D67-C67</f>
        <v>904498</v>
      </c>
      <c r="F67" s="449">
        <f>IF(C67=0,0,E67/C67)</f>
        <v>1.4543582929317227E-2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109012564</v>
      </c>
      <c r="D68" s="448">
        <f>LN_IB21-LN_IB22</f>
        <v>111142079</v>
      </c>
      <c r="E68" s="448">
        <f>D68-C68</f>
        <v>2129515</v>
      </c>
      <c r="F68" s="449">
        <f>IF(C68=0,0,E68/C68)</f>
        <v>1.9534583188044269E-2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-13832242.518838769</v>
      </c>
      <c r="D70" s="441">
        <f>LN_IB9+LN_IB20</f>
        <v>-10422545.224249346</v>
      </c>
      <c r="E70" s="448">
        <f>D70-C70</f>
        <v>3409697.2945894226</v>
      </c>
      <c r="F70" s="449">
        <f>IF(C70=0,0,E70/C70)</f>
        <v>-0.24650357958556601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160152815</v>
      </c>
      <c r="D73" s="488">
        <v>168743461</v>
      </c>
      <c r="E73" s="488">
        <f>D73-C73</f>
        <v>8590646</v>
      </c>
      <c r="F73" s="489">
        <f>IF(C73=0,0,E73/C73)</f>
        <v>5.3640305979011357E-2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65185648</v>
      </c>
      <c r="D74" s="488">
        <v>64824539</v>
      </c>
      <c r="E74" s="488">
        <f>D74-C74</f>
        <v>-361109</v>
      </c>
      <c r="F74" s="489">
        <f>IF(C74=0,0,E74/C74)</f>
        <v>-5.5397010090319264E-3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94967167</v>
      </c>
      <c r="D76" s="441">
        <f>LN_IB32-LN_IB33</f>
        <v>103918922</v>
      </c>
      <c r="E76" s="488">
        <f>D76-C76</f>
        <v>8951755</v>
      </c>
      <c r="F76" s="489">
        <f>IF(E76=0,0,E76/C76)</f>
        <v>9.4261577793512574E-2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0.59297844374449493</v>
      </c>
      <c r="D77" s="453">
        <f>IF(LN_IB32=0,0,LN_IB34/LN_IB32)</f>
        <v>0.6158396976342686</v>
      </c>
      <c r="E77" s="493">
        <f>D77-C77</f>
        <v>2.2861253889773669E-2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2363415</v>
      </c>
      <c r="D83" s="448">
        <v>2035467</v>
      </c>
      <c r="E83" s="448">
        <f t="shared" ref="E83:E95" si="8">D83-C83</f>
        <v>-327948</v>
      </c>
      <c r="F83" s="449">
        <f t="shared" ref="F83:F95" si="9">IF(C83=0,0,E83/C83)</f>
        <v>-0.13876022619810741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217590</v>
      </c>
      <c r="D84" s="448">
        <v>392743</v>
      </c>
      <c r="E84" s="448">
        <f t="shared" si="8"/>
        <v>175153</v>
      </c>
      <c r="F84" s="449">
        <f t="shared" si="9"/>
        <v>0.8049680591938968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9.2065930020753861E-2</v>
      </c>
      <c r="D85" s="453">
        <f>IF(LN_IC1=0,0,LN_IC2/LN_IC1)</f>
        <v>0.19294982429093668</v>
      </c>
      <c r="E85" s="454">
        <f t="shared" si="8"/>
        <v>0.10088389427018282</v>
      </c>
      <c r="F85" s="449">
        <f t="shared" si="9"/>
        <v>1.0957787994694801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74</v>
      </c>
      <c r="D86" s="456">
        <v>85</v>
      </c>
      <c r="E86" s="456">
        <f t="shared" si="8"/>
        <v>11</v>
      </c>
      <c r="F86" s="449">
        <f t="shared" si="9"/>
        <v>0.14864864864864866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1.0309999999999999</v>
      </c>
      <c r="D87" s="459">
        <v>1.0423</v>
      </c>
      <c r="E87" s="460">
        <f t="shared" si="8"/>
        <v>1.1300000000000088E-2</v>
      </c>
      <c r="F87" s="449">
        <f t="shared" si="9"/>
        <v>1.0960232783705226E-2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76.293999999999997</v>
      </c>
      <c r="D88" s="463">
        <f>LN_IC4*LN_IC5</f>
        <v>88.595500000000001</v>
      </c>
      <c r="E88" s="463">
        <f t="shared" si="8"/>
        <v>12.301500000000004</v>
      </c>
      <c r="F88" s="449">
        <f t="shared" si="9"/>
        <v>0.16123810522452625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2851.9936036909849</v>
      </c>
      <c r="D89" s="465">
        <f>IF(LN_IC6=0,0,LN_IC2/LN_IC6)</f>
        <v>4432.9903889023708</v>
      </c>
      <c r="E89" s="465">
        <f t="shared" si="8"/>
        <v>1580.9967852113859</v>
      </c>
      <c r="F89" s="449">
        <f t="shared" si="9"/>
        <v>0.55434794214310157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5609.6444715228527</v>
      </c>
      <c r="D90" s="465">
        <f>LN_IB7-LN_IC7</f>
        <v>4131.8741435576949</v>
      </c>
      <c r="E90" s="465">
        <f t="shared" si="8"/>
        <v>-1477.7703279651578</v>
      </c>
      <c r="F90" s="449">
        <f t="shared" si="9"/>
        <v>-0.26343386563391008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4574.8859227188641</v>
      </c>
      <c r="D91" s="465">
        <f>LN_IA7-LN_IC7</f>
        <v>3190.7447189599261</v>
      </c>
      <c r="E91" s="465">
        <f t="shared" si="8"/>
        <v>-1384.141203758938</v>
      </c>
      <c r="F91" s="449">
        <f t="shared" si="9"/>
        <v>-0.30255206952490304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349036.34658791299</v>
      </c>
      <c r="D92" s="441">
        <f>LN_IC9*LN_IC6</f>
        <v>282685.62374861416</v>
      </c>
      <c r="E92" s="441">
        <f t="shared" si="8"/>
        <v>-66350.722839298833</v>
      </c>
      <c r="F92" s="449">
        <f t="shared" si="9"/>
        <v>-0.19009688672233122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283</v>
      </c>
      <c r="D93" s="456">
        <v>326</v>
      </c>
      <c r="E93" s="456">
        <f t="shared" si="8"/>
        <v>43</v>
      </c>
      <c r="F93" s="449">
        <f t="shared" si="9"/>
        <v>0.1519434628975265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768.86925795053003</v>
      </c>
      <c r="D94" s="499">
        <f>IF(LN_IC11=0,0,LN_IC2/LN_IC11)</f>
        <v>1204.7331288343557</v>
      </c>
      <c r="E94" s="499">
        <f t="shared" si="8"/>
        <v>435.86387088382571</v>
      </c>
      <c r="F94" s="449">
        <f t="shared" si="9"/>
        <v>0.56688945015911885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3.8243243243243241</v>
      </c>
      <c r="D95" s="466">
        <f>IF(LN_IC4=0,0,LN_IC11/LN_IC4)</f>
        <v>3.835294117647059</v>
      </c>
      <c r="E95" s="466">
        <f t="shared" si="8"/>
        <v>1.0969793322734844E-2</v>
      </c>
      <c r="F95" s="449">
        <f t="shared" si="9"/>
        <v>2.8684265225525744E-3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4928420</v>
      </c>
      <c r="D98" s="448">
        <v>3459888</v>
      </c>
      <c r="E98" s="448">
        <f t="shared" ref="E98:E106" si="10">D98-C98</f>
        <v>-1468532</v>
      </c>
      <c r="F98" s="449">
        <f t="shared" ref="F98:F106" si="11">IF(C98=0,0,E98/C98)</f>
        <v>-0.29797216957970302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330646</v>
      </c>
      <c r="D99" s="448">
        <v>407470</v>
      </c>
      <c r="E99" s="448">
        <f t="shared" si="10"/>
        <v>76824</v>
      </c>
      <c r="F99" s="449">
        <f t="shared" si="11"/>
        <v>0.23234516673421121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6.7089655508256199E-2</v>
      </c>
      <c r="D100" s="453">
        <f>IF(LN_IC14=0,0,LN_IC15/LN_IC14)</f>
        <v>0.11776970815240262</v>
      </c>
      <c r="E100" s="454">
        <f t="shared" si="10"/>
        <v>5.068005264414642E-2</v>
      </c>
      <c r="F100" s="449">
        <f t="shared" si="11"/>
        <v>0.75540785327045867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2.0852960652276473</v>
      </c>
      <c r="D101" s="453">
        <f>IF(LN_IC1=0,0,LN_IC14/LN_IC1)</f>
        <v>1.6998005863027994</v>
      </c>
      <c r="E101" s="454">
        <f t="shared" si="10"/>
        <v>-0.38549547892484792</v>
      </c>
      <c r="F101" s="449">
        <f t="shared" si="11"/>
        <v>-0.18486366773188354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154.31190882684589</v>
      </c>
      <c r="D102" s="463">
        <f>LN_IC17*LN_IC4</f>
        <v>144.48304983573794</v>
      </c>
      <c r="E102" s="463">
        <f t="shared" si="10"/>
        <v>-9.8288589911079498</v>
      </c>
      <c r="F102" s="449">
        <f t="shared" si="11"/>
        <v>-6.3694753475812146E-2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2142.7121374735852</v>
      </c>
      <c r="D103" s="465">
        <f>IF(LN_IC18=0,0,LN_IC15/LN_IC18)</f>
        <v>2820.1924063981942</v>
      </c>
      <c r="E103" s="465">
        <f t="shared" si="10"/>
        <v>677.48026892460894</v>
      </c>
      <c r="F103" s="449">
        <f t="shared" si="11"/>
        <v>0.31617885439497623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5937.1947596770569</v>
      </c>
      <c r="D104" s="465">
        <f>LN_IB18-LN_IC19</f>
        <v>5292.6212153142624</v>
      </c>
      <c r="E104" s="465">
        <f t="shared" si="10"/>
        <v>-644.57354436279456</v>
      </c>
      <c r="F104" s="449">
        <f t="shared" si="11"/>
        <v>-0.10856533606417436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3720.2762333649662</v>
      </c>
      <c r="D105" s="465">
        <f>LN_IA16-LN_IC19</f>
        <v>3715.7334903478386</v>
      </c>
      <c r="E105" s="465">
        <f t="shared" si="10"/>
        <v>-4.5427430171275773</v>
      </c>
      <c r="F105" s="449">
        <f t="shared" si="11"/>
        <v>-1.2210768051002211E-3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574082.92693369626</v>
      </c>
      <c r="D106" s="448">
        <f>LN_IC21*LN_IC18</f>
        <v>536860.50706224726</v>
      </c>
      <c r="E106" s="448">
        <f t="shared" si="10"/>
        <v>-37222.419871449005</v>
      </c>
      <c r="F106" s="449">
        <f t="shared" si="11"/>
        <v>-6.4838054094836395E-2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7291835</v>
      </c>
      <c r="D109" s="448">
        <f>LN_IC1+LN_IC14</f>
        <v>5495355</v>
      </c>
      <c r="E109" s="448">
        <f>D109-C109</f>
        <v>-1796480</v>
      </c>
      <c r="F109" s="449">
        <f>IF(C109=0,0,E109/C109)</f>
        <v>-0.24636871240229655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548236</v>
      </c>
      <c r="D110" s="448">
        <f>LN_IC2+LN_IC15</f>
        <v>800213</v>
      </c>
      <c r="E110" s="448">
        <f>D110-C110</f>
        <v>251977</v>
      </c>
      <c r="F110" s="449">
        <f>IF(C110=0,0,E110/C110)</f>
        <v>0.45961410779299428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6743599</v>
      </c>
      <c r="D111" s="448">
        <f>LN_IC23-LN_IC24</f>
        <v>4695142</v>
      </c>
      <c r="E111" s="448">
        <f>D111-C111</f>
        <v>-2048457</v>
      </c>
      <c r="F111" s="449">
        <f>IF(C111=0,0,E111/C111)</f>
        <v>-0.30376316859884461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923119.27352160926</v>
      </c>
      <c r="D113" s="448">
        <f>LN_IC10+LN_IC22</f>
        <v>819546.13081086148</v>
      </c>
      <c r="E113" s="448">
        <f>D113-C113</f>
        <v>-103573.14271074778</v>
      </c>
      <c r="F113" s="449">
        <f>IF(C113=0,0,E113/C113)</f>
        <v>-0.11219909028182937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22585556</v>
      </c>
      <c r="D118" s="448">
        <v>25825407</v>
      </c>
      <c r="E118" s="448">
        <f t="shared" ref="E118:E130" si="12">D118-C118</f>
        <v>3239851</v>
      </c>
      <c r="F118" s="449">
        <f t="shared" ref="F118:F130" si="13">IF(C118=0,0,E118/C118)</f>
        <v>0.14344791866093534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4478767</v>
      </c>
      <c r="D119" s="448">
        <v>4144209</v>
      </c>
      <c r="E119" s="448">
        <f t="shared" si="12"/>
        <v>-334558</v>
      </c>
      <c r="F119" s="449">
        <f t="shared" si="13"/>
        <v>-7.4698683811861608E-2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0.19830226893683733</v>
      </c>
      <c r="D120" s="453">
        <f>IF(LN_ID1=0,0,LN_1D2/LN_ID1)</f>
        <v>0.16047022995610485</v>
      </c>
      <c r="E120" s="454">
        <f t="shared" si="12"/>
        <v>-3.783203898073248E-2</v>
      </c>
      <c r="F120" s="449">
        <f t="shared" si="13"/>
        <v>-0.19077965765879679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1283</v>
      </c>
      <c r="D121" s="456">
        <v>1315</v>
      </c>
      <c r="E121" s="456">
        <f t="shared" si="12"/>
        <v>32</v>
      </c>
      <c r="F121" s="449">
        <f t="shared" si="13"/>
        <v>2.4941543257989088E-2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0.77400000000000002</v>
      </c>
      <c r="D122" s="459">
        <v>0.80500000000000005</v>
      </c>
      <c r="E122" s="460">
        <f t="shared" si="12"/>
        <v>3.1000000000000028E-2</v>
      </c>
      <c r="F122" s="449">
        <f t="shared" si="13"/>
        <v>4.0051679586563339E-2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993.04200000000003</v>
      </c>
      <c r="D123" s="463">
        <f>LN_ID4*LN_ID5</f>
        <v>1058.575</v>
      </c>
      <c r="E123" s="463">
        <f t="shared" si="12"/>
        <v>65.533000000000015</v>
      </c>
      <c r="F123" s="449">
        <f t="shared" si="13"/>
        <v>6.5992173543515803E-2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4510.1486140566058</v>
      </c>
      <c r="D124" s="465">
        <f>IF(LN_ID6=0,0,LN_1D2/LN_ID6)</f>
        <v>3914.8940793047254</v>
      </c>
      <c r="E124" s="465">
        <f t="shared" si="12"/>
        <v>-595.25453475188033</v>
      </c>
      <c r="F124" s="449">
        <f t="shared" si="13"/>
        <v>-0.13198113536584438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3951.4894611572317</v>
      </c>
      <c r="D125" s="465">
        <f>LN_IB7-LN_ID7</f>
        <v>4649.9704531553398</v>
      </c>
      <c r="E125" s="465">
        <f t="shared" si="12"/>
        <v>698.48099199810804</v>
      </c>
      <c r="F125" s="449">
        <f t="shared" si="13"/>
        <v>0.17676397694188742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2916.7309123532432</v>
      </c>
      <c r="D126" s="465">
        <f>LN_IA7-LN_ID7</f>
        <v>3708.8410285575715</v>
      </c>
      <c r="E126" s="465">
        <f t="shared" si="12"/>
        <v>792.11011620432828</v>
      </c>
      <c r="F126" s="449">
        <f t="shared" si="13"/>
        <v>0.2715746292705648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2896436.2986650895</v>
      </c>
      <c r="D127" s="479">
        <f>LN_ID9*LN_ID6</f>
        <v>3926086.3918053312</v>
      </c>
      <c r="E127" s="479">
        <f t="shared" si="12"/>
        <v>1029650.0931402417</v>
      </c>
      <c r="F127" s="449">
        <f t="shared" si="13"/>
        <v>0.35548860287891959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4761</v>
      </c>
      <c r="D128" s="456">
        <v>5093</v>
      </c>
      <c r="E128" s="456">
        <f t="shared" si="12"/>
        <v>332</v>
      </c>
      <c r="F128" s="449">
        <f t="shared" si="13"/>
        <v>6.9733249317370294E-2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940.71980676328508</v>
      </c>
      <c r="D129" s="465">
        <f>IF(LN_ID11=0,0,LN_1D2/LN_ID11)</f>
        <v>813.70685254270563</v>
      </c>
      <c r="E129" s="465">
        <f t="shared" si="12"/>
        <v>-127.01295422057945</v>
      </c>
      <c r="F129" s="449">
        <f t="shared" si="13"/>
        <v>-0.13501677471593826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3.7108339828526891</v>
      </c>
      <c r="D130" s="466">
        <f>IF(LN_ID4=0,0,LN_ID11/LN_ID4)</f>
        <v>3.8730038022813686</v>
      </c>
      <c r="E130" s="466">
        <f t="shared" si="12"/>
        <v>0.16216981942867958</v>
      </c>
      <c r="F130" s="449">
        <f t="shared" si="13"/>
        <v>4.3701717775046396E-2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39475611</v>
      </c>
      <c r="D133" s="448">
        <v>46202245</v>
      </c>
      <c r="E133" s="448">
        <f t="shared" ref="E133:E141" si="14">D133-C133</f>
        <v>6726634</v>
      </c>
      <c r="F133" s="449">
        <f t="shared" ref="F133:F141" si="15">IF(C133=0,0,E133/C133)</f>
        <v>0.17039974378103989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7051823</v>
      </c>
      <c r="D134" s="448">
        <v>8277794</v>
      </c>
      <c r="E134" s="448">
        <f t="shared" si="14"/>
        <v>1225971</v>
      </c>
      <c r="F134" s="449">
        <f t="shared" si="15"/>
        <v>0.17385164091611488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0.17863746301482197</v>
      </c>
      <c r="D135" s="453">
        <f>IF(LN_ID14=0,0,LN_ID15/LN_ID14)</f>
        <v>0.17916432415784125</v>
      </c>
      <c r="E135" s="454">
        <f t="shared" si="14"/>
        <v>5.2686114301928044E-4</v>
      </c>
      <c r="F135" s="449">
        <f t="shared" si="15"/>
        <v>2.9493317590138721E-3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1.7478255129074529</v>
      </c>
      <c r="D136" s="453">
        <f>IF(LN_ID1=0,0,LN_ID14/LN_ID1)</f>
        <v>1.7890229183996984</v>
      </c>
      <c r="E136" s="454">
        <f t="shared" si="14"/>
        <v>4.1197405492245487E-2</v>
      </c>
      <c r="F136" s="449">
        <f t="shared" si="15"/>
        <v>2.3570662625077999E-2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2242.4601330602623</v>
      </c>
      <c r="D137" s="463">
        <f>LN_ID17*LN_ID4</f>
        <v>2352.5651376956034</v>
      </c>
      <c r="E137" s="463">
        <f t="shared" si="14"/>
        <v>110.10500463534117</v>
      </c>
      <c r="F137" s="449">
        <f t="shared" si="15"/>
        <v>4.9100094584549878E-2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3144.6815468582936</v>
      </c>
      <c r="D138" s="465">
        <f>IF(LN_ID18=0,0,LN_ID15/LN_ID18)</f>
        <v>3518.6247842252337</v>
      </c>
      <c r="E138" s="465">
        <f t="shared" si="14"/>
        <v>373.94323736694014</v>
      </c>
      <c r="F138" s="449">
        <f t="shared" si="15"/>
        <v>0.11891291114692666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4935.2253502923486</v>
      </c>
      <c r="D139" s="465">
        <f>LN_IB18-LN_ID19</f>
        <v>4594.1888374872233</v>
      </c>
      <c r="E139" s="465">
        <f t="shared" si="14"/>
        <v>-341.03651280512531</v>
      </c>
      <c r="F139" s="449">
        <f t="shared" si="15"/>
        <v>-6.9102520877779836E-2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2718.3068239802578</v>
      </c>
      <c r="D140" s="465">
        <f>LN_IA16-LN_ID19</f>
        <v>3017.3011125207991</v>
      </c>
      <c r="E140" s="465">
        <f t="shared" si="14"/>
        <v>298.99428854054122</v>
      </c>
      <c r="F140" s="449">
        <f t="shared" si="15"/>
        <v>0.10999284036036129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6095694.6822013883</v>
      </c>
      <c r="D141" s="441">
        <f>LN_ID21*LN_ID18</f>
        <v>7098397.4072465906</v>
      </c>
      <c r="E141" s="441">
        <f t="shared" si="14"/>
        <v>1002702.7250452023</v>
      </c>
      <c r="F141" s="449">
        <f t="shared" si="15"/>
        <v>0.16449359381022804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62061167</v>
      </c>
      <c r="D144" s="448">
        <f>LN_ID1+LN_ID14</f>
        <v>72027652</v>
      </c>
      <c r="E144" s="448">
        <f>D144-C144</f>
        <v>9966485</v>
      </c>
      <c r="F144" s="449">
        <f>IF(C144=0,0,E144/C144)</f>
        <v>0.16059132436230211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11530590</v>
      </c>
      <c r="D145" s="448">
        <f>LN_1D2+LN_ID15</f>
        <v>12422003</v>
      </c>
      <c r="E145" s="448">
        <f>D145-C145</f>
        <v>891413</v>
      </c>
      <c r="F145" s="449">
        <f>IF(C145=0,0,E145/C145)</f>
        <v>7.7308533214692401E-2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50530577</v>
      </c>
      <c r="D146" s="448">
        <f>LN_ID23-LN_ID24</f>
        <v>59605649</v>
      </c>
      <c r="E146" s="448">
        <f>D146-C146</f>
        <v>9075072</v>
      </c>
      <c r="F146" s="449">
        <f>IF(C146=0,0,E146/C146)</f>
        <v>0.17959565353864848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8992130.9808664769</v>
      </c>
      <c r="D148" s="448">
        <f>LN_ID10+LN_ID22</f>
        <v>11024483.799051922</v>
      </c>
      <c r="E148" s="448">
        <f>D148-C148</f>
        <v>2032352.8181854449</v>
      </c>
      <c r="F148" s="503">
        <f>IF(C148=0,0,E148/C148)</f>
        <v>0.22601459237080737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8461.6380752138375</v>
      </c>
      <c r="D160" s="465">
        <f>LN_IB7-LN_IE7</f>
        <v>8564.8645324600657</v>
      </c>
      <c r="E160" s="465">
        <f t="shared" si="16"/>
        <v>103.22645724622816</v>
      </c>
      <c r="F160" s="449">
        <f t="shared" si="17"/>
        <v>1.2199346784708643E-2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7426.8795264098489</v>
      </c>
      <c r="D161" s="465">
        <f>LN_IA7-LN_IE7</f>
        <v>7623.7351078622969</v>
      </c>
      <c r="E161" s="465">
        <f t="shared" si="16"/>
        <v>196.85558145244795</v>
      </c>
      <c r="F161" s="449">
        <f t="shared" si="17"/>
        <v>2.6505826673562303E-2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8079.9068971506422</v>
      </c>
      <c r="D174" s="465">
        <f>LN_IB18-LN_IE19</f>
        <v>8112.8136217124566</v>
      </c>
      <c r="E174" s="465">
        <f t="shared" si="18"/>
        <v>32.906724561814372</v>
      </c>
      <c r="F174" s="449">
        <f t="shared" si="19"/>
        <v>4.0726613537364941E-3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5862.9883708385514</v>
      </c>
      <c r="D175" s="465">
        <f>LN_IA16-LN_IE19</f>
        <v>6535.9258967460328</v>
      </c>
      <c r="E175" s="465">
        <f t="shared" si="18"/>
        <v>672.93752590748136</v>
      </c>
      <c r="F175" s="449">
        <f t="shared" si="19"/>
        <v>0.11477722337887475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22585556</v>
      </c>
      <c r="D188" s="448">
        <f>LN_ID1+LN_IE1</f>
        <v>25825407</v>
      </c>
      <c r="E188" s="448">
        <f t="shared" ref="E188:E200" si="20">D188-C188</f>
        <v>3239851</v>
      </c>
      <c r="F188" s="449">
        <f t="shared" ref="F188:F200" si="21">IF(C188=0,0,E188/C188)</f>
        <v>0.14344791866093534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4478767</v>
      </c>
      <c r="D189" s="448">
        <f>LN_1D2+LN_IE2</f>
        <v>4144209</v>
      </c>
      <c r="E189" s="448">
        <f t="shared" si="20"/>
        <v>-334558</v>
      </c>
      <c r="F189" s="449">
        <f t="shared" si="21"/>
        <v>-7.4698683811861608E-2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0.19830226893683733</v>
      </c>
      <c r="D190" s="453">
        <f>IF(LN_IF1=0,0,LN_IF2/LN_IF1)</f>
        <v>0.16047022995610485</v>
      </c>
      <c r="E190" s="454">
        <f t="shared" si="20"/>
        <v>-3.783203898073248E-2</v>
      </c>
      <c r="F190" s="449">
        <f t="shared" si="21"/>
        <v>-0.19077965765879679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1283</v>
      </c>
      <c r="D191" s="456">
        <f>LN_ID4+LN_IE4</f>
        <v>1315</v>
      </c>
      <c r="E191" s="456">
        <f t="shared" si="20"/>
        <v>32</v>
      </c>
      <c r="F191" s="449">
        <f t="shared" si="21"/>
        <v>2.4941543257989088E-2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0.77400000000000002</v>
      </c>
      <c r="D192" s="459">
        <f>IF((LN_ID4+LN_IE4)=0,0,(LN_ID6+LN_IE6)/(LN_ID4+LN_IE4))</f>
        <v>0.80500000000000005</v>
      </c>
      <c r="E192" s="460">
        <f t="shared" si="20"/>
        <v>3.1000000000000028E-2</v>
      </c>
      <c r="F192" s="449">
        <f t="shared" si="21"/>
        <v>4.0051679586563339E-2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993.04200000000003</v>
      </c>
      <c r="D193" s="463">
        <f>LN_IF4*LN_IF5</f>
        <v>1058.575</v>
      </c>
      <c r="E193" s="463">
        <f t="shared" si="20"/>
        <v>65.533000000000015</v>
      </c>
      <c r="F193" s="449">
        <f t="shared" si="21"/>
        <v>6.5992173543515803E-2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4510.1486140566058</v>
      </c>
      <c r="D194" s="465">
        <f>IF(LN_IF6=0,0,LN_IF2/LN_IF6)</f>
        <v>3914.8940793047254</v>
      </c>
      <c r="E194" s="465">
        <f t="shared" si="20"/>
        <v>-595.25453475188033</v>
      </c>
      <c r="F194" s="449">
        <f t="shared" si="21"/>
        <v>-0.13198113536584438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3951.4894611572317</v>
      </c>
      <c r="D195" s="465">
        <f>LN_IB7-LN_IF7</f>
        <v>4649.9704531553398</v>
      </c>
      <c r="E195" s="465">
        <f t="shared" si="20"/>
        <v>698.48099199810804</v>
      </c>
      <c r="F195" s="449">
        <f t="shared" si="21"/>
        <v>0.17676397694188742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2916.7309123532432</v>
      </c>
      <c r="D196" s="465">
        <f>LN_IA7-LN_IF7</f>
        <v>3708.8410285575715</v>
      </c>
      <c r="E196" s="465">
        <f t="shared" si="20"/>
        <v>792.11011620432828</v>
      </c>
      <c r="F196" s="449">
        <f t="shared" si="21"/>
        <v>0.2715746292705648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2896436.2986650895</v>
      </c>
      <c r="D197" s="479">
        <f>LN_IF9*LN_IF6</f>
        <v>3926086.3918053312</v>
      </c>
      <c r="E197" s="479">
        <f t="shared" si="20"/>
        <v>1029650.0931402417</v>
      </c>
      <c r="F197" s="449">
        <f t="shared" si="21"/>
        <v>0.35548860287891959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4761</v>
      </c>
      <c r="D198" s="456">
        <f>LN_ID11+LN_IE11</f>
        <v>5093</v>
      </c>
      <c r="E198" s="456">
        <f t="shared" si="20"/>
        <v>332</v>
      </c>
      <c r="F198" s="449">
        <f t="shared" si="21"/>
        <v>6.9733249317370294E-2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940.71980676328508</v>
      </c>
      <c r="D199" s="519">
        <f>IF(LN_IF11=0,0,LN_IF2/LN_IF11)</f>
        <v>813.70685254270563</v>
      </c>
      <c r="E199" s="519">
        <f t="shared" si="20"/>
        <v>-127.01295422057945</v>
      </c>
      <c r="F199" s="449">
        <f t="shared" si="21"/>
        <v>-0.13501677471593826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3.7108339828526891</v>
      </c>
      <c r="D200" s="466">
        <f>IF(LN_IF4=0,0,LN_IF11/LN_IF4)</f>
        <v>3.8730038022813686</v>
      </c>
      <c r="E200" s="466">
        <f t="shared" si="20"/>
        <v>0.16216981942867958</v>
      </c>
      <c r="F200" s="449">
        <f t="shared" si="21"/>
        <v>4.3701717775046396E-2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39475611</v>
      </c>
      <c r="D203" s="448">
        <f>LN_ID14+LN_IE14</f>
        <v>46202245</v>
      </c>
      <c r="E203" s="448">
        <f t="shared" ref="E203:E211" si="22">D203-C203</f>
        <v>6726634</v>
      </c>
      <c r="F203" s="449">
        <f t="shared" ref="F203:F211" si="23">IF(C203=0,0,E203/C203)</f>
        <v>0.17039974378103989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7051823</v>
      </c>
      <c r="D204" s="448">
        <f>LN_ID15+LN_IE15</f>
        <v>8277794</v>
      </c>
      <c r="E204" s="448">
        <f t="shared" si="22"/>
        <v>1225971</v>
      </c>
      <c r="F204" s="449">
        <f t="shared" si="23"/>
        <v>0.17385164091611488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0.17863746301482197</v>
      </c>
      <c r="D205" s="453">
        <f>IF(LN_IF14=0,0,LN_IF15/LN_IF14)</f>
        <v>0.17916432415784125</v>
      </c>
      <c r="E205" s="454">
        <f t="shared" si="22"/>
        <v>5.2686114301928044E-4</v>
      </c>
      <c r="F205" s="449">
        <f t="shared" si="23"/>
        <v>2.9493317590138721E-3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1.7478255129074529</v>
      </c>
      <c r="D206" s="453">
        <f>IF(LN_IF1=0,0,LN_IF14/LN_IF1)</f>
        <v>1.7890229183996984</v>
      </c>
      <c r="E206" s="454">
        <f t="shared" si="22"/>
        <v>4.1197405492245487E-2</v>
      </c>
      <c r="F206" s="449">
        <f t="shared" si="23"/>
        <v>2.3570662625077999E-2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2242.4601330602623</v>
      </c>
      <c r="D207" s="463">
        <f>LN_ID18+LN_IE18</f>
        <v>2352.5651376956034</v>
      </c>
      <c r="E207" s="463">
        <f t="shared" si="22"/>
        <v>110.10500463534117</v>
      </c>
      <c r="F207" s="449">
        <f t="shared" si="23"/>
        <v>4.9100094584549878E-2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3144.6815468582936</v>
      </c>
      <c r="D208" s="465">
        <f>IF(LN_IF18=0,0,LN_IF15/LN_IF18)</f>
        <v>3518.6247842252337</v>
      </c>
      <c r="E208" s="465">
        <f t="shared" si="22"/>
        <v>373.94323736694014</v>
      </c>
      <c r="F208" s="449">
        <f t="shared" si="23"/>
        <v>0.11891291114692666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4935.2253502923486</v>
      </c>
      <c r="D209" s="465">
        <f>LN_IB18-LN_IF19</f>
        <v>4594.1888374872233</v>
      </c>
      <c r="E209" s="465">
        <f t="shared" si="22"/>
        <v>-341.03651280512531</v>
      </c>
      <c r="F209" s="449">
        <f t="shared" si="23"/>
        <v>-6.9102520877779836E-2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2718.3068239802578</v>
      </c>
      <c r="D210" s="465">
        <f>LN_IA16-LN_IF19</f>
        <v>3017.3011125207991</v>
      </c>
      <c r="E210" s="465">
        <f t="shared" si="22"/>
        <v>298.99428854054122</v>
      </c>
      <c r="F210" s="449">
        <f t="shared" si="23"/>
        <v>0.10999284036036129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6095694.6822013883</v>
      </c>
      <c r="D211" s="441">
        <f>LN_IF21*LN_IF18</f>
        <v>7098397.4072465906</v>
      </c>
      <c r="E211" s="441">
        <f t="shared" si="22"/>
        <v>1002702.7250452023</v>
      </c>
      <c r="F211" s="449">
        <f t="shared" si="23"/>
        <v>0.16449359381022804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62061167</v>
      </c>
      <c r="D214" s="448">
        <f>LN_IF1+LN_IF14</f>
        <v>72027652</v>
      </c>
      <c r="E214" s="448">
        <f>D214-C214</f>
        <v>9966485</v>
      </c>
      <c r="F214" s="449">
        <f>IF(C214=0,0,E214/C214)</f>
        <v>0.16059132436230211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11530590</v>
      </c>
      <c r="D215" s="448">
        <f>LN_IF2+LN_IF15</f>
        <v>12422003</v>
      </c>
      <c r="E215" s="448">
        <f>D215-C215</f>
        <v>891413</v>
      </c>
      <c r="F215" s="449">
        <f>IF(C215=0,0,E215/C215)</f>
        <v>7.7308533214692401E-2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50530577</v>
      </c>
      <c r="D216" s="448">
        <f>LN_IF23-LN_IF24</f>
        <v>59605649</v>
      </c>
      <c r="E216" s="448">
        <f>D216-C216</f>
        <v>9075072</v>
      </c>
      <c r="F216" s="449">
        <f>IF(C216=0,0,E216/C216)</f>
        <v>0.17959565353864848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470042</v>
      </c>
      <c r="D221" s="448">
        <v>110445</v>
      </c>
      <c r="E221" s="448">
        <f t="shared" ref="E221:E230" si="24">D221-C221</f>
        <v>-359597</v>
      </c>
      <c r="F221" s="449">
        <f t="shared" ref="F221:F230" si="25">IF(C221=0,0,E221/C221)</f>
        <v>-0.76503163547087283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109504</v>
      </c>
      <c r="D222" s="448">
        <v>29098</v>
      </c>
      <c r="E222" s="448">
        <f t="shared" si="24"/>
        <v>-80406</v>
      </c>
      <c r="F222" s="449">
        <f t="shared" si="25"/>
        <v>-0.7342745470485097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0.23296641576710167</v>
      </c>
      <c r="D223" s="453">
        <f>IF(LN_IG1=0,0,LN_IG2/LN_IG1)</f>
        <v>0.2634614514011499</v>
      </c>
      <c r="E223" s="454">
        <f t="shared" si="24"/>
        <v>3.0495035634048234E-2</v>
      </c>
      <c r="F223" s="449">
        <f t="shared" si="25"/>
        <v>0.13089884880460348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17</v>
      </c>
      <c r="D224" s="456">
        <v>10</v>
      </c>
      <c r="E224" s="456">
        <f t="shared" si="24"/>
        <v>-7</v>
      </c>
      <c r="F224" s="449">
        <f t="shared" si="25"/>
        <v>-0.41176470588235292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1.103</v>
      </c>
      <c r="D225" s="459">
        <v>0.43909999999999999</v>
      </c>
      <c r="E225" s="460">
        <f t="shared" si="24"/>
        <v>-0.66389999999999993</v>
      </c>
      <c r="F225" s="449">
        <f t="shared" si="25"/>
        <v>-0.60190389845874881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18.751000000000001</v>
      </c>
      <c r="D226" s="463">
        <f>LN_IG3*LN_IG4</f>
        <v>4.391</v>
      </c>
      <c r="E226" s="463">
        <f t="shared" si="24"/>
        <v>-14.360000000000001</v>
      </c>
      <c r="F226" s="449">
        <f t="shared" si="25"/>
        <v>-0.76582582262279342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5839.9018719001651</v>
      </c>
      <c r="D227" s="465">
        <f>IF(LN_IG5=0,0,LN_IG2/LN_IG5)</f>
        <v>6626.7365064905489</v>
      </c>
      <c r="E227" s="465">
        <f t="shared" si="24"/>
        <v>786.83463459038376</v>
      </c>
      <c r="F227" s="449">
        <f t="shared" si="25"/>
        <v>0.13473422188417122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71</v>
      </c>
      <c r="D228" s="456">
        <v>23</v>
      </c>
      <c r="E228" s="456">
        <f t="shared" si="24"/>
        <v>-48</v>
      </c>
      <c r="F228" s="449">
        <f t="shared" si="25"/>
        <v>-0.676056338028169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1542.3098591549297</v>
      </c>
      <c r="D229" s="465">
        <f>IF(LN_IG6=0,0,LN_IG2/LN_IG6)</f>
        <v>1265.1304347826087</v>
      </c>
      <c r="E229" s="465">
        <f t="shared" si="24"/>
        <v>-277.17942437232091</v>
      </c>
      <c r="F229" s="449">
        <f t="shared" si="25"/>
        <v>-0.17971708001931239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4.1764705882352944</v>
      </c>
      <c r="D230" s="466">
        <f>IF(LN_IG3=0,0,LN_IG6/LN_IG3)</f>
        <v>2.2999999999999998</v>
      </c>
      <c r="E230" s="466">
        <f t="shared" si="24"/>
        <v>-1.8764705882352946</v>
      </c>
      <c r="F230" s="449">
        <f t="shared" si="25"/>
        <v>-0.44929577464788739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635138</v>
      </c>
      <c r="D233" s="448">
        <v>673183</v>
      </c>
      <c r="E233" s="448">
        <f>D233-C233</f>
        <v>38045</v>
      </c>
      <c r="F233" s="449">
        <f>IF(C233=0,0,E233/C233)</f>
        <v>5.9900368108977892E-2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339986</v>
      </c>
      <c r="D234" s="448">
        <v>0</v>
      </c>
      <c r="E234" s="448">
        <f>D234-C234</f>
        <v>-339986</v>
      </c>
      <c r="F234" s="449">
        <f>IF(C234=0,0,E234/C234)</f>
        <v>-1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1105180</v>
      </c>
      <c r="D237" s="448">
        <f>LN_IG1+LN_IG9</f>
        <v>783628</v>
      </c>
      <c r="E237" s="448">
        <f>D237-C237</f>
        <v>-321552</v>
      </c>
      <c r="F237" s="449">
        <f>IF(C237=0,0,E237/C237)</f>
        <v>-0.29094989051557213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449490</v>
      </c>
      <c r="D238" s="448">
        <f>LN_IG2+LN_IG10</f>
        <v>29098</v>
      </c>
      <c r="E238" s="448">
        <f>D238-C238</f>
        <v>-420392</v>
      </c>
      <c r="F238" s="449">
        <f>IF(C238=0,0,E238/C238)</f>
        <v>-0.93526441077665801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655690</v>
      </c>
      <c r="D239" s="448">
        <f>LN_IG13-LN_IG14</f>
        <v>754530</v>
      </c>
      <c r="E239" s="448">
        <f>D239-C239</f>
        <v>98840</v>
      </c>
      <c r="F239" s="449">
        <f>IF(C239=0,0,E239/C239)</f>
        <v>0.15074196647806129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5748384</v>
      </c>
      <c r="D243" s="448">
        <v>3603467</v>
      </c>
      <c r="E243" s="441">
        <f>D243-C243</f>
        <v>-2144917</v>
      </c>
      <c r="F243" s="503">
        <f>IF(C243=0,0,E243/C243)</f>
        <v>-0.37313391033027715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129115712</v>
      </c>
      <c r="D244" s="448">
        <v>127376540</v>
      </c>
      <c r="E244" s="441">
        <f>D244-C244</f>
        <v>-1739172</v>
      </c>
      <c r="F244" s="503">
        <f>IF(C244=0,0,E244/C244)</f>
        <v>-1.3469871118396497E-2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6785012</v>
      </c>
      <c r="D248" s="441">
        <v>4849739</v>
      </c>
      <c r="E248" s="441">
        <f>D248-C248</f>
        <v>-1935273</v>
      </c>
      <c r="F248" s="449">
        <f>IF(C248=0,0,E248/C248)</f>
        <v>-0.28522764587593952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985612</v>
      </c>
      <c r="D249" s="441">
        <v>2373418</v>
      </c>
      <c r="E249" s="441">
        <f>D249-C249</f>
        <v>1387806</v>
      </c>
      <c r="F249" s="449">
        <f>IF(C249=0,0,E249/C249)</f>
        <v>1.4080652427121423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7770624</v>
      </c>
      <c r="D250" s="441">
        <f>LN_IH4+LN_IH5</f>
        <v>7223157</v>
      </c>
      <c r="E250" s="441">
        <f>D250-C250</f>
        <v>-547467</v>
      </c>
      <c r="F250" s="449">
        <f>IF(C250=0,0,E250/C250)</f>
        <v>-7.0453415324174734E-2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2378523.8885103441</v>
      </c>
      <c r="D251" s="441">
        <f>LN_IH6*LN_III10</f>
        <v>2057663.8225925625</v>
      </c>
      <c r="E251" s="441">
        <f>D251-C251</f>
        <v>-320860.06591778155</v>
      </c>
      <c r="F251" s="449">
        <f>IF(C251=0,0,E251/C251)</f>
        <v>-0.13489882000669515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62061167</v>
      </c>
      <c r="D254" s="441">
        <f>LN_IF23</f>
        <v>72027652</v>
      </c>
      <c r="E254" s="441">
        <f>D254-C254</f>
        <v>9966485</v>
      </c>
      <c r="F254" s="449">
        <f>IF(C254=0,0,E254/C254)</f>
        <v>0.16059132436230211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11530590</v>
      </c>
      <c r="D255" s="441">
        <f>LN_IF24</f>
        <v>12422003</v>
      </c>
      <c r="E255" s="441">
        <f>D255-C255</f>
        <v>891413</v>
      </c>
      <c r="F255" s="449">
        <f>IF(C255=0,0,E255/C255)</f>
        <v>7.7308533214692401E-2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18996411.132275842</v>
      </c>
      <c r="D256" s="441">
        <f>LN_IH8*LN_III10</f>
        <v>20518548.018087775</v>
      </c>
      <c r="E256" s="441">
        <f>D256-C256</f>
        <v>1522136.8858119324</v>
      </c>
      <c r="F256" s="449">
        <f>IF(C256=0,0,E256/C256)</f>
        <v>8.0127602798917452E-2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7465821.1322758421</v>
      </c>
      <c r="D257" s="441">
        <f>LN_IH10-LN_IH9</f>
        <v>8096545.0180877745</v>
      </c>
      <c r="E257" s="441">
        <f>D257-C257</f>
        <v>630723.88581193238</v>
      </c>
      <c r="F257" s="449">
        <f>IF(C257=0,0,E257/C257)</f>
        <v>8.4481515781997557E-2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185170801</v>
      </c>
      <c r="D261" s="448">
        <f>LN_IA1+LN_IB1+LN_IF1+LN_IG1</f>
        <v>197406204</v>
      </c>
      <c r="E261" s="448">
        <f t="shared" ref="E261:E274" si="26">D261-C261</f>
        <v>12235403</v>
      </c>
      <c r="F261" s="503">
        <f t="shared" ref="F261:F274" si="27">IF(C261=0,0,E261/C261)</f>
        <v>6.6076308650843935E-2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59203927</v>
      </c>
      <c r="D262" s="448">
        <f>+LN_IA2+LN_IB2+LN_IF2+LN_IG2</f>
        <v>61023147</v>
      </c>
      <c r="E262" s="448">
        <f t="shared" si="26"/>
        <v>1819220</v>
      </c>
      <c r="F262" s="503">
        <f t="shared" si="27"/>
        <v>3.0728029240357654E-2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0.31972604039229707</v>
      </c>
      <c r="D263" s="453">
        <f>IF(LN_IIA1=0,0,LN_IIA2/LN_IIA1)</f>
        <v>0.30912476793282545</v>
      </c>
      <c r="E263" s="454">
        <f t="shared" si="26"/>
        <v>-1.0601272459471622E-2</v>
      </c>
      <c r="F263" s="458">
        <f t="shared" si="27"/>
        <v>-3.3157363242806513E-2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7063</v>
      </c>
      <c r="D264" s="456">
        <f>LN_IA4+LN_IB4+LN_IF4+LN_IG3</f>
        <v>7176</v>
      </c>
      <c r="E264" s="456">
        <f t="shared" si="26"/>
        <v>113</v>
      </c>
      <c r="F264" s="503">
        <f t="shared" si="27"/>
        <v>1.5998867336825713E-2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1.1348851762707066</v>
      </c>
      <c r="D265" s="525">
        <f>IF(LN_IIA4=0,0,LN_IIA6/LN_IIA4)</f>
        <v>1.1434999163879598</v>
      </c>
      <c r="E265" s="525">
        <f t="shared" si="26"/>
        <v>8.6147401172531612E-3</v>
      </c>
      <c r="F265" s="503">
        <f t="shared" si="27"/>
        <v>7.5908473362579802E-3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8015.6940000000004</v>
      </c>
      <c r="D266" s="463">
        <f>LN_IA6+LN_IB6+LN_IF6+LN_IG5</f>
        <v>8205.7554</v>
      </c>
      <c r="E266" s="463">
        <f t="shared" si="26"/>
        <v>190.06139999999959</v>
      </c>
      <c r="F266" s="503">
        <f t="shared" si="27"/>
        <v>2.3711159632590711E-2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232820228</v>
      </c>
      <c r="D267" s="448">
        <f>LN_IA11+LN_IB13+LN_IF14+LN_IG9</f>
        <v>246290887</v>
      </c>
      <c r="E267" s="448">
        <f t="shared" si="26"/>
        <v>13470659</v>
      </c>
      <c r="F267" s="503">
        <f t="shared" si="27"/>
        <v>5.7858628160092684E-2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1.2573268935635269</v>
      </c>
      <c r="D268" s="453">
        <f>IF(LN_IIA1=0,0,LN_IIA7/LN_IIA1)</f>
        <v>1.2476349882093878</v>
      </c>
      <c r="E268" s="454">
        <f t="shared" si="26"/>
        <v>-9.6919053541391076E-3</v>
      </c>
      <c r="F268" s="458">
        <f t="shared" si="27"/>
        <v>-7.708341723821897E-3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62464905</v>
      </c>
      <c r="D269" s="448">
        <f>LN_IA12+LN_IB14+LN_IF15+LN_IG10</f>
        <v>65373033</v>
      </c>
      <c r="E269" s="448">
        <f t="shared" si="26"/>
        <v>2908128</v>
      </c>
      <c r="F269" s="503">
        <f t="shared" si="27"/>
        <v>4.6556190231939042E-2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0.2682967263480216</v>
      </c>
      <c r="D270" s="453">
        <f>IF(LN_IIA7=0,0,LN_IIA9/LN_IIA7)</f>
        <v>0.26543017403644331</v>
      </c>
      <c r="E270" s="454">
        <f t="shared" si="26"/>
        <v>-2.8665523115782854E-3</v>
      </c>
      <c r="F270" s="458">
        <f t="shared" si="27"/>
        <v>-1.0684261230455461E-2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417991029</v>
      </c>
      <c r="D271" s="441">
        <f>LN_IIA1+LN_IIA7</f>
        <v>443697091</v>
      </c>
      <c r="E271" s="441">
        <f t="shared" si="26"/>
        <v>25706062</v>
      </c>
      <c r="F271" s="503">
        <f t="shared" si="27"/>
        <v>6.1499075856960558E-2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121668832</v>
      </c>
      <c r="D272" s="441">
        <f>LN_IIA2+LN_IIA9</f>
        <v>126396180</v>
      </c>
      <c r="E272" s="441">
        <f t="shared" si="26"/>
        <v>4727348</v>
      </c>
      <c r="F272" s="503">
        <f t="shared" si="27"/>
        <v>3.8854223569763535E-2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0.29108000784390042</v>
      </c>
      <c r="D273" s="453">
        <f>IF(LN_IIA11=0,0,LN_IIA12/LN_IIA11)</f>
        <v>0.28487042751425207</v>
      </c>
      <c r="E273" s="454">
        <f t="shared" si="26"/>
        <v>-6.2095803296483565E-3</v>
      </c>
      <c r="F273" s="458">
        <f t="shared" si="27"/>
        <v>-2.1332898729954732E-2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29321</v>
      </c>
      <c r="D274" s="508">
        <f>LN_IA8+LN_IB10+LN_IF11+LN_IG6</f>
        <v>31271</v>
      </c>
      <c r="E274" s="528">
        <f t="shared" si="26"/>
        <v>1950</v>
      </c>
      <c r="F274" s="458">
        <f t="shared" si="27"/>
        <v>6.6505235155690456E-2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129188420</v>
      </c>
      <c r="D277" s="448">
        <f>LN_IA1+LN_IF1+LN_IG1</f>
        <v>141659544</v>
      </c>
      <c r="E277" s="448">
        <f t="shared" ref="E277:E291" si="28">D277-C277</f>
        <v>12471124</v>
      </c>
      <c r="F277" s="503">
        <f t="shared" ref="F277:F291" si="29">IF(C277=0,0,E277/C277)</f>
        <v>9.6534379784194282E-2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37954723</v>
      </c>
      <c r="D278" s="448">
        <f>LN_IA2+LN_IF2+LN_IG2</f>
        <v>39226192</v>
      </c>
      <c r="E278" s="448">
        <f t="shared" si="28"/>
        <v>1271469</v>
      </c>
      <c r="F278" s="503">
        <f t="shared" si="29"/>
        <v>3.3499625329896358E-2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0.29379353815148446</v>
      </c>
      <c r="D279" s="453">
        <f>IF(D277=0,0,LN_IIB2/D277)</f>
        <v>0.27690468917505479</v>
      </c>
      <c r="E279" s="454">
        <f t="shared" si="28"/>
        <v>-1.6888848976429671E-2</v>
      </c>
      <c r="F279" s="458">
        <f t="shared" si="29"/>
        <v>-5.7485433759681674E-2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4601</v>
      </c>
      <c r="D280" s="456">
        <f>LN_IA4+LN_IF4+LN_IG3</f>
        <v>4781</v>
      </c>
      <c r="E280" s="456">
        <f t="shared" si="28"/>
        <v>180</v>
      </c>
      <c r="F280" s="503">
        <f t="shared" si="29"/>
        <v>3.9121930015214086E-2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1.1963603564442513</v>
      </c>
      <c r="D281" s="525">
        <f>IF(LN_IIB4=0,0,LN_IIB6/LN_IIB4)</f>
        <v>1.1840260196611587</v>
      </c>
      <c r="E281" s="525">
        <f t="shared" si="28"/>
        <v>-1.2334336783092592E-2</v>
      </c>
      <c r="F281" s="503">
        <f t="shared" si="29"/>
        <v>-1.0309884239019712E-2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5504.4540000000006</v>
      </c>
      <c r="D282" s="463">
        <f>LN_IA6+LN_IF6+LN_IG5</f>
        <v>5660.8283999999994</v>
      </c>
      <c r="E282" s="463">
        <f t="shared" si="28"/>
        <v>156.37439999999879</v>
      </c>
      <c r="F282" s="503">
        <f t="shared" si="29"/>
        <v>2.8408703206530342E-2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117597805</v>
      </c>
      <c r="D283" s="448">
        <f>LN_IA11+LN_IF14+LN_IG9</f>
        <v>127798730</v>
      </c>
      <c r="E283" s="448">
        <f t="shared" si="28"/>
        <v>10200925</v>
      </c>
      <c r="F283" s="503">
        <f t="shared" si="29"/>
        <v>8.6744178600952626E-2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0.91028131623561925</v>
      </c>
      <c r="D284" s="453">
        <f>IF(D277=0,0,LN_IIB7/D277)</f>
        <v>0.90215404053538395</v>
      </c>
      <c r="E284" s="454">
        <f t="shared" si="28"/>
        <v>-8.1272757002353035E-3</v>
      </c>
      <c r="F284" s="458">
        <f t="shared" si="29"/>
        <v>-8.9283121110788795E-3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21521869</v>
      </c>
      <c r="D285" s="448">
        <f>LN_IA12+LN_IF15+LN_IG10</f>
        <v>24073250</v>
      </c>
      <c r="E285" s="448">
        <f t="shared" si="28"/>
        <v>2551381</v>
      </c>
      <c r="F285" s="503">
        <f t="shared" si="29"/>
        <v>0.11854830080045557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0.18301250605825509</v>
      </c>
      <c r="D286" s="453">
        <f>IF(LN_IIB7=0,0,LN_IIB9/LN_IIB7)</f>
        <v>0.18836846031255552</v>
      </c>
      <c r="E286" s="454">
        <f t="shared" si="28"/>
        <v>5.3559542543004379E-3</v>
      </c>
      <c r="F286" s="458">
        <f t="shared" si="29"/>
        <v>2.9265509607281009E-2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246786225</v>
      </c>
      <c r="D287" s="441">
        <f>D277+LN_IIB7</f>
        <v>269458274</v>
      </c>
      <c r="E287" s="441">
        <f t="shared" si="28"/>
        <v>22672049</v>
      </c>
      <c r="F287" s="503">
        <f t="shared" si="29"/>
        <v>9.1869183541342311E-2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59476592</v>
      </c>
      <c r="D288" s="441">
        <f>LN_IIB2+LN_IIB9</f>
        <v>63299442</v>
      </c>
      <c r="E288" s="441">
        <f t="shared" si="28"/>
        <v>3822850</v>
      </c>
      <c r="F288" s="503">
        <f t="shared" si="29"/>
        <v>6.4274866320518168E-2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0.24100450501238471</v>
      </c>
      <c r="D289" s="453">
        <f>IF(LN_IIB11=0,0,LN_IIB12/LN_IIB11)</f>
        <v>0.2349137068991988</v>
      </c>
      <c r="E289" s="454">
        <f t="shared" si="28"/>
        <v>-6.0907981131859135E-3</v>
      </c>
      <c r="F289" s="458">
        <f t="shared" si="29"/>
        <v>-2.5272548796848922E-2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20726</v>
      </c>
      <c r="D290" s="508">
        <f>LN_IA8+LN_IF11+LN_IG6</f>
        <v>22688</v>
      </c>
      <c r="E290" s="528">
        <f t="shared" si="28"/>
        <v>1962</v>
      </c>
      <c r="F290" s="458">
        <f t="shared" si="29"/>
        <v>9.4663707420631085E-2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187309633</v>
      </c>
      <c r="D291" s="516">
        <f>LN_IIB11-LN_IIB12</f>
        <v>206158832</v>
      </c>
      <c r="E291" s="441">
        <f t="shared" si="28"/>
        <v>18849199</v>
      </c>
      <c r="F291" s="503">
        <f t="shared" si="29"/>
        <v>0.10063123128323037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4.8149045743714023</v>
      </c>
      <c r="D294" s="466">
        <f>IF(LN_IA4=0,0,LN_IA8/LN_IA4)</f>
        <v>5.0844907407407405</v>
      </c>
      <c r="E294" s="466">
        <f t="shared" ref="E294:E300" si="30">D294-C294</f>
        <v>0.26958616636933819</v>
      </c>
      <c r="F294" s="503">
        <f t="shared" ref="F294:F300" si="31">IF(C294=0,0,E294/C294)</f>
        <v>5.5989929230224326E-2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3.4910641754671001</v>
      </c>
      <c r="D295" s="466">
        <f>IF(LN_IB4=0,0,(LN_IB10)/(LN_IB4))</f>
        <v>3.5837160751565764</v>
      </c>
      <c r="E295" s="466">
        <f t="shared" si="30"/>
        <v>9.2651899689476291E-2</v>
      </c>
      <c r="F295" s="503">
        <f t="shared" si="31"/>
        <v>2.6539729730714442E-2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3.8243243243243241</v>
      </c>
      <c r="D296" s="466">
        <f>IF(LN_IC4=0,0,LN_IC11/LN_IC4)</f>
        <v>3.835294117647059</v>
      </c>
      <c r="E296" s="466">
        <f t="shared" si="30"/>
        <v>1.0969793322734844E-2</v>
      </c>
      <c r="F296" s="503">
        <f t="shared" si="31"/>
        <v>2.8684265225525744E-3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3.7108339828526891</v>
      </c>
      <c r="D297" s="466">
        <f>IF(LN_ID4=0,0,LN_ID11/LN_ID4)</f>
        <v>3.8730038022813686</v>
      </c>
      <c r="E297" s="466">
        <f t="shared" si="30"/>
        <v>0.16216981942867958</v>
      </c>
      <c r="F297" s="503">
        <f t="shared" si="31"/>
        <v>4.3701717775046396E-2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4.1764705882352944</v>
      </c>
      <c r="D299" s="466">
        <f>IF(LN_IG3=0,0,LN_IG6/LN_IG3)</f>
        <v>2.2999999999999998</v>
      </c>
      <c r="E299" s="466">
        <f t="shared" si="30"/>
        <v>-1.8764705882352946</v>
      </c>
      <c r="F299" s="503">
        <f t="shared" si="31"/>
        <v>-0.44929577464788739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4.1513521166643068</v>
      </c>
      <c r="D300" s="466">
        <f>IF(LN_IIA4=0,0,LN_IIA14/LN_IIA4)</f>
        <v>4.357720178372352</v>
      </c>
      <c r="E300" s="466">
        <f t="shared" si="30"/>
        <v>0.20636806170804523</v>
      </c>
      <c r="F300" s="503">
        <f t="shared" si="31"/>
        <v>4.9711047366867551E-2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417991029</v>
      </c>
      <c r="D304" s="441">
        <f>LN_IIA11</f>
        <v>443697091</v>
      </c>
      <c r="E304" s="441">
        <f t="shared" ref="E304:E316" si="32">D304-C304</f>
        <v>25706062</v>
      </c>
      <c r="F304" s="449">
        <f>IF(C304=0,0,E304/C304)</f>
        <v>6.1499075856960558E-2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187309633</v>
      </c>
      <c r="D305" s="441">
        <f>LN_IIB14</f>
        <v>206158832</v>
      </c>
      <c r="E305" s="441">
        <f t="shared" si="32"/>
        <v>18849199</v>
      </c>
      <c r="F305" s="449">
        <f>IF(C305=0,0,E305/C305)</f>
        <v>0.10063123128323037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7770624</v>
      </c>
      <c r="D306" s="441">
        <f>LN_IH6</f>
        <v>7223157</v>
      </c>
      <c r="E306" s="441">
        <f t="shared" si="32"/>
        <v>-547467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94967167</v>
      </c>
      <c r="D307" s="441">
        <f>LN_IB32-LN_IB33</f>
        <v>103918922</v>
      </c>
      <c r="E307" s="441">
        <f t="shared" si="32"/>
        <v>8951755</v>
      </c>
      <c r="F307" s="449">
        <f t="shared" ref="F307:F316" si="33">IF(C307=0,0,E307/C307)</f>
        <v>9.4261577793512574E-2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290047424</v>
      </c>
      <c r="D309" s="441">
        <f>LN_III2+LN_III3+LN_III4+LN_III5</f>
        <v>317300911</v>
      </c>
      <c r="E309" s="441">
        <f t="shared" si="32"/>
        <v>27253487</v>
      </c>
      <c r="F309" s="449">
        <f t="shared" si="33"/>
        <v>9.396217564752446E-2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127943605</v>
      </c>
      <c r="D310" s="441">
        <f>LN_III1-LN_III6</f>
        <v>126396180</v>
      </c>
      <c r="E310" s="441">
        <f t="shared" si="32"/>
        <v>-1547425</v>
      </c>
      <c r="F310" s="449">
        <f t="shared" si="33"/>
        <v>-1.2094586517239372E-2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127943605</v>
      </c>
      <c r="D312" s="441">
        <f>LN_III7+LN_III8</f>
        <v>126396180</v>
      </c>
      <c r="E312" s="441">
        <f t="shared" si="32"/>
        <v>-1547425</v>
      </c>
      <c r="F312" s="449">
        <f t="shared" si="33"/>
        <v>-1.2094586517239372E-2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0.3060917486820034</v>
      </c>
      <c r="D313" s="532">
        <f>IF(LN_III1=0,0,LN_III9/LN_III1)</f>
        <v>0.28487042751425207</v>
      </c>
      <c r="E313" s="532">
        <f t="shared" si="32"/>
        <v>-2.1221321167751328E-2</v>
      </c>
      <c r="F313" s="449">
        <f t="shared" si="33"/>
        <v>-6.9329935416841348E-2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2378523.8885103441</v>
      </c>
      <c r="D314" s="441">
        <f>D313*LN_III5</f>
        <v>2057663.8225925625</v>
      </c>
      <c r="E314" s="441">
        <f t="shared" si="32"/>
        <v>-320860.06591778155</v>
      </c>
      <c r="F314" s="449">
        <f t="shared" si="33"/>
        <v>-0.13489882000669515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7465821.1322758421</v>
      </c>
      <c r="D315" s="441">
        <f>D313*LN_IH8-LN_IH9</f>
        <v>8096545.0180877745</v>
      </c>
      <c r="E315" s="441">
        <f t="shared" si="32"/>
        <v>630723.88581193238</v>
      </c>
      <c r="F315" s="449">
        <f t="shared" si="33"/>
        <v>8.4481515781997557E-2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9844345.0207861867</v>
      </c>
      <c r="D318" s="441">
        <f>D314+D315+D316</f>
        <v>10154208.840680337</v>
      </c>
      <c r="E318" s="441">
        <f>D318-C318</f>
        <v>309863.8198941499</v>
      </c>
      <c r="F318" s="449">
        <f>IF(C318=0,0,E318/C318)</f>
        <v>3.1476326687034747E-2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6095694.6822013883</v>
      </c>
      <c r="D322" s="441">
        <f>LN_ID22</f>
        <v>7098397.4072465906</v>
      </c>
      <c r="E322" s="441">
        <f>LN_IV2-C322</f>
        <v>1002702.7250452023</v>
      </c>
      <c r="F322" s="449">
        <f>IF(C322=0,0,E322/C322)</f>
        <v>0.16449359381022804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923119.27352160926</v>
      </c>
      <c r="D324" s="441">
        <f>LN_IC10+LN_IC22</f>
        <v>819546.13081086148</v>
      </c>
      <c r="E324" s="441">
        <f>LN_IV1-C324</f>
        <v>-103573.14271074778</v>
      </c>
      <c r="F324" s="449">
        <f>IF(C324=0,0,E324/C324)</f>
        <v>-0.11219909028182937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7018813.9557229979</v>
      </c>
      <c r="D325" s="516">
        <f>LN_IV1+LN_IV2+LN_IV3</f>
        <v>7917943.5380574521</v>
      </c>
      <c r="E325" s="441">
        <f>LN_IV4-C325</f>
        <v>899129.58233445417</v>
      </c>
      <c r="F325" s="449">
        <f>IF(C325=0,0,E325/C325)</f>
        <v>0.12810278032819522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-607519</v>
      </c>
      <c r="D330" s="516">
        <v>-590359</v>
      </c>
      <c r="E330" s="518">
        <f t="shared" si="34"/>
        <v>17160</v>
      </c>
      <c r="F330" s="543">
        <f t="shared" si="35"/>
        <v>-2.8246030165311704E-2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121061315</v>
      </c>
      <c r="D331" s="516">
        <v>125805820</v>
      </c>
      <c r="E331" s="518">
        <f t="shared" si="34"/>
        <v>4744505</v>
      </c>
      <c r="F331" s="542">
        <f t="shared" si="35"/>
        <v>3.9190925689184856E-2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417991029</v>
      </c>
      <c r="D333" s="516">
        <v>443697092</v>
      </c>
      <c r="E333" s="518">
        <f t="shared" si="34"/>
        <v>25706063</v>
      </c>
      <c r="F333" s="542">
        <f t="shared" si="35"/>
        <v>6.1499078249356402E-2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7770624</v>
      </c>
      <c r="D335" s="516">
        <v>7223157</v>
      </c>
      <c r="E335" s="516">
        <f t="shared" si="34"/>
        <v>-547467</v>
      </c>
      <c r="F335" s="542">
        <f t="shared" si="35"/>
        <v>-7.0453415324174734E-2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8554687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55982381</v>
      </c>
      <c r="D14" s="589">
        <v>55746660</v>
      </c>
      <c r="E14" s="590">
        <f t="shared" ref="E14:E22" si="0">D14-C14</f>
        <v>-235721</v>
      </c>
    </row>
    <row r="15" spans="1:5" s="421" customFormat="1" x14ac:dyDescent="0.2">
      <c r="A15" s="588">
        <v>2</v>
      </c>
      <c r="B15" s="587" t="s">
        <v>634</v>
      </c>
      <c r="C15" s="589">
        <v>106132822</v>
      </c>
      <c r="D15" s="591">
        <v>115723692</v>
      </c>
      <c r="E15" s="590">
        <f t="shared" si="0"/>
        <v>9590870</v>
      </c>
    </row>
    <row r="16" spans="1:5" s="421" customFormat="1" x14ac:dyDescent="0.2">
      <c r="A16" s="588">
        <v>3</v>
      </c>
      <c r="B16" s="587" t="s">
        <v>776</v>
      </c>
      <c r="C16" s="589">
        <v>22585556</v>
      </c>
      <c r="D16" s="591">
        <v>25825407</v>
      </c>
      <c r="E16" s="590">
        <f t="shared" si="0"/>
        <v>3239851</v>
      </c>
    </row>
    <row r="17" spans="1:5" s="421" customFormat="1" x14ac:dyDescent="0.2">
      <c r="A17" s="588">
        <v>4</v>
      </c>
      <c r="B17" s="587" t="s">
        <v>115</v>
      </c>
      <c r="C17" s="589">
        <v>22585556</v>
      </c>
      <c r="D17" s="591">
        <v>25825407</v>
      </c>
      <c r="E17" s="590">
        <f t="shared" si="0"/>
        <v>3239851</v>
      </c>
    </row>
    <row r="18" spans="1:5" s="421" customFormat="1" x14ac:dyDescent="0.2">
      <c r="A18" s="588">
        <v>5</v>
      </c>
      <c r="B18" s="587" t="s">
        <v>742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470042</v>
      </c>
      <c r="D19" s="591">
        <v>110445</v>
      </c>
      <c r="E19" s="590">
        <f t="shared" si="0"/>
        <v>-359597</v>
      </c>
    </row>
    <row r="20" spans="1:5" s="421" customFormat="1" x14ac:dyDescent="0.2">
      <c r="A20" s="588">
        <v>7</v>
      </c>
      <c r="B20" s="587" t="s">
        <v>757</v>
      </c>
      <c r="C20" s="589">
        <v>2363415</v>
      </c>
      <c r="D20" s="591">
        <v>2035467</v>
      </c>
      <c r="E20" s="590">
        <f t="shared" si="0"/>
        <v>-327948</v>
      </c>
    </row>
    <row r="21" spans="1:5" s="421" customFormat="1" x14ac:dyDescent="0.2">
      <c r="A21" s="588"/>
      <c r="B21" s="592" t="s">
        <v>777</v>
      </c>
      <c r="C21" s="593">
        <f>SUM(C15+C16+C19)</f>
        <v>129188420</v>
      </c>
      <c r="D21" s="593">
        <f>SUM(D15+D16+D19)</f>
        <v>141659544</v>
      </c>
      <c r="E21" s="593">
        <f t="shared" si="0"/>
        <v>12471124</v>
      </c>
    </row>
    <row r="22" spans="1:5" s="421" customFormat="1" x14ac:dyDescent="0.2">
      <c r="A22" s="588"/>
      <c r="B22" s="592" t="s">
        <v>465</v>
      </c>
      <c r="C22" s="593">
        <f>SUM(C14+C21)</f>
        <v>185170801</v>
      </c>
      <c r="D22" s="593">
        <f>SUM(D14+D21)</f>
        <v>197406204</v>
      </c>
      <c r="E22" s="593">
        <f t="shared" si="0"/>
        <v>12235403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115222423</v>
      </c>
      <c r="D25" s="589">
        <v>118492157</v>
      </c>
      <c r="E25" s="590">
        <f t="shared" ref="E25:E33" si="1">D25-C25</f>
        <v>3269734</v>
      </c>
    </row>
    <row r="26" spans="1:5" s="421" customFormat="1" x14ac:dyDescent="0.2">
      <c r="A26" s="588">
        <v>2</v>
      </c>
      <c r="B26" s="587" t="s">
        <v>634</v>
      </c>
      <c r="C26" s="589">
        <v>77487056</v>
      </c>
      <c r="D26" s="591">
        <v>80923302</v>
      </c>
      <c r="E26" s="590">
        <f t="shared" si="1"/>
        <v>3436246</v>
      </c>
    </row>
    <row r="27" spans="1:5" s="421" customFormat="1" x14ac:dyDescent="0.2">
      <c r="A27" s="588">
        <v>3</v>
      </c>
      <c r="B27" s="587" t="s">
        <v>776</v>
      </c>
      <c r="C27" s="589">
        <v>39475611</v>
      </c>
      <c r="D27" s="591">
        <v>46202245</v>
      </c>
      <c r="E27" s="590">
        <f t="shared" si="1"/>
        <v>6726634</v>
      </c>
    </row>
    <row r="28" spans="1:5" s="421" customFormat="1" x14ac:dyDescent="0.2">
      <c r="A28" s="588">
        <v>4</v>
      </c>
      <c r="B28" s="587" t="s">
        <v>115</v>
      </c>
      <c r="C28" s="589">
        <v>39475611</v>
      </c>
      <c r="D28" s="591">
        <v>46202245</v>
      </c>
      <c r="E28" s="590">
        <f t="shared" si="1"/>
        <v>6726634</v>
      </c>
    </row>
    <row r="29" spans="1:5" s="421" customFormat="1" x14ac:dyDescent="0.2">
      <c r="A29" s="588">
        <v>5</v>
      </c>
      <c r="B29" s="587" t="s">
        <v>742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635138</v>
      </c>
      <c r="D30" s="591">
        <v>673183</v>
      </c>
      <c r="E30" s="590">
        <f t="shared" si="1"/>
        <v>38045</v>
      </c>
    </row>
    <row r="31" spans="1:5" s="421" customFormat="1" x14ac:dyDescent="0.2">
      <c r="A31" s="588">
        <v>7</v>
      </c>
      <c r="B31" s="587" t="s">
        <v>757</v>
      </c>
      <c r="C31" s="590">
        <v>4928420</v>
      </c>
      <c r="D31" s="594">
        <v>3459888</v>
      </c>
      <c r="E31" s="590">
        <f t="shared" si="1"/>
        <v>-1468532</v>
      </c>
    </row>
    <row r="32" spans="1:5" s="421" customFormat="1" x14ac:dyDescent="0.2">
      <c r="A32" s="588"/>
      <c r="B32" s="592" t="s">
        <v>779</v>
      </c>
      <c r="C32" s="593">
        <f>SUM(C26+C27+C30)</f>
        <v>117597805</v>
      </c>
      <c r="D32" s="593">
        <f>SUM(D26+D27+D30)</f>
        <v>127798730</v>
      </c>
      <c r="E32" s="593">
        <f t="shared" si="1"/>
        <v>10200925</v>
      </c>
    </row>
    <row r="33" spans="1:5" s="421" customFormat="1" x14ac:dyDescent="0.2">
      <c r="A33" s="588"/>
      <c r="B33" s="592" t="s">
        <v>467</v>
      </c>
      <c r="C33" s="593">
        <f>SUM(C25+C32)</f>
        <v>232820228</v>
      </c>
      <c r="D33" s="593">
        <f>SUM(D25+D32)</f>
        <v>246290887</v>
      </c>
      <c r="E33" s="593">
        <f t="shared" si="1"/>
        <v>13470659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171204804</v>
      </c>
      <c r="D36" s="590">
        <f t="shared" si="2"/>
        <v>174238817</v>
      </c>
      <c r="E36" s="590">
        <f t="shared" ref="E36:E44" si="3">D36-C36</f>
        <v>3034013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183619878</v>
      </c>
      <c r="D37" s="590">
        <f t="shared" si="2"/>
        <v>196646994</v>
      </c>
      <c r="E37" s="590">
        <f t="shared" si="3"/>
        <v>13027116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62061167</v>
      </c>
      <c r="D38" s="590">
        <f t="shared" si="2"/>
        <v>72027652</v>
      </c>
      <c r="E38" s="590">
        <f t="shared" si="3"/>
        <v>9966485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62061167</v>
      </c>
      <c r="D39" s="590">
        <f t="shared" si="2"/>
        <v>72027652</v>
      </c>
      <c r="E39" s="590">
        <f t="shared" si="3"/>
        <v>9966485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1105180</v>
      </c>
      <c r="D41" s="590">
        <f t="shared" si="2"/>
        <v>783628</v>
      </c>
      <c r="E41" s="590">
        <f t="shared" si="3"/>
        <v>-321552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7291835</v>
      </c>
      <c r="D42" s="590">
        <f t="shared" si="2"/>
        <v>5495355</v>
      </c>
      <c r="E42" s="590">
        <f t="shared" si="3"/>
        <v>-1796480</v>
      </c>
    </row>
    <row r="43" spans="1:5" s="421" customFormat="1" x14ac:dyDescent="0.2">
      <c r="A43" s="588"/>
      <c r="B43" s="592" t="s">
        <v>787</v>
      </c>
      <c r="C43" s="593">
        <f>SUM(C37+C38+C41)</f>
        <v>246786225</v>
      </c>
      <c r="D43" s="593">
        <f>SUM(D37+D38+D41)</f>
        <v>269458274</v>
      </c>
      <c r="E43" s="593">
        <f t="shared" si="3"/>
        <v>22672049</v>
      </c>
    </row>
    <row r="44" spans="1:5" s="421" customFormat="1" x14ac:dyDescent="0.2">
      <c r="A44" s="588"/>
      <c r="B44" s="592" t="s">
        <v>724</v>
      </c>
      <c r="C44" s="593">
        <f>SUM(C36+C43)</f>
        <v>417991029</v>
      </c>
      <c r="D44" s="593">
        <f>SUM(D36+D43)</f>
        <v>443697091</v>
      </c>
      <c r="E44" s="593">
        <f t="shared" si="3"/>
        <v>25706062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21249204</v>
      </c>
      <c r="D47" s="589">
        <v>21796955</v>
      </c>
      <c r="E47" s="590">
        <f t="shared" ref="E47:E55" si="4">D47-C47</f>
        <v>547751</v>
      </c>
    </row>
    <row r="48" spans="1:5" s="421" customFormat="1" x14ac:dyDescent="0.2">
      <c r="A48" s="588">
        <v>2</v>
      </c>
      <c r="B48" s="587" t="s">
        <v>634</v>
      </c>
      <c r="C48" s="589">
        <v>33366452</v>
      </c>
      <c r="D48" s="591">
        <v>35052885</v>
      </c>
      <c r="E48" s="590">
        <f t="shared" si="4"/>
        <v>1686433</v>
      </c>
    </row>
    <row r="49" spans="1:5" s="421" customFormat="1" x14ac:dyDescent="0.2">
      <c r="A49" s="588">
        <v>3</v>
      </c>
      <c r="B49" s="587" t="s">
        <v>776</v>
      </c>
      <c r="C49" s="589">
        <v>4478767</v>
      </c>
      <c r="D49" s="591">
        <v>4144209</v>
      </c>
      <c r="E49" s="590">
        <f t="shared" si="4"/>
        <v>-334558</v>
      </c>
    </row>
    <row r="50" spans="1:5" s="421" customFormat="1" x14ac:dyDescent="0.2">
      <c r="A50" s="588">
        <v>4</v>
      </c>
      <c r="B50" s="587" t="s">
        <v>115</v>
      </c>
      <c r="C50" s="589">
        <v>4478767</v>
      </c>
      <c r="D50" s="591">
        <v>4144209</v>
      </c>
      <c r="E50" s="590">
        <f t="shared" si="4"/>
        <v>-334558</v>
      </c>
    </row>
    <row r="51" spans="1:5" s="421" customFormat="1" x14ac:dyDescent="0.2">
      <c r="A51" s="588">
        <v>5</v>
      </c>
      <c r="B51" s="587" t="s">
        <v>742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109504</v>
      </c>
      <c r="D52" s="591">
        <v>29098</v>
      </c>
      <c r="E52" s="590">
        <f t="shared" si="4"/>
        <v>-80406</v>
      </c>
    </row>
    <row r="53" spans="1:5" s="421" customFormat="1" x14ac:dyDescent="0.2">
      <c r="A53" s="588">
        <v>7</v>
      </c>
      <c r="B53" s="587" t="s">
        <v>757</v>
      </c>
      <c r="C53" s="589">
        <v>217590</v>
      </c>
      <c r="D53" s="591">
        <v>392743</v>
      </c>
      <c r="E53" s="590">
        <f t="shared" si="4"/>
        <v>175153</v>
      </c>
    </row>
    <row r="54" spans="1:5" s="421" customFormat="1" x14ac:dyDescent="0.2">
      <c r="A54" s="588"/>
      <c r="B54" s="592" t="s">
        <v>789</v>
      </c>
      <c r="C54" s="593">
        <f>SUM(C48+C49+C52)</f>
        <v>37954723</v>
      </c>
      <c r="D54" s="593">
        <f>SUM(D48+D49+D52)</f>
        <v>39226192</v>
      </c>
      <c r="E54" s="593">
        <f t="shared" si="4"/>
        <v>1271469</v>
      </c>
    </row>
    <row r="55" spans="1:5" s="421" customFormat="1" x14ac:dyDescent="0.2">
      <c r="A55" s="588"/>
      <c r="B55" s="592" t="s">
        <v>466</v>
      </c>
      <c r="C55" s="593">
        <f>SUM(C47+C54)</f>
        <v>59203927</v>
      </c>
      <c r="D55" s="593">
        <f>SUM(D47+D54)</f>
        <v>61023147</v>
      </c>
      <c r="E55" s="593">
        <f t="shared" si="4"/>
        <v>1819220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40943036</v>
      </c>
      <c r="D58" s="589">
        <v>41299783</v>
      </c>
      <c r="E58" s="590">
        <f t="shared" ref="E58:E66" si="5">D58-C58</f>
        <v>356747</v>
      </c>
    </row>
    <row r="59" spans="1:5" s="421" customFormat="1" x14ac:dyDescent="0.2">
      <c r="A59" s="588">
        <v>2</v>
      </c>
      <c r="B59" s="587" t="s">
        <v>634</v>
      </c>
      <c r="C59" s="589">
        <v>14130060</v>
      </c>
      <c r="D59" s="591">
        <v>15795456</v>
      </c>
      <c r="E59" s="590">
        <f t="shared" si="5"/>
        <v>1665396</v>
      </c>
    </row>
    <row r="60" spans="1:5" s="421" customFormat="1" x14ac:dyDescent="0.2">
      <c r="A60" s="588">
        <v>3</v>
      </c>
      <c r="B60" s="587" t="s">
        <v>776</v>
      </c>
      <c r="C60" s="589">
        <f>C61+C62</f>
        <v>7051823</v>
      </c>
      <c r="D60" s="591">
        <f>D61+D62</f>
        <v>8277794</v>
      </c>
      <c r="E60" s="590">
        <f t="shared" si="5"/>
        <v>1225971</v>
      </c>
    </row>
    <row r="61" spans="1:5" s="421" customFormat="1" x14ac:dyDescent="0.2">
      <c r="A61" s="588">
        <v>4</v>
      </c>
      <c r="B61" s="587" t="s">
        <v>115</v>
      </c>
      <c r="C61" s="589">
        <v>7051823</v>
      </c>
      <c r="D61" s="591">
        <v>8277794</v>
      </c>
      <c r="E61" s="590">
        <f t="shared" si="5"/>
        <v>1225971</v>
      </c>
    </row>
    <row r="62" spans="1:5" s="421" customFormat="1" x14ac:dyDescent="0.2">
      <c r="A62" s="588">
        <v>5</v>
      </c>
      <c r="B62" s="587" t="s">
        <v>742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339986</v>
      </c>
      <c r="D63" s="591">
        <v>0</v>
      </c>
      <c r="E63" s="590">
        <f t="shared" si="5"/>
        <v>-339986</v>
      </c>
    </row>
    <row r="64" spans="1:5" s="421" customFormat="1" x14ac:dyDescent="0.2">
      <c r="A64" s="588">
        <v>7</v>
      </c>
      <c r="B64" s="587" t="s">
        <v>757</v>
      </c>
      <c r="C64" s="589">
        <v>330646</v>
      </c>
      <c r="D64" s="591">
        <v>407470</v>
      </c>
      <c r="E64" s="590">
        <f t="shared" si="5"/>
        <v>76824</v>
      </c>
    </row>
    <row r="65" spans="1:5" s="421" customFormat="1" x14ac:dyDescent="0.2">
      <c r="A65" s="588"/>
      <c r="B65" s="592" t="s">
        <v>791</v>
      </c>
      <c r="C65" s="593">
        <f>SUM(C59+C60+C63)</f>
        <v>21521869</v>
      </c>
      <c r="D65" s="593">
        <f>SUM(D59+D60+D63)</f>
        <v>24073250</v>
      </c>
      <c r="E65" s="593">
        <f t="shared" si="5"/>
        <v>2551381</v>
      </c>
    </row>
    <row r="66" spans="1:5" s="421" customFormat="1" x14ac:dyDescent="0.2">
      <c r="A66" s="588"/>
      <c r="B66" s="592" t="s">
        <v>468</v>
      </c>
      <c r="C66" s="593">
        <f>SUM(C58+C65)</f>
        <v>62464905</v>
      </c>
      <c r="D66" s="593">
        <f>SUM(D58+D65)</f>
        <v>65373033</v>
      </c>
      <c r="E66" s="593">
        <f t="shared" si="5"/>
        <v>2908128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62192240</v>
      </c>
      <c r="D69" s="590">
        <f t="shared" si="6"/>
        <v>63096738</v>
      </c>
      <c r="E69" s="590">
        <f t="shared" ref="E69:E77" si="7">D69-C69</f>
        <v>904498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47496512</v>
      </c>
      <c r="D70" s="590">
        <f t="shared" si="6"/>
        <v>50848341</v>
      </c>
      <c r="E70" s="590">
        <f t="shared" si="7"/>
        <v>3351829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11530590</v>
      </c>
      <c r="D71" s="590">
        <f t="shared" si="6"/>
        <v>12422003</v>
      </c>
      <c r="E71" s="590">
        <f t="shared" si="7"/>
        <v>891413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11530590</v>
      </c>
      <c r="D72" s="590">
        <f t="shared" si="6"/>
        <v>12422003</v>
      </c>
      <c r="E72" s="590">
        <f t="shared" si="7"/>
        <v>891413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449490</v>
      </c>
      <c r="D74" s="590">
        <f t="shared" si="6"/>
        <v>29098</v>
      </c>
      <c r="E74" s="590">
        <f t="shared" si="7"/>
        <v>-420392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548236</v>
      </c>
      <c r="D75" s="590">
        <f t="shared" si="6"/>
        <v>800213</v>
      </c>
      <c r="E75" s="590">
        <f t="shared" si="7"/>
        <v>251977</v>
      </c>
    </row>
    <row r="76" spans="1:5" s="421" customFormat="1" x14ac:dyDescent="0.2">
      <c r="A76" s="588"/>
      <c r="B76" s="592" t="s">
        <v>792</v>
      </c>
      <c r="C76" s="593">
        <f>SUM(C70+C71+C74)</f>
        <v>59476592</v>
      </c>
      <c r="D76" s="593">
        <f>SUM(D70+D71+D74)</f>
        <v>63299442</v>
      </c>
      <c r="E76" s="593">
        <f t="shared" si="7"/>
        <v>3822850</v>
      </c>
    </row>
    <row r="77" spans="1:5" s="421" customFormat="1" x14ac:dyDescent="0.2">
      <c r="A77" s="588"/>
      <c r="B77" s="592" t="s">
        <v>725</v>
      </c>
      <c r="C77" s="593">
        <f>SUM(C69+C76)</f>
        <v>121668832</v>
      </c>
      <c r="D77" s="593">
        <f>SUM(D69+D76)</f>
        <v>126396180</v>
      </c>
      <c r="E77" s="593">
        <f t="shared" si="7"/>
        <v>4727348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0.13393201556007558</v>
      </c>
      <c r="D83" s="599">
        <f t="shared" si="8"/>
        <v>0.12564125645800098</v>
      </c>
      <c r="E83" s="599">
        <f t="shared" ref="E83:E91" si="9">D83-C83</f>
        <v>-8.2907591020746074E-3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0.25391172211018914</v>
      </c>
      <c r="D84" s="599">
        <f t="shared" si="8"/>
        <v>0.26081688238970219</v>
      </c>
      <c r="E84" s="599">
        <f t="shared" si="9"/>
        <v>6.9051602795130451E-3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5.4033590275929105E-2</v>
      </c>
      <c r="D85" s="599">
        <f t="shared" si="8"/>
        <v>5.8205040158805101E-2</v>
      </c>
      <c r="E85" s="599">
        <f t="shared" si="9"/>
        <v>4.1714498828759952E-3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5.4033590275929105E-2</v>
      </c>
      <c r="D86" s="599">
        <f t="shared" si="8"/>
        <v>5.8205040158805101E-2</v>
      </c>
      <c r="E86" s="599">
        <f t="shared" si="9"/>
        <v>4.1714498828759952E-3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1.1245265266207423E-3</v>
      </c>
      <c r="D88" s="599">
        <f t="shared" si="8"/>
        <v>2.4891981994085242E-4</v>
      </c>
      <c r="E88" s="599">
        <f t="shared" si="9"/>
        <v>-8.7560670667988986E-4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5.6542242202044964E-3</v>
      </c>
      <c r="D89" s="599">
        <f t="shared" si="8"/>
        <v>4.5875148638285755E-3</v>
      </c>
      <c r="E89" s="599">
        <f t="shared" si="9"/>
        <v>-1.0667093563759208E-3</v>
      </c>
    </row>
    <row r="90" spans="1:5" s="421" customFormat="1" x14ac:dyDescent="0.2">
      <c r="A90" s="588"/>
      <c r="B90" s="592" t="s">
        <v>795</v>
      </c>
      <c r="C90" s="600">
        <f>SUM(C84+C85+C88)</f>
        <v>0.30906983891273898</v>
      </c>
      <c r="D90" s="600">
        <f>SUM(D84+D85+D88)</f>
        <v>0.31927084236844816</v>
      </c>
      <c r="E90" s="601">
        <f t="shared" si="9"/>
        <v>1.0201003455709179E-2</v>
      </c>
    </row>
    <row r="91" spans="1:5" s="421" customFormat="1" x14ac:dyDescent="0.2">
      <c r="A91" s="588"/>
      <c r="B91" s="592" t="s">
        <v>796</v>
      </c>
      <c r="C91" s="600">
        <f>SUM(C83+C90)</f>
        <v>0.44300185447281459</v>
      </c>
      <c r="D91" s="600">
        <f>SUM(D83+D90)</f>
        <v>0.44491209882644911</v>
      </c>
      <c r="E91" s="601">
        <f t="shared" si="9"/>
        <v>1.9102443536345159E-3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0.27565764575296664</v>
      </c>
      <c r="D95" s="599">
        <f t="shared" si="10"/>
        <v>0.26705642070571972</v>
      </c>
      <c r="E95" s="599">
        <f t="shared" ref="E95:E103" si="11">D95-C95</f>
        <v>-8.6012250472469187E-3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0.18537971062532063</v>
      </c>
      <c r="D96" s="599">
        <f t="shared" si="10"/>
        <v>0.18238411664501988</v>
      </c>
      <c r="E96" s="599">
        <f t="shared" si="11"/>
        <v>-2.9955939803007481E-3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9.4441287638256946E-2</v>
      </c>
      <c r="D97" s="599">
        <f t="shared" si="10"/>
        <v>0.10413015081047715</v>
      </c>
      <c r="E97" s="599">
        <f t="shared" si="11"/>
        <v>9.6888631722202023E-3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9.4441287638256946E-2</v>
      </c>
      <c r="D98" s="599">
        <f t="shared" si="10"/>
        <v>0.10413015081047715</v>
      </c>
      <c r="E98" s="599">
        <f t="shared" si="11"/>
        <v>9.6888631722202023E-3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1.5195015106412727E-3</v>
      </c>
      <c r="D100" s="599">
        <f t="shared" si="10"/>
        <v>1.5172130123341286E-3</v>
      </c>
      <c r="E100" s="599">
        <f t="shared" si="11"/>
        <v>-2.2884983071440584E-6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1.1790731518307299E-2</v>
      </c>
      <c r="D101" s="599">
        <f t="shared" si="10"/>
        <v>7.7978604552086193E-3</v>
      </c>
      <c r="E101" s="599">
        <f t="shared" si="11"/>
        <v>-3.9928710630986793E-3</v>
      </c>
    </row>
    <row r="102" spans="1:5" s="421" customFormat="1" x14ac:dyDescent="0.2">
      <c r="A102" s="588"/>
      <c r="B102" s="592" t="s">
        <v>798</v>
      </c>
      <c r="C102" s="600">
        <f>SUM(C96+C97+C100)</f>
        <v>0.28134049977421888</v>
      </c>
      <c r="D102" s="600">
        <f>SUM(D96+D97+D100)</f>
        <v>0.28803148046783117</v>
      </c>
      <c r="E102" s="601">
        <f t="shared" si="11"/>
        <v>6.6909806936122918E-3</v>
      </c>
    </row>
    <row r="103" spans="1:5" s="421" customFormat="1" x14ac:dyDescent="0.2">
      <c r="A103" s="588"/>
      <c r="B103" s="592" t="s">
        <v>799</v>
      </c>
      <c r="C103" s="600">
        <f>SUM(C95+C102)</f>
        <v>0.55699814552718552</v>
      </c>
      <c r="D103" s="600">
        <f>SUM(D95+D102)</f>
        <v>0.55508790117355089</v>
      </c>
      <c r="E103" s="601">
        <f t="shared" si="11"/>
        <v>-1.910244353634627E-3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0.17464788352698249</v>
      </c>
      <c r="D109" s="599">
        <f t="shared" si="12"/>
        <v>0.17244947592561738</v>
      </c>
      <c r="E109" s="599">
        <f t="shared" ref="E109:E117" si="13">D109-C109</f>
        <v>-2.1984076013651099E-3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0.27423993023948812</v>
      </c>
      <c r="D110" s="599">
        <f t="shared" si="12"/>
        <v>0.27732550936270384</v>
      </c>
      <c r="E110" s="599">
        <f t="shared" si="13"/>
        <v>3.0855791232157204E-3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3.681112842441029E-2</v>
      </c>
      <c r="D111" s="599">
        <f t="shared" si="12"/>
        <v>3.2787454494273484E-2</v>
      </c>
      <c r="E111" s="599">
        <f t="shared" si="13"/>
        <v>-4.0236739301368063E-3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3.681112842441029E-2</v>
      </c>
      <c r="D112" s="599">
        <f t="shared" si="12"/>
        <v>3.2787454494273484E-2</v>
      </c>
      <c r="E112" s="599">
        <f t="shared" si="13"/>
        <v>-4.0236739301368063E-3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9.0001685887804031E-4</v>
      </c>
      <c r="D114" s="599">
        <f t="shared" si="12"/>
        <v>2.302126535786129E-4</v>
      </c>
      <c r="E114" s="599">
        <f t="shared" si="13"/>
        <v>-6.6980420529942739E-4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1.7883791306552528E-3</v>
      </c>
      <c r="D115" s="599">
        <f t="shared" si="12"/>
        <v>3.1072378927907473E-3</v>
      </c>
      <c r="E115" s="599">
        <f t="shared" si="13"/>
        <v>1.3188587621354945E-3</v>
      </c>
    </row>
    <row r="116" spans="1:5" s="421" customFormat="1" x14ac:dyDescent="0.2">
      <c r="A116" s="588"/>
      <c r="B116" s="592" t="s">
        <v>795</v>
      </c>
      <c r="C116" s="600">
        <f>SUM(C110+C111+C114)</f>
        <v>0.31195107552277646</v>
      </c>
      <c r="D116" s="600">
        <f>SUM(D110+D111+D114)</f>
        <v>0.31034317651055593</v>
      </c>
      <c r="E116" s="601">
        <f t="shared" si="13"/>
        <v>-1.6078990122205261E-3</v>
      </c>
    </row>
    <row r="117" spans="1:5" s="421" customFormat="1" x14ac:dyDescent="0.2">
      <c r="A117" s="588"/>
      <c r="B117" s="592" t="s">
        <v>796</v>
      </c>
      <c r="C117" s="600">
        <f>SUM(C109+C116)</f>
        <v>0.48659895904975892</v>
      </c>
      <c r="D117" s="600">
        <f>SUM(D109+D116)</f>
        <v>0.48279265243617331</v>
      </c>
      <c r="E117" s="601">
        <f t="shared" si="13"/>
        <v>-3.8063066135856083E-3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0.33651211511589096</v>
      </c>
      <c r="D121" s="599">
        <f t="shared" si="14"/>
        <v>0.32674866439792721</v>
      </c>
      <c r="E121" s="599">
        <f t="shared" ref="E121:E129" si="15">D121-C121</f>
        <v>-9.7634507179637509E-3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0.11613541255989045</v>
      </c>
      <c r="D122" s="599">
        <f t="shared" si="14"/>
        <v>0.12496782735047847</v>
      </c>
      <c r="E122" s="599">
        <f t="shared" si="15"/>
        <v>8.8324147905880224E-3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5.7959157526884124E-2</v>
      </c>
      <c r="D123" s="599">
        <f t="shared" si="14"/>
        <v>6.5490855815421009E-2</v>
      </c>
      <c r="E123" s="599">
        <f t="shared" si="15"/>
        <v>7.5316982885368852E-3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5.7959157526884124E-2</v>
      </c>
      <c r="D124" s="599">
        <f t="shared" si="14"/>
        <v>6.5490855815421009E-2</v>
      </c>
      <c r="E124" s="599">
        <f t="shared" si="15"/>
        <v>7.5316982885368852E-3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2.7943557475755172E-3</v>
      </c>
      <c r="D126" s="599">
        <f t="shared" si="14"/>
        <v>0</v>
      </c>
      <c r="E126" s="599">
        <f t="shared" si="15"/>
        <v>-2.7943557475755172E-3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2.7175899905080045E-3</v>
      </c>
      <c r="D127" s="599">
        <f t="shared" si="14"/>
        <v>3.2237524899882261E-3</v>
      </c>
      <c r="E127" s="599">
        <f t="shared" si="15"/>
        <v>5.0616249948022161E-4</v>
      </c>
    </row>
    <row r="128" spans="1:5" s="421" customFormat="1" x14ac:dyDescent="0.2">
      <c r="A128" s="588"/>
      <c r="B128" s="592" t="s">
        <v>798</v>
      </c>
      <c r="C128" s="600">
        <f>SUM(C122+C123+C126)</f>
        <v>0.17688892583435009</v>
      </c>
      <c r="D128" s="600">
        <f>SUM(D122+D123+D126)</f>
        <v>0.19045868316589948</v>
      </c>
      <c r="E128" s="601">
        <f t="shared" si="15"/>
        <v>1.3569757331549387E-2</v>
      </c>
    </row>
    <row r="129" spans="1:5" s="421" customFormat="1" x14ac:dyDescent="0.2">
      <c r="A129" s="588"/>
      <c r="B129" s="592" t="s">
        <v>799</v>
      </c>
      <c r="C129" s="600">
        <f>SUM(C121+C128)</f>
        <v>0.51340104095024108</v>
      </c>
      <c r="D129" s="600">
        <f>SUM(D121+D128)</f>
        <v>0.51720734756382669</v>
      </c>
      <c r="E129" s="601">
        <f t="shared" si="15"/>
        <v>3.8063066135856083E-3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2462</v>
      </c>
      <c r="D137" s="606">
        <v>2395</v>
      </c>
      <c r="E137" s="607">
        <f t="shared" ref="E137:E145" si="16">D137-C137</f>
        <v>-67</v>
      </c>
    </row>
    <row r="138" spans="1:5" s="421" customFormat="1" x14ac:dyDescent="0.2">
      <c r="A138" s="588">
        <v>2</v>
      </c>
      <c r="B138" s="587" t="s">
        <v>634</v>
      </c>
      <c r="C138" s="606">
        <v>3301</v>
      </c>
      <c r="D138" s="606">
        <v>3456</v>
      </c>
      <c r="E138" s="607">
        <f t="shared" si="16"/>
        <v>155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1283</v>
      </c>
      <c r="D139" s="606">
        <f>D140+D141</f>
        <v>1315</v>
      </c>
      <c r="E139" s="607">
        <f t="shared" si="16"/>
        <v>32</v>
      </c>
    </row>
    <row r="140" spans="1:5" s="421" customFormat="1" x14ac:dyDescent="0.2">
      <c r="A140" s="588">
        <v>4</v>
      </c>
      <c r="B140" s="587" t="s">
        <v>115</v>
      </c>
      <c r="C140" s="606">
        <v>1283</v>
      </c>
      <c r="D140" s="606">
        <v>1315</v>
      </c>
      <c r="E140" s="607">
        <f t="shared" si="16"/>
        <v>32</v>
      </c>
    </row>
    <row r="141" spans="1:5" s="421" customFormat="1" x14ac:dyDescent="0.2">
      <c r="A141" s="588">
        <v>5</v>
      </c>
      <c r="B141" s="587" t="s">
        <v>742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17</v>
      </c>
      <c r="D142" s="606">
        <v>10</v>
      </c>
      <c r="E142" s="607">
        <f t="shared" si="16"/>
        <v>-7</v>
      </c>
    </row>
    <row r="143" spans="1:5" s="421" customFormat="1" x14ac:dyDescent="0.2">
      <c r="A143" s="588">
        <v>7</v>
      </c>
      <c r="B143" s="587" t="s">
        <v>757</v>
      </c>
      <c r="C143" s="606">
        <v>74</v>
      </c>
      <c r="D143" s="606">
        <v>85</v>
      </c>
      <c r="E143" s="607">
        <f t="shared" si="16"/>
        <v>11</v>
      </c>
    </row>
    <row r="144" spans="1:5" s="421" customFormat="1" x14ac:dyDescent="0.2">
      <c r="A144" s="588"/>
      <c r="B144" s="592" t="s">
        <v>806</v>
      </c>
      <c r="C144" s="608">
        <f>SUM(C138+C139+C142)</f>
        <v>4601</v>
      </c>
      <c r="D144" s="608">
        <f>SUM(D138+D139+D142)</f>
        <v>4781</v>
      </c>
      <c r="E144" s="609">
        <f t="shared" si="16"/>
        <v>180</v>
      </c>
    </row>
    <row r="145" spans="1:5" s="421" customFormat="1" x14ac:dyDescent="0.2">
      <c r="A145" s="588"/>
      <c r="B145" s="592" t="s">
        <v>138</v>
      </c>
      <c r="C145" s="608">
        <f>SUM(C137+C144)</f>
        <v>7063</v>
      </c>
      <c r="D145" s="608">
        <f>SUM(D137+D144)</f>
        <v>7176</v>
      </c>
      <c r="E145" s="609">
        <f t="shared" si="16"/>
        <v>113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8595</v>
      </c>
      <c r="D149" s="610">
        <v>8583</v>
      </c>
      <c r="E149" s="607">
        <f t="shared" ref="E149:E157" si="17">D149-C149</f>
        <v>-12</v>
      </c>
    </row>
    <row r="150" spans="1:5" s="421" customFormat="1" x14ac:dyDescent="0.2">
      <c r="A150" s="588">
        <v>2</v>
      </c>
      <c r="B150" s="587" t="s">
        <v>634</v>
      </c>
      <c r="C150" s="610">
        <v>15894</v>
      </c>
      <c r="D150" s="610">
        <v>17572</v>
      </c>
      <c r="E150" s="607">
        <f t="shared" si="17"/>
        <v>1678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4761</v>
      </c>
      <c r="D151" s="610">
        <f>D152+D153</f>
        <v>5093</v>
      </c>
      <c r="E151" s="607">
        <f t="shared" si="17"/>
        <v>332</v>
      </c>
    </row>
    <row r="152" spans="1:5" s="421" customFormat="1" x14ac:dyDescent="0.2">
      <c r="A152" s="588">
        <v>4</v>
      </c>
      <c r="B152" s="587" t="s">
        <v>115</v>
      </c>
      <c r="C152" s="610">
        <v>4761</v>
      </c>
      <c r="D152" s="610">
        <v>5093</v>
      </c>
      <c r="E152" s="607">
        <f t="shared" si="17"/>
        <v>332</v>
      </c>
    </row>
    <row r="153" spans="1:5" s="421" customFormat="1" x14ac:dyDescent="0.2">
      <c r="A153" s="588">
        <v>5</v>
      </c>
      <c r="B153" s="587" t="s">
        <v>742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71</v>
      </c>
      <c r="D154" s="610">
        <v>23</v>
      </c>
      <c r="E154" s="607">
        <f t="shared" si="17"/>
        <v>-48</v>
      </c>
    </row>
    <row r="155" spans="1:5" s="421" customFormat="1" x14ac:dyDescent="0.2">
      <c r="A155" s="588">
        <v>7</v>
      </c>
      <c r="B155" s="587" t="s">
        <v>757</v>
      </c>
      <c r="C155" s="610">
        <v>283</v>
      </c>
      <c r="D155" s="610">
        <v>326</v>
      </c>
      <c r="E155" s="607">
        <f t="shared" si="17"/>
        <v>43</v>
      </c>
    </row>
    <row r="156" spans="1:5" s="421" customFormat="1" x14ac:dyDescent="0.2">
      <c r="A156" s="588"/>
      <c r="B156" s="592" t="s">
        <v>807</v>
      </c>
      <c r="C156" s="608">
        <f>SUM(C150+C151+C154)</f>
        <v>20726</v>
      </c>
      <c r="D156" s="608">
        <f>SUM(D150+D151+D154)</f>
        <v>22688</v>
      </c>
      <c r="E156" s="609">
        <f t="shared" si="17"/>
        <v>1962</v>
      </c>
    </row>
    <row r="157" spans="1:5" s="421" customFormat="1" x14ac:dyDescent="0.2">
      <c r="A157" s="588"/>
      <c r="B157" s="592" t="s">
        <v>140</v>
      </c>
      <c r="C157" s="608">
        <f>SUM(C149+C156)</f>
        <v>29321</v>
      </c>
      <c r="D157" s="608">
        <f>SUM(D149+D156)</f>
        <v>31271</v>
      </c>
      <c r="E157" s="609">
        <f t="shared" si="17"/>
        <v>1950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3.4910641754671001</v>
      </c>
      <c r="D161" s="612">
        <f t="shared" si="18"/>
        <v>3.5837160751565764</v>
      </c>
      <c r="E161" s="613">
        <f t="shared" ref="E161:E169" si="19">D161-C161</f>
        <v>9.2651899689476291E-2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4.8149045743714023</v>
      </c>
      <c r="D162" s="612">
        <f t="shared" si="18"/>
        <v>5.0844907407407405</v>
      </c>
      <c r="E162" s="613">
        <f t="shared" si="19"/>
        <v>0.26958616636933819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3.7108339828526891</v>
      </c>
      <c r="D163" s="612">
        <f t="shared" si="18"/>
        <v>3.8730038022813686</v>
      </c>
      <c r="E163" s="613">
        <f t="shared" si="19"/>
        <v>0.16216981942867958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3.7108339828526891</v>
      </c>
      <c r="D164" s="612">
        <f t="shared" si="18"/>
        <v>3.8730038022813686</v>
      </c>
      <c r="E164" s="613">
        <f t="shared" si="19"/>
        <v>0.16216981942867958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4.1764705882352944</v>
      </c>
      <c r="D166" s="612">
        <f t="shared" si="18"/>
        <v>2.2999999999999998</v>
      </c>
      <c r="E166" s="613">
        <f t="shared" si="19"/>
        <v>-1.8764705882352946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3.8243243243243241</v>
      </c>
      <c r="D167" s="612">
        <f t="shared" si="18"/>
        <v>3.835294117647059</v>
      </c>
      <c r="E167" s="613">
        <f t="shared" si="19"/>
        <v>1.0969793322734844E-2</v>
      </c>
    </row>
    <row r="168" spans="1:5" s="421" customFormat="1" x14ac:dyDescent="0.2">
      <c r="A168" s="588"/>
      <c r="B168" s="592" t="s">
        <v>809</v>
      </c>
      <c r="C168" s="614">
        <f t="shared" si="18"/>
        <v>4.5046728971962615</v>
      </c>
      <c r="D168" s="614">
        <f t="shared" si="18"/>
        <v>4.7454507425224852</v>
      </c>
      <c r="E168" s="615">
        <f t="shared" si="19"/>
        <v>0.24077784532622371</v>
      </c>
    </row>
    <row r="169" spans="1:5" s="421" customFormat="1" x14ac:dyDescent="0.2">
      <c r="A169" s="588"/>
      <c r="B169" s="592" t="s">
        <v>743</v>
      </c>
      <c r="C169" s="614">
        <f t="shared" si="18"/>
        <v>4.1513521166643068</v>
      </c>
      <c r="D169" s="614">
        <f t="shared" si="18"/>
        <v>4.357720178372352</v>
      </c>
      <c r="E169" s="615">
        <f t="shared" si="19"/>
        <v>0.20636806170804523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1.02</v>
      </c>
      <c r="D173" s="617">
        <f t="shared" si="20"/>
        <v>1.0626</v>
      </c>
      <c r="E173" s="618">
        <f t="shared" ref="E173:E181" si="21">D173-C173</f>
        <v>4.2599999999999971E-2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1.361</v>
      </c>
      <c r="D174" s="617">
        <f t="shared" si="20"/>
        <v>1.3304</v>
      </c>
      <c r="E174" s="618">
        <f t="shared" si="21"/>
        <v>-3.0599999999999961E-2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0.77400000000000002</v>
      </c>
      <c r="D175" s="617">
        <f t="shared" si="20"/>
        <v>0.80500000000000005</v>
      </c>
      <c r="E175" s="618">
        <f t="shared" si="21"/>
        <v>3.1000000000000028E-2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0.77400000000000002</v>
      </c>
      <c r="D176" s="617">
        <f t="shared" si="20"/>
        <v>0.80500000000000005</v>
      </c>
      <c r="E176" s="618">
        <f t="shared" si="21"/>
        <v>3.1000000000000028E-2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1.103</v>
      </c>
      <c r="D178" s="617">
        <f t="shared" si="20"/>
        <v>0.43909999999999999</v>
      </c>
      <c r="E178" s="618">
        <f t="shared" si="21"/>
        <v>-0.66389999999999993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1.0309999999999999</v>
      </c>
      <c r="D179" s="617">
        <f t="shared" si="20"/>
        <v>1.0423</v>
      </c>
      <c r="E179" s="618">
        <f t="shared" si="21"/>
        <v>1.1300000000000088E-2</v>
      </c>
    </row>
    <row r="180" spans="1:5" s="421" customFormat="1" x14ac:dyDescent="0.2">
      <c r="A180" s="588"/>
      <c r="B180" s="592" t="s">
        <v>811</v>
      </c>
      <c r="C180" s="619">
        <f t="shared" si="20"/>
        <v>1.1963603564442513</v>
      </c>
      <c r="D180" s="619">
        <f t="shared" si="20"/>
        <v>1.1840260196611587</v>
      </c>
      <c r="E180" s="620">
        <f t="shared" si="21"/>
        <v>-1.2334336783092592E-2</v>
      </c>
    </row>
    <row r="181" spans="1:5" s="421" customFormat="1" x14ac:dyDescent="0.2">
      <c r="A181" s="588"/>
      <c r="B181" s="592" t="s">
        <v>722</v>
      </c>
      <c r="C181" s="619">
        <f t="shared" si="20"/>
        <v>1.1348851762707066</v>
      </c>
      <c r="D181" s="619">
        <f t="shared" si="20"/>
        <v>1.1434999163879598</v>
      </c>
      <c r="E181" s="620">
        <f t="shared" si="21"/>
        <v>8.6147401172531612E-3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813</v>
      </c>
      <c r="C185" s="589">
        <v>160152815</v>
      </c>
      <c r="D185" s="589">
        <v>168743461</v>
      </c>
      <c r="E185" s="590">
        <f>D185-C185</f>
        <v>8590646</v>
      </c>
    </row>
    <row r="186" spans="1:5" s="421" customFormat="1" ht="25.5" x14ac:dyDescent="0.2">
      <c r="A186" s="588">
        <v>2</v>
      </c>
      <c r="B186" s="587" t="s">
        <v>814</v>
      </c>
      <c r="C186" s="589">
        <v>65185648</v>
      </c>
      <c r="D186" s="589">
        <v>64824539</v>
      </c>
      <c r="E186" s="590">
        <f>D186-C186</f>
        <v>-361109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94967167</v>
      </c>
      <c r="D188" s="622">
        <f>+D185-D186</f>
        <v>103918922</v>
      </c>
      <c r="E188" s="590">
        <f t="shared" ref="E188:E197" si="22">D188-C188</f>
        <v>8951755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0.59297844374449493</v>
      </c>
      <c r="D189" s="623">
        <f>IF(D185=0,0,+D188/D185)</f>
        <v>0.6158396976342686</v>
      </c>
      <c r="E189" s="599">
        <f t="shared" si="22"/>
        <v>2.2861253889773669E-2</v>
      </c>
    </row>
    <row r="190" spans="1:5" s="421" customFormat="1" x14ac:dyDescent="0.2">
      <c r="A190" s="588">
        <v>5</v>
      </c>
      <c r="B190" s="587" t="s">
        <v>761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747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6785012</v>
      </c>
      <c r="D193" s="589">
        <v>4849739</v>
      </c>
      <c r="E193" s="622">
        <f t="shared" si="22"/>
        <v>-1935273</v>
      </c>
    </row>
    <row r="194" spans="1:5" s="421" customFormat="1" x14ac:dyDescent="0.2">
      <c r="A194" s="588">
        <v>9</v>
      </c>
      <c r="B194" s="587" t="s">
        <v>817</v>
      </c>
      <c r="C194" s="589">
        <v>985612</v>
      </c>
      <c r="D194" s="589">
        <v>2373418</v>
      </c>
      <c r="E194" s="622">
        <f t="shared" si="22"/>
        <v>1387806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7770624</v>
      </c>
      <c r="D195" s="589">
        <f>+D193+D194</f>
        <v>7223157</v>
      </c>
      <c r="E195" s="625">
        <f t="shared" si="22"/>
        <v>-547467</v>
      </c>
    </row>
    <row r="196" spans="1:5" s="421" customFormat="1" x14ac:dyDescent="0.2">
      <c r="A196" s="588">
        <v>11</v>
      </c>
      <c r="B196" s="587" t="s">
        <v>819</v>
      </c>
      <c r="C196" s="589">
        <v>5748384</v>
      </c>
      <c r="D196" s="589">
        <v>3603467</v>
      </c>
      <c r="E196" s="622">
        <f t="shared" si="22"/>
        <v>-2144917</v>
      </c>
    </row>
    <row r="197" spans="1:5" s="421" customFormat="1" x14ac:dyDescent="0.2">
      <c r="A197" s="588">
        <v>12</v>
      </c>
      <c r="B197" s="587" t="s">
        <v>709</v>
      </c>
      <c r="C197" s="589">
        <v>129115712</v>
      </c>
      <c r="D197" s="589">
        <v>127376540</v>
      </c>
      <c r="E197" s="622">
        <f t="shared" si="22"/>
        <v>-1739172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2511.2400000000002</v>
      </c>
      <c r="D203" s="629">
        <v>2544.9270000000001</v>
      </c>
      <c r="E203" s="630">
        <f t="shared" ref="E203:E211" si="23">D203-C203</f>
        <v>33.686999999999898</v>
      </c>
    </row>
    <row r="204" spans="1:5" s="421" customFormat="1" x14ac:dyDescent="0.2">
      <c r="A204" s="588">
        <v>2</v>
      </c>
      <c r="B204" s="587" t="s">
        <v>634</v>
      </c>
      <c r="C204" s="629">
        <v>4492.6610000000001</v>
      </c>
      <c r="D204" s="629">
        <v>4597.8624</v>
      </c>
      <c r="E204" s="630">
        <f t="shared" si="23"/>
        <v>105.20139999999992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993.04200000000003</v>
      </c>
      <c r="D205" s="629">
        <f>D206+D207</f>
        <v>1058.575</v>
      </c>
      <c r="E205" s="630">
        <f t="shared" si="23"/>
        <v>65.533000000000015</v>
      </c>
    </row>
    <row r="206" spans="1:5" s="421" customFormat="1" x14ac:dyDescent="0.2">
      <c r="A206" s="588">
        <v>4</v>
      </c>
      <c r="B206" s="587" t="s">
        <v>115</v>
      </c>
      <c r="C206" s="629">
        <v>993.04200000000003</v>
      </c>
      <c r="D206" s="629">
        <v>1058.575</v>
      </c>
      <c r="E206" s="630">
        <f t="shared" si="23"/>
        <v>65.533000000000015</v>
      </c>
    </row>
    <row r="207" spans="1:5" s="421" customFormat="1" x14ac:dyDescent="0.2">
      <c r="A207" s="588">
        <v>5</v>
      </c>
      <c r="B207" s="587" t="s">
        <v>742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18.751000000000001</v>
      </c>
      <c r="D208" s="629">
        <v>4.391</v>
      </c>
      <c r="E208" s="630">
        <f t="shared" si="23"/>
        <v>-14.360000000000001</v>
      </c>
    </row>
    <row r="209" spans="1:5" s="421" customFormat="1" x14ac:dyDescent="0.2">
      <c r="A209" s="588">
        <v>7</v>
      </c>
      <c r="B209" s="587" t="s">
        <v>757</v>
      </c>
      <c r="C209" s="629">
        <v>76.293999999999997</v>
      </c>
      <c r="D209" s="629">
        <v>88.595500000000001</v>
      </c>
      <c r="E209" s="630">
        <f t="shared" si="23"/>
        <v>12.301500000000004</v>
      </c>
    </row>
    <row r="210" spans="1:5" s="421" customFormat="1" x14ac:dyDescent="0.2">
      <c r="A210" s="588"/>
      <c r="B210" s="592" t="s">
        <v>822</v>
      </c>
      <c r="C210" s="631">
        <f>C204+C205+C208</f>
        <v>5504.4540000000006</v>
      </c>
      <c r="D210" s="631">
        <f>D204+D205+D208</f>
        <v>5660.8283999999994</v>
      </c>
      <c r="E210" s="632">
        <f t="shared" si="23"/>
        <v>156.37439999999879</v>
      </c>
    </row>
    <row r="211" spans="1:5" s="421" customFormat="1" x14ac:dyDescent="0.2">
      <c r="A211" s="588"/>
      <c r="B211" s="592" t="s">
        <v>723</v>
      </c>
      <c r="C211" s="631">
        <f>C210+C203</f>
        <v>8015.6940000000013</v>
      </c>
      <c r="D211" s="631">
        <f>D210+D203</f>
        <v>8205.7554</v>
      </c>
      <c r="E211" s="632">
        <f t="shared" si="23"/>
        <v>190.06139999999868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5067.2658139710065</v>
      </c>
      <c r="D215" s="633">
        <f>IF(D14*D137=0,0,D25/D14*D137)</f>
        <v>5090.6855408915981</v>
      </c>
      <c r="E215" s="633">
        <f t="shared" ref="E215:E223" si="24">D215-C215</f>
        <v>23.419726920591529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2410.0440093451957</v>
      </c>
      <c r="D216" s="633">
        <f>IF(D15*D138=0,0,D26/D15*D138)</f>
        <v>2416.7128344989201</v>
      </c>
      <c r="E216" s="633">
        <f t="shared" si="24"/>
        <v>6.6688251537243559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2242.4601330602623</v>
      </c>
      <c r="D217" s="633">
        <f>D218+D219</f>
        <v>2352.5651376956034</v>
      </c>
      <c r="E217" s="633">
        <f t="shared" si="24"/>
        <v>110.10500463534117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2242.4601330602623</v>
      </c>
      <c r="D218" s="633">
        <f t="shared" si="25"/>
        <v>2352.5651376956034</v>
      </c>
      <c r="E218" s="633">
        <f t="shared" si="24"/>
        <v>110.10500463534117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22.971023865952404</v>
      </c>
      <c r="D220" s="633">
        <f t="shared" si="25"/>
        <v>60.951876499615196</v>
      </c>
      <c r="E220" s="633">
        <f t="shared" si="24"/>
        <v>37.980852633662792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154.31190882684589</v>
      </c>
      <c r="D221" s="633">
        <f t="shared" si="25"/>
        <v>144.48304983573794</v>
      </c>
      <c r="E221" s="633">
        <f t="shared" si="24"/>
        <v>-9.8288589911079498</v>
      </c>
    </row>
    <row r="222" spans="1:5" s="421" customFormat="1" x14ac:dyDescent="0.2">
      <c r="A222" s="588"/>
      <c r="B222" s="592" t="s">
        <v>824</v>
      </c>
      <c r="C222" s="634">
        <f>C216+C218+C219+C220</f>
        <v>4675.4751662714107</v>
      </c>
      <c r="D222" s="634">
        <f>D216+D218+D219+D220</f>
        <v>4830.229848694139</v>
      </c>
      <c r="E222" s="634">
        <f t="shared" si="24"/>
        <v>154.75468242272837</v>
      </c>
    </row>
    <row r="223" spans="1:5" s="421" customFormat="1" x14ac:dyDescent="0.2">
      <c r="A223" s="588"/>
      <c r="B223" s="592" t="s">
        <v>825</v>
      </c>
      <c r="C223" s="634">
        <f>C215+C222</f>
        <v>9742.7409802424172</v>
      </c>
      <c r="D223" s="634">
        <f>D215+D222</f>
        <v>9920.915389585738</v>
      </c>
      <c r="E223" s="634">
        <f t="shared" si="24"/>
        <v>178.1744093433208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8461.6380752138375</v>
      </c>
      <c r="D227" s="636">
        <f t="shared" si="26"/>
        <v>8564.8645324600657</v>
      </c>
      <c r="E227" s="636">
        <f t="shared" ref="E227:E235" si="27">D227-C227</f>
        <v>103.22645724622816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7426.8795264098489</v>
      </c>
      <c r="D228" s="636">
        <f t="shared" si="26"/>
        <v>7623.7351078622969</v>
      </c>
      <c r="E228" s="636">
        <f t="shared" si="27"/>
        <v>196.85558145244795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4510.1486140566058</v>
      </c>
      <c r="D229" s="636">
        <f t="shared" si="26"/>
        <v>3914.8940793047254</v>
      </c>
      <c r="E229" s="636">
        <f t="shared" si="27"/>
        <v>-595.25453475188033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4510.1486140566058</v>
      </c>
      <c r="D230" s="636">
        <f t="shared" si="26"/>
        <v>3914.8940793047254</v>
      </c>
      <c r="E230" s="636">
        <f t="shared" si="27"/>
        <v>-595.25453475188033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5839.9018719001651</v>
      </c>
      <c r="D232" s="636">
        <f t="shared" si="26"/>
        <v>6626.7365064905489</v>
      </c>
      <c r="E232" s="636">
        <f t="shared" si="27"/>
        <v>786.83463459038376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2851.9936036909849</v>
      </c>
      <c r="D233" s="636">
        <f t="shared" si="26"/>
        <v>4432.9903889023708</v>
      </c>
      <c r="E233" s="636">
        <f t="shared" si="27"/>
        <v>1580.9967852113859</v>
      </c>
    </row>
    <row r="234" spans="1:5" x14ac:dyDescent="0.2">
      <c r="A234" s="588"/>
      <c r="B234" s="592" t="s">
        <v>827</v>
      </c>
      <c r="C234" s="637">
        <f t="shared" si="26"/>
        <v>6895.27480836428</v>
      </c>
      <c r="D234" s="637">
        <f t="shared" si="26"/>
        <v>6929.4084236858344</v>
      </c>
      <c r="E234" s="637">
        <f t="shared" si="27"/>
        <v>34.133615321554316</v>
      </c>
    </row>
    <row r="235" spans="1:5" s="421" customFormat="1" x14ac:dyDescent="0.2">
      <c r="A235" s="588"/>
      <c r="B235" s="592" t="s">
        <v>828</v>
      </c>
      <c r="C235" s="637">
        <f t="shared" si="26"/>
        <v>7386.0013867794842</v>
      </c>
      <c r="D235" s="637">
        <f t="shared" si="26"/>
        <v>7436.6275894599539</v>
      </c>
      <c r="E235" s="637">
        <f t="shared" si="27"/>
        <v>50.62620268046976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8079.9068971506422</v>
      </c>
      <c r="D239" s="636">
        <f t="shared" si="28"/>
        <v>8112.8136217124566</v>
      </c>
      <c r="E239" s="638">
        <f t="shared" ref="E239:E247" si="29">D239-C239</f>
        <v>32.906724561814372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5862.9883708385514</v>
      </c>
      <c r="D240" s="636">
        <f t="shared" si="28"/>
        <v>6535.9258967460328</v>
      </c>
      <c r="E240" s="638">
        <f t="shared" si="29"/>
        <v>672.93752590748136</v>
      </c>
    </row>
    <row r="241" spans="1:5" x14ac:dyDescent="0.2">
      <c r="A241" s="588">
        <v>3</v>
      </c>
      <c r="B241" s="587" t="s">
        <v>776</v>
      </c>
      <c r="C241" s="636">
        <f t="shared" si="28"/>
        <v>3144.6815468582936</v>
      </c>
      <c r="D241" s="636">
        <f t="shared" si="28"/>
        <v>3518.6247842252337</v>
      </c>
      <c r="E241" s="638">
        <f t="shared" si="29"/>
        <v>373.94323736694014</v>
      </c>
    </row>
    <row r="242" spans="1:5" x14ac:dyDescent="0.2">
      <c r="A242" s="588">
        <v>4</v>
      </c>
      <c r="B242" s="587" t="s">
        <v>115</v>
      </c>
      <c r="C242" s="636">
        <f t="shared" si="28"/>
        <v>3144.6815468582936</v>
      </c>
      <c r="D242" s="636">
        <f t="shared" si="28"/>
        <v>3518.6247842252337</v>
      </c>
      <c r="E242" s="638">
        <f t="shared" si="29"/>
        <v>373.94323736694014</v>
      </c>
    </row>
    <row r="243" spans="1:5" x14ac:dyDescent="0.2">
      <c r="A243" s="588">
        <v>5</v>
      </c>
      <c r="B243" s="587" t="s">
        <v>742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14800.646326606557</v>
      </c>
      <c r="D244" s="636">
        <f t="shared" si="28"/>
        <v>0</v>
      </c>
      <c r="E244" s="638">
        <f t="shared" si="29"/>
        <v>-14800.646326606557</v>
      </c>
    </row>
    <row r="245" spans="1:5" x14ac:dyDescent="0.2">
      <c r="A245" s="588">
        <v>7</v>
      </c>
      <c r="B245" s="587" t="s">
        <v>757</v>
      </c>
      <c r="C245" s="636">
        <f t="shared" si="28"/>
        <v>2142.7121374735852</v>
      </c>
      <c r="D245" s="636">
        <f t="shared" si="28"/>
        <v>2820.1924063981942</v>
      </c>
      <c r="E245" s="638">
        <f t="shared" si="29"/>
        <v>677.48026892460894</v>
      </c>
    </row>
    <row r="246" spans="1:5" ht="25.5" x14ac:dyDescent="0.2">
      <c r="A246" s="588"/>
      <c r="B246" s="592" t="s">
        <v>830</v>
      </c>
      <c r="C246" s="637">
        <f t="shared" si="28"/>
        <v>4603.1404797650166</v>
      </c>
      <c r="D246" s="637">
        <f t="shared" si="28"/>
        <v>4983.8725597102266</v>
      </c>
      <c r="E246" s="639">
        <f t="shared" si="29"/>
        <v>380.73207994520999</v>
      </c>
    </row>
    <row r="247" spans="1:5" x14ac:dyDescent="0.2">
      <c r="A247" s="588"/>
      <c r="B247" s="592" t="s">
        <v>831</v>
      </c>
      <c r="C247" s="637">
        <f t="shared" si="28"/>
        <v>6411.4303281462953</v>
      </c>
      <c r="D247" s="637">
        <f t="shared" si="28"/>
        <v>6589.4154352554906</v>
      </c>
      <c r="E247" s="639">
        <f t="shared" si="29"/>
        <v>177.98510710919527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6095694.6822013883</v>
      </c>
      <c r="D251" s="622">
        <f>((IF((IF(D15=0,0,D26/D15)*D138)=0,0,D59/(IF(D15=0,0,D26/D15)*D138)))-(IF((IF(D17=0,0,D28/D17)*D140)=0,0,D61/(IF(D17=0,0,D28/D17)*D140))))*(IF(D17=0,0,D28/D17)*D140)</f>
        <v>7098397.4072465906</v>
      </c>
      <c r="E251" s="622">
        <f>D251-C251</f>
        <v>1002702.7250452023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923119.27352160926</v>
      </c>
      <c r="D253" s="622">
        <f>IF(D233=0,0,(D228-D233)*D209+IF(D221=0,0,(D240-D245)*D221))</f>
        <v>819546.13081086148</v>
      </c>
      <c r="E253" s="622">
        <f>D253-C253</f>
        <v>-103573.14271074778</v>
      </c>
    </row>
    <row r="254" spans="1:5" ht="15" customHeight="1" x14ac:dyDescent="0.2">
      <c r="A254" s="588"/>
      <c r="B254" s="592" t="s">
        <v>758</v>
      </c>
      <c r="C254" s="640">
        <f>+C251+C252+C253</f>
        <v>7018813.9557229979</v>
      </c>
      <c r="D254" s="640">
        <f>+D251+D252+D253</f>
        <v>7917943.5380574521</v>
      </c>
      <c r="E254" s="640">
        <f>D254-C254</f>
        <v>899129.58233445417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417991029</v>
      </c>
      <c r="D258" s="625">
        <f>+D44</f>
        <v>443697091</v>
      </c>
      <c r="E258" s="622">
        <f t="shared" ref="E258:E271" si="30">D258-C258</f>
        <v>25706062</v>
      </c>
    </row>
    <row r="259" spans="1:5" x14ac:dyDescent="0.2">
      <c r="A259" s="588">
        <v>2</v>
      </c>
      <c r="B259" s="587" t="s">
        <v>741</v>
      </c>
      <c r="C259" s="622">
        <f>+(C43-C76)</f>
        <v>187309633</v>
      </c>
      <c r="D259" s="625">
        <f>+(D43-D76)</f>
        <v>206158832</v>
      </c>
      <c r="E259" s="622">
        <f t="shared" si="30"/>
        <v>18849199</v>
      </c>
    </row>
    <row r="260" spans="1:5" x14ac:dyDescent="0.2">
      <c r="A260" s="588">
        <v>3</v>
      </c>
      <c r="B260" s="587" t="s">
        <v>745</v>
      </c>
      <c r="C260" s="622">
        <f>C195</f>
        <v>7770624</v>
      </c>
      <c r="D260" s="622">
        <f>D195</f>
        <v>7223157</v>
      </c>
      <c r="E260" s="622">
        <f t="shared" si="30"/>
        <v>-547467</v>
      </c>
    </row>
    <row r="261" spans="1:5" x14ac:dyDescent="0.2">
      <c r="A261" s="588">
        <v>4</v>
      </c>
      <c r="B261" s="587" t="s">
        <v>746</v>
      </c>
      <c r="C261" s="622">
        <f>C188</f>
        <v>94967167</v>
      </c>
      <c r="D261" s="622">
        <f>D188</f>
        <v>103918922</v>
      </c>
      <c r="E261" s="622">
        <f t="shared" si="30"/>
        <v>8951755</v>
      </c>
    </row>
    <row r="262" spans="1:5" x14ac:dyDescent="0.2">
      <c r="A262" s="588">
        <v>5</v>
      </c>
      <c r="B262" s="587" t="s">
        <v>747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748</v>
      </c>
      <c r="C263" s="622">
        <f>+C259+C260+C261+C262</f>
        <v>290047424</v>
      </c>
      <c r="D263" s="622">
        <f>+D259+D260+D261+D262</f>
        <v>317300911</v>
      </c>
      <c r="E263" s="622">
        <f t="shared" si="30"/>
        <v>27253487</v>
      </c>
    </row>
    <row r="264" spans="1:5" x14ac:dyDescent="0.2">
      <c r="A264" s="588">
        <v>7</v>
      </c>
      <c r="B264" s="587" t="s">
        <v>653</v>
      </c>
      <c r="C264" s="622">
        <f>+C258-C263</f>
        <v>127943605</v>
      </c>
      <c r="D264" s="622">
        <f>+D258-D263</f>
        <v>126396180</v>
      </c>
      <c r="E264" s="622">
        <f t="shared" si="30"/>
        <v>-1547425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127943605</v>
      </c>
      <c r="D266" s="622">
        <f>+D264+D265</f>
        <v>126396180</v>
      </c>
      <c r="E266" s="641">
        <f t="shared" si="30"/>
        <v>-1547425</v>
      </c>
    </row>
    <row r="267" spans="1:5" x14ac:dyDescent="0.2">
      <c r="A267" s="588">
        <v>10</v>
      </c>
      <c r="B267" s="587" t="s">
        <v>836</v>
      </c>
      <c r="C267" s="642">
        <f>IF(C258=0,0,C266/C258)</f>
        <v>0.3060917486820034</v>
      </c>
      <c r="D267" s="642">
        <f>IF(D258=0,0,D266/D258)</f>
        <v>0.28487042751425207</v>
      </c>
      <c r="E267" s="643">
        <f t="shared" si="30"/>
        <v>-2.1221321167751328E-2</v>
      </c>
    </row>
    <row r="268" spans="1:5" x14ac:dyDescent="0.2">
      <c r="A268" s="588">
        <v>11</v>
      </c>
      <c r="B268" s="587" t="s">
        <v>715</v>
      </c>
      <c r="C268" s="622">
        <f>+C260*C267</f>
        <v>2378523.8885103441</v>
      </c>
      <c r="D268" s="644">
        <f>+D260*D267</f>
        <v>2057663.8225925625</v>
      </c>
      <c r="E268" s="622">
        <f t="shared" si="30"/>
        <v>-320860.06591778155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7465821.1322758421</v>
      </c>
      <c r="D269" s="644">
        <f>((D17+D18+D28+D29)*D267)-(D50+D51+D61+D62)</f>
        <v>8096545.0180877745</v>
      </c>
      <c r="E269" s="622">
        <f t="shared" si="30"/>
        <v>630723.88581193238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839</v>
      </c>
      <c r="C271" s="622">
        <f>+C268+C269+C270</f>
        <v>9844345.0207861867</v>
      </c>
      <c r="D271" s="622">
        <f>+D268+D269+D270</f>
        <v>10154208.840680337</v>
      </c>
      <c r="E271" s="625">
        <f t="shared" si="30"/>
        <v>309863.8198941499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0.37956949348045771</v>
      </c>
      <c r="D276" s="623">
        <f t="shared" si="31"/>
        <v>0.39100019624494098</v>
      </c>
      <c r="E276" s="650">
        <f t="shared" ref="E276:E284" si="32">D276-C276</f>
        <v>1.1430702764483269E-2</v>
      </c>
    </row>
    <row r="277" spans="1:5" x14ac:dyDescent="0.2">
      <c r="A277" s="588">
        <v>2</v>
      </c>
      <c r="B277" s="587" t="s">
        <v>634</v>
      </c>
      <c r="C277" s="623">
        <f t="shared" si="31"/>
        <v>0.31438391414863159</v>
      </c>
      <c r="D277" s="623">
        <f t="shared" si="31"/>
        <v>0.30290154413670106</v>
      </c>
      <c r="E277" s="650">
        <f t="shared" si="32"/>
        <v>-1.1482370011930532E-2</v>
      </c>
    </row>
    <row r="278" spans="1:5" x14ac:dyDescent="0.2">
      <c r="A278" s="588">
        <v>3</v>
      </c>
      <c r="B278" s="587" t="s">
        <v>776</v>
      </c>
      <c r="C278" s="623">
        <f t="shared" si="31"/>
        <v>0.19830226893683733</v>
      </c>
      <c r="D278" s="623">
        <f t="shared" si="31"/>
        <v>0.16047022995610485</v>
      </c>
      <c r="E278" s="650">
        <f t="shared" si="32"/>
        <v>-3.783203898073248E-2</v>
      </c>
    </row>
    <row r="279" spans="1:5" x14ac:dyDescent="0.2">
      <c r="A279" s="588">
        <v>4</v>
      </c>
      <c r="B279" s="587" t="s">
        <v>115</v>
      </c>
      <c r="C279" s="623">
        <f t="shared" si="31"/>
        <v>0.19830226893683733</v>
      </c>
      <c r="D279" s="623">
        <f t="shared" si="31"/>
        <v>0.16047022995610485</v>
      </c>
      <c r="E279" s="650">
        <f t="shared" si="32"/>
        <v>-3.783203898073248E-2</v>
      </c>
    </row>
    <row r="280" spans="1:5" x14ac:dyDescent="0.2">
      <c r="A280" s="588">
        <v>5</v>
      </c>
      <c r="B280" s="587" t="s">
        <v>742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0.23296641576710167</v>
      </c>
      <c r="D281" s="623">
        <f t="shared" si="31"/>
        <v>0.2634614514011499</v>
      </c>
      <c r="E281" s="650">
        <f t="shared" si="32"/>
        <v>3.0495035634048234E-2</v>
      </c>
    </row>
    <row r="282" spans="1:5" x14ac:dyDescent="0.2">
      <c r="A282" s="588">
        <v>7</v>
      </c>
      <c r="B282" s="587" t="s">
        <v>757</v>
      </c>
      <c r="C282" s="623">
        <f t="shared" si="31"/>
        <v>9.2065930020753861E-2</v>
      </c>
      <c r="D282" s="623">
        <f t="shared" si="31"/>
        <v>0.19294982429093668</v>
      </c>
      <c r="E282" s="650">
        <f t="shared" si="32"/>
        <v>0.10088389427018282</v>
      </c>
    </row>
    <row r="283" spans="1:5" ht="29.25" customHeight="1" x14ac:dyDescent="0.2">
      <c r="A283" s="588"/>
      <c r="B283" s="592" t="s">
        <v>843</v>
      </c>
      <c r="C283" s="651">
        <f t="shared" si="31"/>
        <v>0.29379353815148446</v>
      </c>
      <c r="D283" s="651">
        <f t="shared" si="31"/>
        <v>0.27690468917505479</v>
      </c>
      <c r="E283" s="652">
        <f t="shared" si="32"/>
        <v>-1.6888848976429671E-2</v>
      </c>
    </row>
    <row r="284" spans="1:5" x14ac:dyDescent="0.2">
      <c r="A284" s="588"/>
      <c r="B284" s="592" t="s">
        <v>844</v>
      </c>
      <c r="C284" s="651">
        <f t="shared" si="31"/>
        <v>0.31972604039229707</v>
      </c>
      <c r="D284" s="651">
        <f t="shared" si="31"/>
        <v>0.30912476793282545</v>
      </c>
      <c r="E284" s="652">
        <f t="shared" si="32"/>
        <v>-1.0601272459471622E-2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0.35533913394617644</v>
      </c>
      <c r="D287" s="623">
        <f t="shared" si="33"/>
        <v>0.34854444416941455</v>
      </c>
      <c r="E287" s="650">
        <f t="shared" ref="E287:E295" si="34">D287-C287</f>
        <v>-6.7946897767618974E-3</v>
      </c>
    </row>
    <row r="288" spans="1:5" x14ac:dyDescent="0.2">
      <c r="A288" s="588">
        <v>2</v>
      </c>
      <c r="B288" s="587" t="s">
        <v>634</v>
      </c>
      <c r="C288" s="623">
        <f t="shared" si="33"/>
        <v>0.18235381145465121</v>
      </c>
      <c r="D288" s="623">
        <f t="shared" si="33"/>
        <v>0.19519045330107759</v>
      </c>
      <c r="E288" s="650">
        <f t="shared" si="34"/>
        <v>1.2836641846426383E-2</v>
      </c>
    </row>
    <row r="289" spans="1:5" x14ac:dyDescent="0.2">
      <c r="A289" s="588">
        <v>3</v>
      </c>
      <c r="B289" s="587" t="s">
        <v>776</v>
      </c>
      <c r="C289" s="623">
        <f t="shared" si="33"/>
        <v>0.17863746301482197</v>
      </c>
      <c r="D289" s="623">
        <f t="shared" si="33"/>
        <v>0.17916432415784125</v>
      </c>
      <c r="E289" s="650">
        <f t="shared" si="34"/>
        <v>5.2686114301928044E-4</v>
      </c>
    </row>
    <row r="290" spans="1:5" x14ac:dyDescent="0.2">
      <c r="A290" s="588">
        <v>4</v>
      </c>
      <c r="B290" s="587" t="s">
        <v>115</v>
      </c>
      <c r="C290" s="623">
        <f t="shared" si="33"/>
        <v>0.17863746301482197</v>
      </c>
      <c r="D290" s="623">
        <f t="shared" si="33"/>
        <v>0.17916432415784125</v>
      </c>
      <c r="E290" s="650">
        <f t="shared" si="34"/>
        <v>5.2686114301928044E-4</v>
      </c>
    </row>
    <row r="291" spans="1:5" x14ac:dyDescent="0.2">
      <c r="A291" s="588">
        <v>5</v>
      </c>
      <c r="B291" s="587" t="s">
        <v>742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0.53529469186224099</v>
      </c>
      <c r="D292" s="623">
        <f t="shared" si="33"/>
        <v>0</v>
      </c>
      <c r="E292" s="650">
        <f t="shared" si="34"/>
        <v>-0.53529469186224099</v>
      </c>
    </row>
    <row r="293" spans="1:5" x14ac:dyDescent="0.2">
      <c r="A293" s="588">
        <v>7</v>
      </c>
      <c r="B293" s="587" t="s">
        <v>757</v>
      </c>
      <c r="C293" s="623">
        <f t="shared" si="33"/>
        <v>6.7089655508256199E-2</v>
      </c>
      <c r="D293" s="623">
        <f t="shared" si="33"/>
        <v>0.11776970815240262</v>
      </c>
      <c r="E293" s="650">
        <f t="shared" si="34"/>
        <v>5.068005264414642E-2</v>
      </c>
    </row>
    <row r="294" spans="1:5" ht="29.25" customHeight="1" x14ac:dyDescent="0.2">
      <c r="A294" s="588"/>
      <c r="B294" s="592" t="s">
        <v>846</v>
      </c>
      <c r="C294" s="651">
        <f t="shared" si="33"/>
        <v>0.18301250605825509</v>
      </c>
      <c r="D294" s="651">
        <f t="shared" si="33"/>
        <v>0.18836846031255552</v>
      </c>
      <c r="E294" s="652">
        <f t="shared" si="34"/>
        <v>5.3559542543004379E-3</v>
      </c>
    </row>
    <row r="295" spans="1:5" x14ac:dyDescent="0.2">
      <c r="A295" s="588"/>
      <c r="B295" s="592" t="s">
        <v>847</v>
      </c>
      <c r="C295" s="651">
        <f t="shared" si="33"/>
        <v>0.2682967263480216</v>
      </c>
      <c r="D295" s="651">
        <f t="shared" si="33"/>
        <v>0.26543017403644331</v>
      </c>
      <c r="E295" s="652">
        <f t="shared" si="34"/>
        <v>-2.8665523115782854E-3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121668832</v>
      </c>
      <c r="D301" s="590">
        <f>+D48+D47+D50+D51+D52+D59+D58+D61+D62+D63</f>
        <v>126396180</v>
      </c>
      <c r="E301" s="590">
        <f>D301-C301</f>
        <v>4727348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121668832</v>
      </c>
      <c r="D303" s="593">
        <f>+D301+D302</f>
        <v>126396180</v>
      </c>
      <c r="E303" s="593">
        <f>D303-C303</f>
        <v>4727348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-607519</v>
      </c>
      <c r="D305" s="654">
        <v>-590359</v>
      </c>
      <c r="E305" s="655">
        <f>D305-C305</f>
        <v>17160</v>
      </c>
    </row>
    <row r="306" spans="1:5" x14ac:dyDescent="0.2">
      <c r="A306" s="588">
        <v>4</v>
      </c>
      <c r="B306" s="592" t="s">
        <v>854</v>
      </c>
      <c r="C306" s="593">
        <f>+C303+C305+C194+C190-C191</f>
        <v>122046925</v>
      </c>
      <c r="D306" s="593">
        <f>+D303+D305</f>
        <v>125805821</v>
      </c>
      <c r="E306" s="656">
        <f>D306-C306</f>
        <v>3758896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121061315</v>
      </c>
      <c r="D308" s="589">
        <v>125805820</v>
      </c>
      <c r="E308" s="590">
        <f>D308-C308</f>
        <v>4744505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985610</v>
      </c>
      <c r="D310" s="658">
        <f>D306-D308</f>
        <v>1</v>
      </c>
      <c r="E310" s="656">
        <f>D310-C310</f>
        <v>-985609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417991029</v>
      </c>
      <c r="D314" s="590">
        <f>+D14+D15+D16+D19+D25+D26+D27+D30</f>
        <v>443697091</v>
      </c>
      <c r="E314" s="590">
        <f>D314-C314</f>
        <v>25706062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417991029</v>
      </c>
      <c r="D316" s="657">
        <f>D314+D315</f>
        <v>443697091</v>
      </c>
      <c r="E316" s="593">
        <f>D316-C316</f>
        <v>25706062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417991029</v>
      </c>
      <c r="D318" s="589">
        <v>443697092</v>
      </c>
      <c r="E318" s="590">
        <f>D318-C318</f>
        <v>25706063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0</v>
      </c>
      <c r="D320" s="657">
        <f>D316-D318</f>
        <v>-1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7770624</v>
      </c>
      <c r="D324" s="589">
        <f>+D193+D194</f>
        <v>7223157</v>
      </c>
      <c r="E324" s="590">
        <f>D324-C324</f>
        <v>-547467</v>
      </c>
    </row>
    <row r="325" spans="1:5" x14ac:dyDescent="0.2">
      <c r="A325" s="588">
        <v>2</v>
      </c>
      <c r="B325" s="587" t="s">
        <v>864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865</v>
      </c>
      <c r="C326" s="657">
        <f>C324+C325</f>
        <v>7770624</v>
      </c>
      <c r="D326" s="657">
        <f>D324+D325</f>
        <v>7223157</v>
      </c>
      <c r="E326" s="593">
        <f>D326-C326</f>
        <v>-547467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7770624</v>
      </c>
      <c r="D328" s="589">
        <v>7223157</v>
      </c>
      <c r="E328" s="590">
        <f>D328-C328</f>
        <v>-547467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3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55746660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115723692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25825407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25825407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110445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2035467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141659544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197406204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118492157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80923302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46202245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46202245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673183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3459888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127798730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246290887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174238817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269458274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443697091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21796955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35052885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4144209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4144209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29098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392743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39226192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61023147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41299783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15795456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8277794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8277794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0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407470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24073250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65373033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63096738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63299442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126396180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2395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3456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1315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1315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85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4781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7176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1.0626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1.3304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0.80500000000000005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0.80500000000000005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0.43909999999999999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1.0423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1.1840260196611587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1.1434999163879598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168743461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64824539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103918922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0.6158396976342686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4849739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2373418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7223157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3603467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127376540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126396180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126396180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-590359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125805821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125805820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443697091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443697091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443697092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7223157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7223157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7223157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628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881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275</v>
      </c>
      <c r="D12" s="185">
        <v>307</v>
      </c>
      <c r="E12" s="185">
        <f>+D12-C12</f>
        <v>32</v>
      </c>
      <c r="F12" s="77">
        <f>IF(C12=0,0,+E12/C12)</f>
        <v>0.11636363636363636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207</v>
      </c>
      <c r="D13" s="185">
        <v>248</v>
      </c>
      <c r="E13" s="185">
        <f>+D13-C13</f>
        <v>41</v>
      </c>
      <c r="F13" s="77">
        <f>IF(C13=0,0,+E13/C13)</f>
        <v>0.19806763285024154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6785012</v>
      </c>
      <c r="D15" s="76">
        <v>4849739</v>
      </c>
      <c r="E15" s="76">
        <f>+D15-C15</f>
        <v>-1935273</v>
      </c>
      <c r="F15" s="77">
        <f>IF(C15=0,0,+E15/C15)</f>
        <v>-0.28522764587593952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32777.835748792269</v>
      </c>
      <c r="D16" s="79">
        <f>IF(D13=0,0,+D15/+D13)</f>
        <v>19555.399193548386</v>
      </c>
      <c r="E16" s="79">
        <f>+D16-C16</f>
        <v>-13222.436555243883</v>
      </c>
      <c r="F16" s="80">
        <f>IF(C16=0,0,+E16/C16)</f>
        <v>-0.40339565603354627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0.31689200000000001</v>
      </c>
      <c r="D18" s="704">
        <v>0.304705</v>
      </c>
      <c r="E18" s="704">
        <f>+D18-C18</f>
        <v>-1.2187000000000003E-2</v>
      </c>
      <c r="F18" s="77">
        <f>IF(C18=0,0,+E18/C18)</f>
        <v>-3.8457897327796232E-2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2150116.0227040001</v>
      </c>
      <c r="D19" s="79">
        <f>+D15*D18</f>
        <v>1477739.721995</v>
      </c>
      <c r="E19" s="79">
        <f>+D19-C19</f>
        <v>-672376.30070900009</v>
      </c>
      <c r="F19" s="80">
        <f>IF(C19=0,0,+E19/C19)</f>
        <v>-0.31271628768358983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10387.03392610628</v>
      </c>
      <c r="D20" s="79">
        <f>IF(D13=0,0,+D19/D13)</f>
        <v>5958.6279112701613</v>
      </c>
      <c r="E20" s="79">
        <f>+D20-C20</f>
        <v>-4428.4060148361186</v>
      </c>
      <c r="F20" s="80">
        <f>IF(C20=0,0,+E20/C20)</f>
        <v>-0.42633980463912535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2353271</v>
      </c>
      <c r="D22" s="76">
        <v>1309816</v>
      </c>
      <c r="E22" s="76">
        <f>+D22-C22</f>
        <v>-1043455</v>
      </c>
      <c r="F22" s="77">
        <f>IF(C22=0,0,+E22/C22)</f>
        <v>-0.4434062205330368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1313727</v>
      </c>
      <c r="D23" s="185">
        <v>2466587</v>
      </c>
      <c r="E23" s="185">
        <f>+D23-C23</f>
        <v>1152860</v>
      </c>
      <c r="F23" s="77">
        <f>IF(C23=0,0,+E23/C23)</f>
        <v>0.87754914072710688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3118014</v>
      </c>
      <c r="D24" s="185">
        <v>1073336</v>
      </c>
      <c r="E24" s="185">
        <f>+D24-C24</f>
        <v>-2044678</v>
      </c>
      <c r="F24" s="77">
        <f>IF(C24=0,0,+E24/C24)</f>
        <v>-0.65576293114783957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6785012</v>
      </c>
      <c r="D25" s="79">
        <f>+D22+D23+D24</f>
        <v>4849739</v>
      </c>
      <c r="E25" s="79">
        <f>+E22+E23+E24</f>
        <v>-1935273</v>
      </c>
      <c r="F25" s="80">
        <f>IF(C25=0,0,+E25/C25)</f>
        <v>-0.28522764587593952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8628</v>
      </c>
      <c r="D27" s="185">
        <v>8403</v>
      </c>
      <c r="E27" s="185">
        <f>+D27-C27</f>
        <v>-225</v>
      </c>
      <c r="F27" s="77">
        <f>IF(C27=0,0,+E27/C27)</f>
        <v>-2.6077885952712099E-2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3495</v>
      </c>
      <c r="D28" s="185">
        <v>717</v>
      </c>
      <c r="E28" s="185">
        <f>+D28-C28</f>
        <v>-2778</v>
      </c>
      <c r="F28" s="77">
        <f>IF(C28=0,0,+E28/C28)</f>
        <v>-0.79484978540772533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1813</v>
      </c>
      <c r="D29" s="185">
        <v>4175</v>
      </c>
      <c r="E29" s="185">
        <f>+D29-C29</f>
        <v>2362</v>
      </c>
      <c r="F29" s="77">
        <f>IF(C29=0,0,+E29/C29)</f>
        <v>1.3028130170987313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3320</v>
      </c>
      <c r="D30" s="185">
        <v>3511</v>
      </c>
      <c r="E30" s="185">
        <f>+D30-C30</f>
        <v>191</v>
      </c>
      <c r="F30" s="77">
        <f>IF(C30=0,0,+E30/C30)</f>
        <v>5.753012048192771E-2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147841</v>
      </c>
      <c r="D33" s="76">
        <v>166139</v>
      </c>
      <c r="E33" s="76">
        <f>+D33-C33</f>
        <v>18298</v>
      </c>
      <c r="F33" s="77">
        <f>IF(C33=0,0,+E33/C33)</f>
        <v>0.12376810221792331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512660</v>
      </c>
      <c r="D34" s="185">
        <v>901899</v>
      </c>
      <c r="E34" s="185">
        <f>+D34-C34</f>
        <v>389239</v>
      </c>
      <c r="F34" s="77">
        <f>IF(C34=0,0,+E34/C34)</f>
        <v>0.75925369640697538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325111</v>
      </c>
      <c r="D35" s="185">
        <v>1305380</v>
      </c>
      <c r="E35" s="185">
        <f>+D35-C35</f>
        <v>980269</v>
      </c>
      <c r="F35" s="77">
        <f>IF(C35=0,0,+E35/C35)</f>
        <v>3.0151825068976441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985612</v>
      </c>
      <c r="D36" s="79">
        <f>+D33+D34+D35</f>
        <v>2373418</v>
      </c>
      <c r="E36" s="79">
        <f>+E33+E34+E35</f>
        <v>1387806</v>
      </c>
      <c r="F36" s="80">
        <f>IF(C36=0,0,+E36/C36)</f>
        <v>1.4080652427121423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6785012</v>
      </c>
      <c r="D39" s="76">
        <f>+D25</f>
        <v>4849739</v>
      </c>
      <c r="E39" s="76">
        <f>+D39-C39</f>
        <v>-1935273</v>
      </c>
      <c r="F39" s="77">
        <f>IF(C39=0,0,+E39/C39)</f>
        <v>-0.28522764587593952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985612</v>
      </c>
      <c r="D40" s="185">
        <f>+D36</f>
        <v>2373418</v>
      </c>
      <c r="E40" s="185">
        <f>+D40-C40</f>
        <v>1387806</v>
      </c>
      <c r="F40" s="77">
        <f>IF(C40=0,0,+E40/C40)</f>
        <v>1.4080652427121423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7770624</v>
      </c>
      <c r="D41" s="79">
        <f>+D39+D40</f>
        <v>7223157</v>
      </c>
      <c r="E41" s="79">
        <f>+E39+E40</f>
        <v>-547467</v>
      </c>
      <c r="F41" s="80">
        <f>IF(C41=0,0,+E41/C41)</f>
        <v>-7.0453415324174734E-2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2501112</v>
      </c>
      <c r="D43" s="76">
        <f t="shared" si="0"/>
        <v>1475955</v>
      </c>
      <c r="E43" s="76">
        <f>+D43-C43</f>
        <v>-1025157</v>
      </c>
      <c r="F43" s="77">
        <f>IF(C43=0,0,+E43/C43)</f>
        <v>-0.40988048516020076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1826387</v>
      </c>
      <c r="D44" s="185">
        <f t="shared" si="0"/>
        <v>3368486</v>
      </c>
      <c r="E44" s="185">
        <f>+D44-C44</f>
        <v>1542099</v>
      </c>
      <c r="F44" s="77">
        <f>IF(C44=0,0,+E44/C44)</f>
        <v>0.84434405194517925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3443125</v>
      </c>
      <c r="D45" s="185">
        <f t="shared" si="0"/>
        <v>2378716</v>
      </c>
      <c r="E45" s="185">
        <f>+D45-C45</f>
        <v>-1064409</v>
      </c>
      <c r="F45" s="77">
        <f>IF(C45=0,0,+E45/C45)</f>
        <v>-0.30914038845525504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7770624</v>
      </c>
      <c r="D46" s="79">
        <f>+D43+D44+D45</f>
        <v>7223157</v>
      </c>
      <c r="E46" s="79">
        <f>+E43+E44+E45</f>
        <v>-547467</v>
      </c>
      <c r="F46" s="80">
        <f>IF(C46=0,0,+E46/C46)</f>
        <v>-7.0453415324174734E-2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910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628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911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912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160152815</v>
      </c>
      <c r="D15" s="76">
        <v>168743461</v>
      </c>
      <c r="E15" s="76">
        <f>+D15-C15</f>
        <v>8590646</v>
      </c>
      <c r="F15" s="77">
        <f>IF(C15=0,0,E15/C15)</f>
        <v>5.3640305979011357E-2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94967167</v>
      </c>
      <c r="D17" s="76">
        <v>103918922</v>
      </c>
      <c r="E17" s="76">
        <f>+D17-C17</f>
        <v>8951755</v>
      </c>
      <c r="F17" s="77">
        <f>IF(C17=0,0,E17/C17)</f>
        <v>9.4261577793512574E-2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65185648</v>
      </c>
      <c r="D19" s="79">
        <f>+D15-D17</f>
        <v>64824539</v>
      </c>
      <c r="E19" s="79">
        <f>+D19-C19</f>
        <v>-361109</v>
      </c>
      <c r="F19" s="80">
        <f>IF(C19=0,0,E19/C19)</f>
        <v>-5.5397010090319264E-3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0.59297844374449493</v>
      </c>
      <c r="D21" s="720">
        <f>IF(D15=0,0,D17/D15)</f>
        <v>0.6158396976342686</v>
      </c>
      <c r="E21" s="720">
        <f>+D21-C21</f>
        <v>2.2861253889773669E-2</v>
      </c>
      <c r="F21" s="80">
        <f>IF(C21=0,0,E21/C21)</f>
        <v>3.8553262991165703E-2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185939000</v>
      </c>
      <c r="D10" s="744">
        <v>185170801</v>
      </c>
      <c r="E10" s="744">
        <v>197406204</v>
      </c>
    </row>
    <row r="11" spans="1:6" ht="26.1" customHeight="1" x14ac:dyDescent="0.25">
      <c r="A11" s="742">
        <v>2</v>
      </c>
      <c r="B11" s="743" t="s">
        <v>931</v>
      </c>
      <c r="C11" s="744">
        <v>206175700</v>
      </c>
      <c r="D11" s="744">
        <v>232820228</v>
      </c>
      <c r="E11" s="744">
        <v>246290887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392114700</v>
      </c>
      <c r="D12" s="744">
        <f>+D11+D10</f>
        <v>417991029</v>
      </c>
      <c r="E12" s="744">
        <f>+E11+E10</f>
        <v>443697091</v>
      </c>
    </row>
    <row r="13" spans="1:6" ht="26.1" customHeight="1" x14ac:dyDescent="0.25">
      <c r="A13" s="742">
        <v>4</v>
      </c>
      <c r="B13" s="743" t="s">
        <v>507</v>
      </c>
      <c r="C13" s="744">
        <v>121998344</v>
      </c>
      <c r="D13" s="744">
        <v>121061315</v>
      </c>
      <c r="E13" s="744">
        <v>125805820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126168018</v>
      </c>
      <c r="D16" s="744">
        <v>129115712</v>
      </c>
      <c r="E16" s="744">
        <v>127376540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31549</v>
      </c>
      <c r="D19" s="747">
        <v>29321</v>
      </c>
      <c r="E19" s="747">
        <v>31271</v>
      </c>
    </row>
    <row r="20" spans="1:5" ht="26.1" customHeight="1" x14ac:dyDescent="0.25">
      <c r="A20" s="742">
        <v>2</v>
      </c>
      <c r="B20" s="743" t="s">
        <v>381</v>
      </c>
      <c r="C20" s="748">
        <v>7494</v>
      </c>
      <c r="D20" s="748">
        <v>7063</v>
      </c>
      <c r="E20" s="748">
        <v>7176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4.2099012543368026</v>
      </c>
      <c r="D21" s="749">
        <f>IF(D20=0,0,+D19/D20)</f>
        <v>4.1513521166643068</v>
      </c>
      <c r="E21" s="749">
        <f>IF(E20=0,0,+E19/E20)</f>
        <v>4.357720178372352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66531.640324515029</v>
      </c>
      <c r="D22" s="748">
        <f>IF(D10=0,0,D19*(D12/D10))</f>
        <v>66187.081846176166</v>
      </c>
      <c r="E22" s="748">
        <f>IF(E10=0,0,E19*(E12/E10))</f>
        <v>70285.793716295768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15803.61065618294</v>
      </c>
      <c r="D23" s="748">
        <f>IF(D10=0,0,D20*(D12/D10))</f>
        <v>15943.49984923919</v>
      </c>
      <c r="E23" s="748">
        <f>IF(E10=0,0,E20*(E12/E10))</f>
        <v>16129.028675390568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1.100694707766213</v>
      </c>
      <c r="D26" s="750">
        <v>1.1348851762707066</v>
      </c>
      <c r="E26" s="750">
        <v>1.1434999163879598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34725.817335316257</v>
      </c>
      <c r="D27" s="748">
        <f>D19*D26</f>
        <v>33275.968253433392</v>
      </c>
      <c r="E27" s="748">
        <f>E19*E26</f>
        <v>35758.38588536789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8248.6061399999999</v>
      </c>
      <c r="D28" s="748">
        <f>D20*D26</f>
        <v>8015.6940000000004</v>
      </c>
      <c r="E28" s="748">
        <f>E20*E26</f>
        <v>8205.7554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73231.024404198863</v>
      </c>
      <c r="D29" s="748">
        <f>D22*D26</f>
        <v>75114.738047841325</v>
      </c>
      <c r="E29" s="748">
        <f>E22*E26</f>
        <v>80371.799237845597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17394.950612858291</v>
      </c>
      <c r="D30" s="748">
        <f>D23*D26</f>
        <v>18094.041636775801</v>
      </c>
      <c r="E30" s="748">
        <f>E23*E26</f>
        <v>18443.542941728119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12428.752099908079</v>
      </c>
      <c r="D33" s="744">
        <f>IF(D19=0,0,D12/D19)</f>
        <v>14255.688039289247</v>
      </c>
      <c r="E33" s="744">
        <f>IF(E19=0,0,E12/E19)</f>
        <v>14188.772057177577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52323.819055244196</v>
      </c>
      <c r="D34" s="744">
        <f>IF(D20=0,0,D12/D20)</f>
        <v>59180.380716409454</v>
      </c>
      <c r="E34" s="744">
        <f>IF(E20=0,0,E12/E20)</f>
        <v>61830.698299888514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5893.6574851817804</v>
      </c>
      <c r="D35" s="744">
        <f>IF(D22=0,0,D12/D22)</f>
        <v>6315.2962381910575</v>
      </c>
      <c r="E35" s="744">
        <f>IF(E22=0,0,E12/E22)</f>
        <v>6312.7563557289495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24811.716039498267</v>
      </c>
      <c r="D36" s="744">
        <f>IF(D23=0,0,D12/D23)</f>
        <v>26217.018405776584</v>
      </c>
      <c r="E36" s="744">
        <f>IF(E23=0,0,E12/E23)</f>
        <v>27509.225752508359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5354.4888002074331</v>
      </c>
      <c r="D37" s="744">
        <f>IF(D29=0,0,D12/D29)</f>
        <v>5564.7006148617247</v>
      </c>
      <c r="E37" s="744">
        <f>IF(E29=0,0,E12/E29)</f>
        <v>5520.5569018924143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22541.869116325637</v>
      </c>
      <c r="D38" s="744">
        <f>IF(D30=0,0,D12/D30)</f>
        <v>23101.031676109393</v>
      </c>
      <c r="E38" s="744">
        <f>IF(E30=0,0,E12/E30)</f>
        <v>24057.042207229333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2794.7454638584454</v>
      </c>
      <c r="D39" s="744">
        <f>IF(D22=0,0,D10/D22)</f>
        <v>2797.687945063828</v>
      </c>
      <c r="E39" s="744">
        <f>IF(E22=0,0,E10/E22)</f>
        <v>2808.6216796073736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11765.602433849759</v>
      </c>
      <c r="D40" s="744">
        <f>IF(D23=0,0,D10/D23)</f>
        <v>11614.187772506937</v>
      </c>
      <c r="E40" s="744">
        <f>IF(E23=0,0,E10/E23)</f>
        <v>12239.187366639098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3866.9480490665314</v>
      </c>
      <c r="D43" s="744">
        <f>IF(D19=0,0,D13/D19)</f>
        <v>4128.8262678626243</v>
      </c>
      <c r="E43" s="744">
        <f>IF(E19=0,0,E13/E19)</f>
        <v>4023.0827284065108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16279.469442220443</v>
      </c>
      <c r="D44" s="744">
        <f>IF(D20=0,0,D13/D20)</f>
        <v>17140.211666430696</v>
      </c>
      <c r="E44" s="744">
        <f>IF(E20=0,0,E13/E20)</f>
        <v>17531.468784838351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1833.6891049873464</v>
      </c>
      <c r="D45" s="744">
        <f>IF(D22=0,0,D13/D22)</f>
        <v>1829.0776934592122</v>
      </c>
      <c r="E45" s="744">
        <f>IF(E22=0,0,E13/E22)</f>
        <v>1789.9181804477782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7719.6500631499594</v>
      </c>
      <c r="D46" s="744">
        <f>IF(D23=0,0,D13/D23)</f>
        <v>7593.1455542853691</v>
      </c>
      <c r="E46" s="744">
        <f>IF(E23=0,0,E13/E23)</f>
        <v>7799.9625725728083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1665.9379681298703</v>
      </c>
      <c r="D47" s="744">
        <f>IF(D29=0,0,D13/D29)</f>
        <v>1611.6852450832598</v>
      </c>
      <c r="E47" s="744">
        <f>IF(E29=0,0,E13/E29)</f>
        <v>1565.2980422610765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7013.4343416772463</v>
      </c>
      <c r="D48" s="744">
        <f>IF(D30=0,0,D13/D30)</f>
        <v>6690.6729535730228</v>
      </c>
      <c r="E48" s="744">
        <f>IF(E30=0,0,E13/E30)</f>
        <v>6821.1308639278323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3999.1130622206724</v>
      </c>
      <c r="D51" s="744">
        <f>IF(D19=0,0,D16/D19)</f>
        <v>4403.523481463797</v>
      </c>
      <c r="E51" s="744">
        <f>IF(E19=0,0,E16/E19)</f>
        <v>4073.3120143263727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16835.871096877501</v>
      </c>
      <c r="D52" s="744">
        <f>IF(D20=0,0,D16/D20)</f>
        <v>18280.576525555713</v>
      </c>
      <c r="E52" s="744">
        <f>IF(E20=0,0,E16/E20)</f>
        <v>17750.353957636566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1896.3611506435479</v>
      </c>
      <c r="D53" s="744">
        <f>IF(D22=0,0,D16/D22)</f>
        <v>1950.7690685030468</v>
      </c>
      <c r="E53" s="744">
        <f>IF(E22=0,0,E16/E22)</f>
        <v>1812.2657974689378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7983.493186769856</v>
      </c>
      <c r="D54" s="744">
        <f>IF(D23=0,0,D16/D23)</f>
        <v>8098.3293016533817</v>
      </c>
      <c r="E54" s="744">
        <f>IF(E23=0,0,E16/E23)</f>
        <v>7897.3472342044524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1722.8765953568427</v>
      </c>
      <c r="D55" s="744">
        <f>IF(D29=0,0,D16/D29)</f>
        <v>1718.913163456217</v>
      </c>
      <c r="E55" s="744">
        <f>IF(E29=0,0,E16/E29)</f>
        <v>1584.8412155494054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7253.1403398602934</v>
      </c>
      <c r="D56" s="744">
        <f>IF(D30=0,0,D16/D30)</f>
        <v>7135.8137994761064</v>
      </c>
      <c r="E56" s="744">
        <f>IF(E30=0,0,E16/E30)</f>
        <v>6906.2945445158111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20006613</v>
      </c>
      <c r="D59" s="752">
        <v>19496313</v>
      </c>
      <c r="E59" s="752">
        <v>19389105</v>
      </c>
    </row>
    <row r="60" spans="1:6" ht="26.1" customHeight="1" x14ac:dyDescent="0.25">
      <c r="A60" s="742">
        <v>2</v>
      </c>
      <c r="B60" s="743" t="s">
        <v>967</v>
      </c>
      <c r="C60" s="752">
        <v>6349548</v>
      </c>
      <c r="D60" s="752">
        <v>7396230</v>
      </c>
      <c r="E60" s="752">
        <v>6978339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26356161</v>
      </c>
      <c r="D61" s="755">
        <f>D59+D60</f>
        <v>26892543</v>
      </c>
      <c r="E61" s="755">
        <f>E59+E60</f>
        <v>26367444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3479944</v>
      </c>
      <c r="D64" s="744">
        <v>4020152</v>
      </c>
      <c r="E64" s="752">
        <v>4057828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1104438</v>
      </c>
      <c r="D65" s="752">
        <v>1525084</v>
      </c>
      <c r="E65" s="752">
        <v>1460456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4584382</v>
      </c>
      <c r="D66" s="757">
        <f>D64+D65</f>
        <v>5545236</v>
      </c>
      <c r="E66" s="757">
        <f>E64+E65</f>
        <v>5518284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30093715</v>
      </c>
      <c r="D69" s="752">
        <v>29145626</v>
      </c>
      <c r="E69" s="752">
        <v>29791307</v>
      </c>
    </row>
    <row r="70" spans="1:6" ht="26.1" customHeight="1" x14ac:dyDescent="0.25">
      <c r="A70" s="742">
        <v>2</v>
      </c>
      <c r="B70" s="743" t="s">
        <v>975</v>
      </c>
      <c r="C70" s="752">
        <v>9550917</v>
      </c>
      <c r="D70" s="752">
        <v>11056564</v>
      </c>
      <c r="E70" s="752">
        <v>10725001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39644632</v>
      </c>
      <c r="D71" s="755">
        <f>D69+D70</f>
        <v>40202190</v>
      </c>
      <c r="E71" s="755">
        <f>E69+E70</f>
        <v>40516308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53580272</v>
      </c>
      <c r="D75" s="744">
        <f t="shared" si="0"/>
        <v>52662091</v>
      </c>
      <c r="E75" s="744">
        <f t="shared" si="0"/>
        <v>53238240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17004903</v>
      </c>
      <c r="D76" s="744">
        <f t="shared" si="0"/>
        <v>19977878</v>
      </c>
      <c r="E76" s="744">
        <f t="shared" si="0"/>
        <v>19163796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70585175</v>
      </c>
      <c r="D77" s="757">
        <f>D75+D76</f>
        <v>72639969</v>
      </c>
      <c r="E77" s="757">
        <f>E75+E76</f>
        <v>72402036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325.2</v>
      </c>
      <c r="D80" s="749">
        <v>357</v>
      </c>
      <c r="E80" s="749">
        <v>301.89999999999998</v>
      </c>
    </row>
    <row r="81" spans="1:5" ht="26.1" customHeight="1" x14ac:dyDescent="0.25">
      <c r="A81" s="742">
        <v>2</v>
      </c>
      <c r="B81" s="743" t="s">
        <v>617</v>
      </c>
      <c r="C81" s="749">
        <v>45.9</v>
      </c>
      <c r="D81" s="749">
        <v>45</v>
      </c>
      <c r="E81" s="749">
        <v>52.5</v>
      </c>
    </row>
    <row r="82" spans="1:5" ht="26.1" customHeight="1" x14ac:dyDescent="0.25">
      <c r="A82" s="742">
        <v>3</v>
      </c>
      <c r="B82" s="743" t="s">
        <v>981</v>
      </c>
      <c r="C82" s="749">
        <v>569.5</v>
      </c>
      <c r="D82" s="749">
        <v>571</v>
      </c>
      <c r="E82" s="749">
        <v>548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940.59999999999991</v>
      </c>
      <c r="D83" s="759">
        <f>D80+D81+D82</f>
        <v>973</v>
      </c>
      <c r="E83" s="759">
        <f>E80+E81+E82</f>
        <v>902.4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61520.950184501846</v>
      </c>
      <c r="D86" s="752">
        <f>IF(D80=0,0,D59/D80)</f>
        <v>54611.521008403361</v>
      </c>
      <c r="E86" s="752">
        <f>IF(E80=0,0,E59/E80)</f>
        <v>64223.600529976815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19525.055350553506</v>
      </c>
      <c r="D87" s="752">
        <f>IF(D80=0,0,D60/D80)</f>
        <v>20717.731092436974</v>
      </c>
      <c r="E87" s="752">
        <f>IF(E80=0,0,E60/E80)</f>
        <v>23114.736667770787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81046.005535055359</v>
      </c>
      <c r="D88" s="755">
        <f>+D86+D87</f>
        <v>75329.252100840327</v>
      </c>
      <c r="E88" s="755">
        <f>+E86+E87</f>
        <v>87338.337197747605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75815.773420479309</v>
      </c>
      <c r="D91" s="744">
        <f>IF(D81=0,0,D64/D81)</f>
        <v>89336.711111111115</v>
      </c>
      <c r="E91" s="744">
        <f>IF(E81=0,0,E64/E81)</f>
        <v>77291.961904761905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24061.830065359478</v>
      </c>
      <c r="D92" s="744">
        <f>IF(D81=0,0,D65/D81)</f>
        <v>33890.755555555559</v>
      </c>
      <c r="E92" s="744">
        <f>IF(E81=0,0,E65/E81)</f>
        <v>27818.209523809524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99877.603485838787</v>
      </c>
      <c r="D93" s="757">
        <f>+D91+D92</f>
        <v>123227.46666666667</v>
      </c>
      <c r="E93" s="757">
        <f>+E91+E92</f>
        <v>105110.17142857143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52842.344161545218</v>
      </c>
      <c r="D96" s="752">
        <f>IF(D82=0,0,D69/D82)</f>
        <v>51043.12784588441</v>
      </c>
      <c r="E96" s="752">
        <f>IF(E82=0,0,E69/E82)</f>
        <v>54363.698905109486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16770.705882352941</v>
      </c>
      <c r="D97" s="752">
        <f>IF(D82=0,0,D70/D82)</f>
        <v>19363.50963222417</v>
      </c>
      <c r="E97" s="752">
        <f>IF(E82=0,0,E70/E82)</f>
        <v>19571.169708029196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69613.050043898154</v>
      </c>
      <c r="D98" s="757">
        <f>+D96+D97</f>
        <v>70406.637478108576</v>
      </c>
      <c r="E98" s="757">
        <f>+E96+E97</f>
        <v>73934.868613138678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56963.92940676165</v>
      </c>
      <c r="D101" s="744">
        <f>IF(D83=0,0,D75/D83)</f>
        <v>54123.423432682423</v>
      </c>
      <c r="E101" s="744">
        <f>IF(E83=0,0,E75/E83)</f>
        <v>58996.276595744683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18078.782691898788</v>
      </c>
      <c r="D102" s="761">
        <f>IF(D83=0,0,D76/D83)</f>
        <v>20532.248715313464</v>
      </c>
      <c r="E102" s="761">
        <f>IF(E83=0,0,E76/E83)</f>
        <v>21236.476063829788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75042.712098660442</v>
      </c>
      <c r="D103" s="757">
        <f>+D101+D102</f>
        <v>74655.67214799588</v>
      </c>
      <c r="E103" s="757">
        <f>+E101+E102</f>
        <v>80232.752659574471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2237.3189324542773</v>
      </c>
      <c r="D108" s="744">
        <f>IF(D19=0,0,D77/D19)</f>
        <v>2477.4042154087515</v>
      </c>
      <c r="E108" s="744">
        <f>IF(E19=0,0,E77/E19)</f>
        <v>2315.3092641744747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9418.8917800907384</v>
      </c>
      <c r="D109" s="744">
        <f>IF(D20=0,0,D77/D20)</f>
        <v>10284.577233470196</v>
      </c>
      <c r="E109" s="744">
        <f>IF(E20=0,0,E77/E20)</f>
        <v>10089.469899665552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1060.926420207189</v>
      </c>
      <c r="D110" s="744">
        <f>IF(D22=0,0,D77/D22)</f>
        <v>1097.4946617048449</v>
      </c>
      <c r="E110" s="744">
        <f>IF(E22=0,0,E77/E22)</f>
        <v>1030.1091041561872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4466.3954671892998</v>
      </c>
      <c r="D111" s="744">
        <f>IF(D23=0,0,D77/D23)</f>
        <v>4556.0867868961859</v>
      </c>
      <c r="E111" s="744">
        <f>IF(E23=0,0,E77/E23)</f>
        <v>4488.9272291064835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963.86982941007227</v>
      </c>
      <c r="D112" s="744">
        <f>IF(D29=0,0,D77/D29)</f>
        <v>967.05348228379466</v>
      </c>
      <c r="E112" s="744">
        <f>IF(E29=0,0,E77/E29)</f>
        <v>900.8388102117691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4057.7968038508639</v>
      </c>
      <c r="D113" s="744">
        <f>IF(D30=0,0,D77/D30)</f>
        <v>4014.5795206064204</v>
      </c>
      <c r="E113" s="744">
        <f>IF(E30=0,0,E77/E30)</f>
        <v>3925.603460720768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417991029</v>
      </c>
      <c r="D12" s="76">
        <v>443697092</v>
      </c>
      <c r="E12" s="76">
        <f t="shared" ref="E12:E21" si="0">D12-C12</f>
        <v>25706063</v>
      </c>
      <c r="F12" s="77">
        <f t="shared" ref="F12:F21" si="1">IF(C12=0,0,E12/C12)</f>
        <v>6.1499078249356402E-2</v>
      </c>
    </row>
    <row r="13" spans="1:8" ht="23.1" customHeight="1" x14ac:dyDescent="0.2">
      <c r="A13" s="74">
        <v>2</v>
      </c>
      <c r="B13" s="75" t="s">
        <v>72</v>
      </c>
      <c r="C13" s="76">
        <v>290144702</v>
      </c>
      <c r="D13" s="76">
        <v>310668115</v>
      </c>
      <c r="E13" s="76">
        <f t="shared" si="0"/>
        <v>20523413</v>
      </c>
      <c r="F13" s="77">
        <f t="shared" si="1"/>
        <v>7.0735094794183079E-2</v>
      </c>
    </row>
    <row r="14" spans="1:8" ht="23.1" customHeight="1" x14ac:dyDescent="0.2">
      <c r="A14" s="74">
        <v>3</v>
      </c>
      <c r="B14" s="75" t="s">
        <v>73</v>
      </c>
      <c r="C14" s="76">
        <v>6785012</v>
      </c>
      <c r="D14" s="76">
        <v>4849739</v>
      </c>
      <c r="E14" s="76">
        <f t="shared" si="0"/>
        <v>-1935273</v>
      </c>
      <c r="F14" s="77">
        <f t="shared" si="1"/>
        <v>-0.28522764587593952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121061315</v>
      </c>
      <c r="D16" s="79">
        <f>D12-D13-D14-D15</f>
        <v>128179238</v>
      </c>
      <c r="E16" s="79">
        <f t="shared" si="0"/>
        <v>7117923</v>
      </c>
      <c r="F16" s="80">
        <f t="shared" si="1"/>
        <v>5.8796015886660412E-2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2373418</v>
      </c>
      <c r="E17" s="76">
        <f t="shared" si="0"/>
        <v>2373418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121061315</v>
      </c>
      <c r="D18" s="79">
        <f>D16-D17</f>
        <v>125805820</v>
      </c>
      <c r="E18" s="79">
        <f t="shared" si="0"/>
        <v>4744505</v>
      </c>
      <c r="F18" s="80">
        <f t="shared" si="1"/>
        <v>3.9190925689184856E-2</v>
      </c>
    </row>
    <row r="19" spans="1:7" ht="23.1" customHeight="1" x14ac:dyDescent="0.2">
      <c r="A19" s="74">
        <v>6</v>
      </c>
      <c r="B19" s="75" t="s">
        <v>78</v>
      </c>
      <c r="C19" s="76">
        <v>5743384</v>
      </c>
      <c r="D19" s="76">
        <v>3603467</v>
      </c>
      <c r="E19" s="76">
        <f t="shared" si="0"/>
        <v>-2139917</v>
      </c>
      <c r="F19" s="77">
        <f t="shared" si="1"/>
        <v>-0.37258818146235739</v>
      </c>
      <c r="G19" s="65"/>
    </row>
    <row r="20" spans="1:7" ht="33" customHeight="1" x14ac:dyDescent="0.2">
      <c r="A20" s="74">
        <v>7</v>
      </c>
      <c r="B20" s="82" t="s">
        <v>79</v>
      </c>
      <c r="C20" s="76">
        <v>5000</v>
      </c>
      <c r="D20" s="76">
        <v>110583</v>
      </c>
      <c r="E20" s="76">
        <f t="shared" si="0"/>
        <v>105583</v>
      </c>
      <c r="F20" s="77">
        <f t="shared" si="1"/>
        <v>21.116599999999998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126809699</v>
      </c>
      <c r="D21" s="79">
        <f>SUM(D18:D20)</f>
        <v>129519870</v>
      </c>
      <c r="E21" s="79">
        <f t="shared" si="0"/>
        <v>2710171</v>
      </c>
      <c r="F21" s="80">
        <f t="shared" si="1"/>
        <v>2.1371953575885391E-2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52662091</v>
      </c>
      <c r="D24" s="76">
        <v>53238240</v>
      </c>
      <c r="E24" s="76">
        <f t="shared" ref="E24:E33" si="2">D24-C24</f>
        <v>576149</v>
      </c>
      <c r="F24" s="77">
        <f t="shared" ref="F24:F33" si="3">IF(C24=0,0,E24/C24)</f>
        <v>1.0940488481553077E-2</v>
      </c>
    </row>
    <row r="25" spans="1:7" ht="23.1" customHeight="1" x14ac:dyDescent="0.2">
      <c r="A25" s="74">
        <v>2</v>
      </c>
      <c r="B25" s="75" t="s">
        <v>83</v>
      </c>
      <c r="C25" s="76">
        <v>19977878</v>
      </c>
      <c r="D25" s="76">
        <v>19163796</v>
      </c>
      <c r="E25" s="76">
        <f t="shared" si="2"/>
        <v>-814082</v>
      </c>
      <c r="F25" s="77">
        <f t="shared" si="3"/>
        <v>-4.0749172659879089E-2</v>
      </c>
    </row>
    <row r="26" spans="1:7" ht="23.1" customHeight="1" x14ac:dyDescent="0.2">
      <c r="A26" s="74">
        <v>3</v>
      </c>
      <c r="B26" s="75" t="s">
        <v>84</v>
      </c>
      <c r="C26" s="76">
        <v>3056069</v>
      </c>
      <c r="D26" s="76">
        <v>2857151</v>
      </c>
      <c r="E26" s="76">
        <f t="shared" si="2"/>
        <v>-198918</v>
      </c>
      <c r="F26" s="77">
        <f t="shared" si="3"/>
        <v>-6.5089498960920061E-2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15930763</v>
      </c>
      <c r="D27" s="76">
        <v>16775313</v>
      </c>
      <c r="E27" s="76">
        <f t="shared" si="2"/>
        <v>844550</v>
      </c>
      <c r="F27" s="77">
        <f t="shared" si="3"/>
        <v>5.3013782202396706E-2</v>
      </c>
    </row>
    <row r="28" spans="1:7" ht="23.1" customHeight="1" x14ac:dyDescent="0.2">
      <c r="A28" s="74">
        <v>5</v>
      </c>
      <c r="B28" s="75" t="s">
        <v>86</v>
      </c>
      <c r="C28" s="76">
        <v>5913216</v>
      </c>
      <c r="D28" s="76">
        <v>6099345</v>
      </c>
      <c r="E28" s="76">
        <f t="shared" si="2"/>
        <v>186129</v>
      </c>
      <c r="F28" s="77">
        <f t="shared" si="3"/>
        <v>3.1476780148061566E-2</v>
      </c>
    </row>
    <row r="29" spans="1:7" ht="23.1" customHeight="1" x14ac:dyDescent="0.2">
      <c r="A29" s="74">
        <v>6</v>
      </c>
      <c r="B29" s="75" t="s">
        <v>87</v>
      </c>
      <c r="C29" s="76">
        <v>985612</v>
      </c>
      <c r="D29" s="76">
        <v>0</v>
      </c>
      <c r="E29" s="76">
        <f t="shared" si="2"/>
        <v>-985612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2709709</v>
      </c>
      <c r="D30" s="76">
        <v>2450664</v>
      </c>
      <c r="E30" s="76">
        <f t="shared" si="2"/>
        <v>-259045</v>
      </c>
      <c r="F30" s="77">
        <f t="shared" si="3"/>
        <v>-9.5598826294631636E-2</v>
      </c>
    </row>
    <row r="31" spans="1:7" ht="23.1" customHeight="1" x14ac:dyDescent="0.2">
      <c r="A31" s="74">
        <v>8</v>
      </c>
      <c r="B31" s="75" t="s">
        <v>89</v>
      </c>
      <c r="C31" s="76">
        <v>945755</v>
      </c>
      <c r="D31" s="76">
        <v>3082676</v>
      </c>
      <c r="E31" s="76">
        <f t="shared" si="2"/>
        <v>2136921</v>
      </c>
      <c r="F31" s="77">
        <f t="shared" si="3"/>
        <v>2.2594868649914619</v>
      </c>
    </row>
    <row r="32" spans="1:7" ht="23.1" customHeight="1" x14ac:dyDescent="0.2">
      <c r="A32" s="74">
        <v>9</v>
      </c>
      <c r="B32" s="75" t="s">
        <v>90</v>
      </c>
      <c r="C32" s="76">
        <v>26934619</v>
      </c>
      <c r="D32" s="76">
        <v>23709355</v>
      </c>
      <c r="E32" s="76">
        <f t="shared" si="2"/>
        <v>-3225264</v>
      </c>
      <c r="F32" s="77">
        <f t="shared" si="3"/>
        <v>-0.11974418498364503</v>
      </c>
    </row>
    <row r="33" spans="1:6" ht="23.1" customHeight="1" x14ac:dyDescent="0.25">
      <c r="A33" s="71"/>
      <c r="B33" s="78" t="s">
        <v>91</v>
      </c>
      <c r="C33" s="79">
        <f>SUM(C24:C32)</f>
        <v>129115712</v>
      </c>
      <c r="D33" s="79">
        <f>SUM(D24:D32)</f>
        <v>127376540</v>
      </c>
      <c r="E33" s="79">
        <f t="shared" si="2"/>
        <v>-1739172</v>
      </c>
      <c r="F33" s="80">
        <f t="shared" si="3"/>
        <v>-1.3469871118396497E-2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-2306013</v>
      </c>
      <c r="D35" s="79">
        <f>+D21-D33</f>
        <v>2143330</v>
      </c>
      <c r="E35" s="79">
        <f>D35-C35</f>
        <v>4449343</v>
      </c>
      <c r="F35" s="80">
        <f>IF(C35=0,0,E35/C35)</f>
        <v>-1.9294526960602565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998665</v>
      </c>
      <c r="D38" s="76">
        <v>436170</v>
      </c>
      <c r="E38" s="76">
        <f>D38-C38</f>
        <v>-562495</v>
      </c>
      <c r="F38" s="77">
        <f>IF(C38=0,0,E38/C38)</f>
        <v>-0.56324693465776809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998665</v>
      </c>
      <c r="D41" s="79">
        <f>SUM(D38:D40)</f>
        <v>436170</v>
      </c>
      <c r="E41" s="79">
        <f>D41-C41</f>
        <v>-562495</v>
      </c>
      <c r="F41" s="80">
        <f>IF(C41=0,0,E41/C41)</f>
        <v>-0.56324693465776809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-1307348</v>
      </c>
      <c r="D43" s="79">
        <f>D35+D41</f>
        <v>2579500</v>
      </c>
      <c r="E43" s="79">
        <f>D43-C43</f>
        <v>3886848</v>
      </c>
      <c r="F43" s="80">
        <f>IF(C43=0,0,E43/C43)</f>
        <v>-2.9730783234456317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-2548347</v>
      </c>
      <c r="D47" s="76">
        <v>1743496</v>
      </c>
      <c r="E47" s="76">
        <f>D47-C47</f>
        <v>4291843</v>
      </c>
      <c r="F47" s="77">
        <f>IF(C47=0,0,E47/C47)</f>
        <v>-1.6841674230393271</v>
      </c>
    </row>
    <row r="48" spans="1:6" ht="23.1" customHeight="1" x14ac:dyDescent="0.25">
      <c r="A48" s="83"/>
      <c r="B48" s="78" t="s">
        <v>102</v>
      </c>
      <c r="C48" s="79">
        <f>SUM(C46:C47)</f>
        <v>-2548347</v>
      </c>
      <c r="D48" s="79">
        <f>SUM(D46:D47)</f>
        <v>1743496</v>
      </c>
      <c r="E48" s="79">
        <f>D48-C48</f>
        <v>4291843</v>
      </c>
      <c r="F48" s="80">
        <f>IF(C48=0,0,E48/C48)</f>
        <v>-1.6841674230393271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-3855695</v>
      </c>
      <c r="D50" s="79">
        <f>D43+D48</f>
        <v>4322996</v>
      </c>
      <c r="E50" s="79">
        <f>D50-C50</f>
        <v>8178691</v>
      </c>
      <c r="F50" s="80">
        <f>IF(C50=0,0,E50/C50)</f>
        <v>-2.1211976051010257</v>
      </c>
    </row>
    <row r="51" spans="1:6" ht="23.1" customHeight="1" x14ac:dyDescent="0.2">
      <c r="A51" s="85"/>
      <c r="B51" s="75" t="s">
        <v>104</v>
      </c>
      <c r="C51" s="76">
        <v>1900000</v>
      </c>
      <c r="D51" s="76">
        <v>1935000</v>
      </c>
      <c r="E51" s="76">
        <f>D51-C51</f>
        <v>35000</v>
      </c>
      <c r="F51" s="77">
        <f>IF(C51=0,0,E51/C51)</f>
        <v>1.8421052631578946E-2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75326254</v>
      </c>
      <c r="D14" s="113">
        <v>82084899</v>
      </c>
      <c r="E14" s="113">
        <f t="shared" ref="E14:E25" si="0">D14-C14</f>
        <v>6758645</v>
      </c>
      <c r="F14" s="114">
        <f t="shared" ref="F14:F25" si="1">IF(C14=0,0,E14/C14)</f>
        <v>8.9724958312675421E-2</v>
      </c>
    </row>
    <row r="15" spans="1:6" x14ac:dyDescent="0.2">
      <c r="A15" s="115">
        <v>2</v>
      </c>
      <c r="B15" s="116" t="s">
        <v>114</v>
      </c>
      <c r="C15" s="113">
        <v>30806568</v>
      </c>
      <c r="D15" s="113">
        <v>33638793</v>
      </c>
      <c r="E15" s="113">
        <f t="shared" si="0"/>
        <v>2832225</v>
      </c>
      <c r="F15" s="114">
        <f t="shared" si="1"/>
        <v>9.1935752142205521E-2</v>
      </c>
    </row>
    <row r="16" spans="1:6" x14ac:dyDescent="0.2">
      <c r="A16" s="115">
        <v>3</v>
      </c>
      <c r="B16" s="116" t="s">
        <v>115</v>
      </c>
      <c r="C16" s="113">
        <v>20924193</v>
      </c>
      <c r="D16" s="113">
        <v>25825407</v>
      </c>
      <c r="E16" s="113">
        <f t="shared" si="0"/>
        <v>4901214</v>
      </c>
      <c r="F16" s="114">
        <f t="shared" si="1"/>
        <v>0.23423670389582049</v>
      </c>
    </row>
    <row r="17" spans="1:6" x14ac:dyDescent="0.2">
      <c r="A17" s="115">
        <v>4</v>
      </c>
      <c r="B17" s="116" t="s">
        <v>116</v>
      </c>
      <c r="C17" s="113">
        <v>1661363</v>
      </c>
      <c r="D17" s="113">
        <v>0</v>
      </c>
      <c r="E17" s="113">
        <f t="shared" si="0"/>
        <v>-1661363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470042</v>
      </c>
      <c r="D18" s="113">
        <v>110445</v>
      </c>
      <c r="E18" s="113">
        <f t="shared" si="0"/>
        <v>-359597</v>
      </c>
      <c r="F18" s="114">
        <f t="shared" si="1"/>
        <v>-0.76503163547087283</v>
      </c>
    </row>
    <row r="19" spans="1:6" x14ac:dyDescent="0.2">
      <c r="A19" s="115">
        <v>6</v>
      </c>
      <c r="B19" s="116" t="s">
        <v>118</v>
      </c>
      <c r="C19" s="113">
        <v>4979314</v>
      </c>
      <c r="D19" s="113">
        <v>6250259</v>
      </c>
      <c r="E19" s="113">
        <f t="shared" si="0"/>
        <v>1270945</v>
      </c>
      <c r="F19" s="114">
        <f t="shared" si="1"/>
        <v>0.25524499961239638</v>
      </c>
    </row>
    <row r="20" spans="1:6" x14ac:dyDescent="0.2">
      <c r="A20" s="115">
        <v>7</v>
      </c>
      <c r="B20" s="116" t="s">
        <v>119</v>
      </c>
      <c r="C20" s="113">
        <v>46708900</v>
      </c>
      <c r="D20" s="113">
        <v>45860321</v>
      </c>
      <c r="E20" s="113">
        <f t="shared" si="0"/>
        <v>-848579</v>
      </c>
      <c r="F20" s="114">
        <f t="shared" si="1"/>
        <v>-1.816739422251434E-2</v>
      </c>
    </row>
    <row r="21" spans="1:6" x14ac:dyDescent="0.2">
      <c r="A21" s="115">
        <v>8</v>
      </c>
      <c r="B21" s="116" t="s">
        <v>120</v>
      </c>
      <c r="C21" s="113">
        <v>1930752</v>
      </c>
      <c r="D21" s="113">
        <v>1600613</v>
      </c>
      <c r="E21" s="113">
        <f t="shared" si="0"/>
        <v>-330139</v>
      </c>
      <c r="F21" s="114">
        <f t="shared" si="1"/>
        <v>-0.17098985265844605</v>
      </c>
    </row>
    <row r="22" spans="1:6" x14ac:dyDescent="0.2">
      <c r="A22" s="115">
        <v>9</v>
      </c>
      <c r="B22" s="116" t="s">
        <v>121</v>
      </c>
      <c r="C22" s="113">
        <v>2363415</v>
      </c>
      <c r="D22" s="113">
        <v>2035467</v>
      </c>
      <c r="E22" s="113">
        <f t="shared" si="0"/>
        <v>-327948</v>
      </c>
      <c r="F22" s="114">
        <f t="shared" si="1"/>
        <v>-0.13876022619810741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185170801</v>
      </c>
      <c r="D25" s="119">
        <f>SUM(D14:D24)</f>
        <v>197406204</v>
      </c>
      <c r="E25" s="119">
        <f t="shared" si="0"/>
        <v>12235403</v>
      </c>
      <c r="F25" s="120">
        <f t="shared" si="1"/>
        <v>6.6076308650843935E-2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52651420</v>
      </c>
      <c r="D27" s="113">
        <v>55055928</v>
      </c>
      <c r="E27" s="113">
        <f t="shared" ref="E27:E38" si="2">D27-C27</f>
        <v>2404508</v>
      </c>
      <c r="F27" s="114">
        <f t="shared" ref="F27:F38" si="3">IF(C27=0,0,E27/C27)</f>
        <v>4.5668435913029506E-2</v>
      </c>
    </row>
    <row r="28" spans="1:6" x14ac:dyDescent="0.2">
      <c r="A28" s="115">
        <v>2</v>
      </c>
      <c r="B28" s="116" t="s">
        <v>114</v>
      </c>
      <c r="C28" s="113">
        <v>24835636</v>
      </c>
      <c r="D28" s="113">
        <v>25867374</v>
      </c>
      <c r="E28" s="113">
        <f t="shared" si="2"/>
        <v>1031738</v>
      </c>
      <c r="F28" s="114">
        <f t="shared" si="3"/>
        <v>4.1542644609544127E-2</v>
      </c>
    </row>
    <row r="29" spans="1:6" x14ac:dyDescent="0.2">
      <c r="A29" s="115">
        <v>3</v>
      </c>
      <c r="B29" s="116" t="s">
        <v>115</v>
      </c>
      <c r="C29" s="113">
        <v>35245507</v>
      </c>
      <c r="D29" s="113">
        <v>46202245</v>
      </c>
      <c r="E29" s="113">
        <f t="shared" si="2"/>
        <v>10956738</v>
      </c>
      <c r="F29" s="114">
        <f t="shared" si="3"/>
        <v>0.3108690704888995</v>
      </c>
    </row>
    <row r="30" spans="1:6" x14ac:dyDescent="0.2">
      <c r="A30" s="115">
        <v>4</v>
      </c>
      <c r="B30" s="116" t="s">
        <v>116</v>
      </c>
      <c r="C30" s="113">
        <v>4230104</v>
      </c>
      <c r="D30" s="113">
        <v>0</v>
      </c>
      <c r="E30" s="113">
        <f t="shared" si="2"/>
        <v>-4230104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635138</v>
      </c>
      <c r="D31" s="113">
        <v>673183</v>
      </c>
      <c r="E31" s="113">
        <f t="shared" si="2"/>
        <v>38045</v>
      </c>
      <c r="F31" s="114">
        <f t="shared" si="3"/>
        <v>5.9900368108977892E-2</v>
      </c>
    </row>
    <row r="32" spans="1:6" x14ac:dyDescent="0.2">
      <c r="A32" s="115">
        <v>6</v>
      </c>
      <c r="B32" s="116" t="s">
        <v>118</v>
      </c>
      <c r="C32" s="113">
        <v>6645511</v>
      </c>
      <c r="D32" s="113">
        <v>6337368</v>
      </c>
      <c r="E32" s="113">
        <f t="shared" si="2"/>
        <v>-308143</v>
      </c>
      <c r="F32" s="114">
        <f t="shared" si="3"/>
        <v>-4.6368593777062442E-2</v>
      </c>
    </row>
    <row r="33" spans="1:6" x14ac:dyDescent="0.2">
      <c r="A33" s="115">
        <v>7</v>
      </c>
      <c r="B33" s="116" t="s">
        <v>119</v>
      </c>
      <c r="C33" s="113">
        <v>99205634</v>
      </c>
      <c r="D33" s="113">
        <v>103255701</v>
      </c>
      <c r="E33" s="113">
        <f t="shared" si="2"/>
        <v>4050067</v>
      </c>
      <c r="F33" s="114">
        <f t="shared" si="3"/>
        <v>4.0824969678637406E-2</v>
      </c>
    </row>
    <row r="34" spans="1:6" x14ac:dyDescent="0.2">
      <c r="A34" s="115">
        <v>8</v>
      </c>
      <c r="B34" s="116" t="s">
        <v>120</v>
      </c>
      <c r="C34" s="113">
        <v>4442858</v>
      </c>
      <c r="D34" s="113">
        <v>5439200</v>
      </c>
      <c r="E34" s="113">
        <f t="shared" si="2"/>
        <v>996342</v>
      </c>
      <c r="F34" s="114">
        <f t="shared" si="3"/>
        <v>0.22425699853562731</v>
      </c>
    </row>
    <row r="35" spans="1:6" x14ac:dyDescent="0.2">
      <c r="A35" s="115">
        <v>9</v>
      </c>
      <c r="B35" s="116" t="s">
        <v>121</v>
      </c>
      <c r="C35" s="113">
        <v>4928420</v>
      </c>
      <c r="D35" s="113">
        <v>3459888</v>
      </c>
      <c r="E35" s="113">
        <f t="shared" si="2"/>
        <v>-1468532</v>
      </c>
      <c r="F35" s="114">
        <f t="shared" si="3"/>
        <v>-0.29797216957970302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232820228</v>
      </c>
      <c r="D38" s="119">
        <f>SUM(D27:D37)</f>
        <v>246290887</v>
      </c>
      <c r="E38" s="119">
        <f t="shared" si="2"/>
        <v>13470659</v>
      </c>
      <c r="F38" s="120">
        <f t="shared" si="3"/>
        <v>5.7858628160092684E-2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127977674</v>
      </c>
      <c r="D41" s="119">
        <f t="shared" si="4"/>
        <v>137140827</v>
      </c>
      <c r="E41" s="123">
        <f t="shared" ref="E41:E52" si="5">D41-C41</f>
        <v>9163153</v>
      </c>
      <c r="F41" s="124">
        <f t="shared" ref="F41:F52" si="6">IF(C41=0,0,E41/C41)</f>
        <v>7.1599621352705631E-2</v>
      </c>
    </row>
    <row r="42" spans="1:6" ht="15.75" x14ac:dyDescent="0.25">
      <c r="A42" s="121">
        <v>2</v>
      </c>
      <c r="B42" s="122" t="s">
        <v>114</v>
      </c>
      <c r="C42" s="119">
        <f t="shared" si="4"/>
        <v>55642204</v>
      </c>
      <c r="D42" s="119">
        <f t="shared" si="4"/>
        <v>59506167</v>
      </c>
      <c r="E42" s="123">
        <f t="shared" si="5"/>
        <v>3863963</v>
      </c>
      <c r="F42" s="124">
        <f t="shared" si="6"/>
        <v>6.944302565728705E-2</v>
      </c>
    </row>
    <row r="43" spans="1:6" ht="15.75" x14ac:dyDescent="0.25">
      <c r="A43" s="121">
        <v>3</v>
      </c>
      <c r="B43" s="122" t="s">
        <v>115</v>
      </c>
      <c r="C43" s="119">
        <f t="shared" si="4"/>
        <v>56169700</v>
      </c>
      <c r="D43" s="119">
        <f t="shared" si="4"/>
        <v>72027652</v>
      </c>
      <c r="E43" s="123">
        <f t="shared" si="5"/>
        <v>15857952</v>
      </c>
      <c r="F43" s="124">
        <f t="shared" si="6"/>
        <v>0.28232217725926967</v>
      </c>
    </row>
    <row r="44" spans="1:6" ht="15.75" x14ac:dyDescent="0.25">
      <c r="A44" s="121">
        <v>4</v>
      </c>
      <c r="B44" s="122" t="s">
        <v>116</v>
      </c>
      <c r="C44" s="119">
        <f t="shared" si="4"/>
        <v>5891467</v>
      </c>
      <c r="D44" s="119">
        <f t="shared" si="4"/>
        <v>0</v>
      </c>
      <c r="E44" s="123">
        <f t="shared" si="5"/>
        <v>-5891467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1105180</v>
      </c>
      <c r="D45" s="119">
        <f t="shared" si="4"/>
        <v>783628</v>
      </c>
      <c r="E45" s="123">
        <f t="shared" si="5"/>
        <v>-321552</v>
      </c>
      <c r="F45" s="124">
        <f t="shared" si="6"/>
        <v>-0.29094989051557213</v>
      </c>
    </row>
    <row r="46" spans="1:6" ht="15.75" x14ac:dyDescent="0.25">
      <c r="A46" s="121">
        <v>6</v>
      </c>
      <c r="B46" s="122" t="s">
        <v>118</v>
      </c>
      <c r="C46" s="119">
        <f t="shared" si="4"/>
        <v>11624825</v>
      </c>
      <c r="D46" s="119">
        <f t="shared" si="4"/>
        <v>12587627</v>
      </c>
      <c r="E46" s="123">
        <f t="shared" si="5"/>
        <v>962802</v>
      </c>
      <c r="F46" s="124">
        <f t="shared" si="6"/>
        <v>8.2822924216063465E-2</v>
      </c>
    </row>
    <row r="47" spans="1:6" ht="15.75" x14ac:dyDescent="0.25">
      <c r="A47" s="121">
        <v>7</v>
      </c>
      <c r="B47" s="122" t="s">
        <v>119</v>
      </c>
      <c r="C47" s="119">
        <f t="shared" si="4"/>
        <v>145914534</v>
      </c>
      <c r="D47" s="119">
        <f t="shared" si="4"/>
        <v>149116022</v>
      </c>
      <c r="E47" s="123">
        <f t="shared" si="5"/>
        <v>3201488</v>
      </c>
      <c r="F47" s="124">
        <f t="shared" si="6"/>
        <v>2.1940843809294557E-2</v>
      </c>
    </row>
    <row r="48" spans="1:6" ht="15.75" x14ac:dyDescent="0.25">
      <c r="A48" s="121">
        <v>8</v>
      </c>
      <c r="B48" s="122" t="s">
        <v>120</v>
      </c>
      <c r="C48" s="119">
        <f t="shared" si="4"/>
        <v>6373610</v>
      </c>
      <c r="D48" s="119">
        <f t="shared" si="4"/>
        <v>7039813</v>
      </c>
      <c r="E48" s="123">
        <f t="shared" si="5"/>
        <v>666203</v>
      </c>
      <c r="F48" s="124">
        <f t="shared" si="6"/>
        <v>0.10452522196996679</v>
      </c>
    </row>
    <row r="49" spans="1:6" ht="15.75" x14ac:dyDescent="0.25">
      <c r="A49" s="121">
        <v>9</v>
      </c>
      <c r="B49" s="122" t="s">
        <v>121</v>
      </c>
      <c r="C49" s="119">
        <f t="shared" si="4"/>
        <v>7291835</v>
      </c>
      <c r="D49" s="119">
        <f t="shared" si="4"/>
        <v>5495355</v>
      </c>
      <c r="E49" s="123">
        <f t="shared" si="5"/>
        <v>-1796480</v>
      </c>
      <c r="F49" s="124">
        <f t="shared" si="6"/>
        <v>-0.24636871240229655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417991029</v>
      </c>
      <c r="D52" s="128">
        <f>SUM(D41:D51)</f>
        <v>443697091</v>
      </c>
      <c r="E52" s="127">
        <f t="shared" si="5"/>
        <v>25706062</v>
      </c>
      <c r="F52" s="129">
        <f t="shared" si="6"/>
        <v>6.1499075856960558E-2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25707335</v>
      </c>
      <c r="D57" s="113">
        <v>26550991</v>
      </c>
      <c r="E57" s="113">
        <f t="shared" ref="E57:E68" si="7">D57-C57</f>
        <v>843656</v>
      </c>
      <c r="F57" s="114">
        <f t="shared" ref="F57:F68" si="8">IF(C57=0,0,E57/C57)</f>
        <v>3.2817715255198568E-2</v>
      </c>
    </row>
    <row r="58" spans="1:6" x14ac:dyDescent="0.2">
      <c r="A58" s="115">
        <v>2</v>
      </c>
      <c r="B58" s="116" t="s">
        <v>114</v>
      </c>
      <c r="C58" s="113">
        <v>7659117</v>
      </c>
      <c r="D58" s="113">
        <v>8501894</v>
      </c>
      <c r="E58" s="113">
        <f t="shared" si="7"/>
        <v>842777</v>
      </c>
      <c r="F58" s="114">
        <f t="shared" si="8"/>
        <v>0.11003579133208176</v>
      </c>
    </row>
    <row r="59" spans="1:6" x14ac:dyDescent="0.2">
      <c r="A59" s="115">
        <v>3</v>
      </c>
      <c r="B59" s="116" t="s">
        <v>115</v>
      </c>
      <c r="C59" s="113">
        <v>4149315</v>
      </c>
      <c r="D59" s="113">
        <v>4144209</v>
      </c>
      <c r="E59" s="113">
        <f t="shared" si="7"/>
        <v>-5106</v>
      </c>
      <c r="F59" s="114">
        <f t="shared" si="8"/>
        <v>-1.2305645630664339E-3</v>
      </c>
    </row>
    <row r="60" spans="1:6" x14ac:dyDescent="0.2">
      <c r="A60" s="115">
        <v>4</v>
      </c>
      <c r="B60" s="116" t="s">
        <v>116</v>
      </c>
      <c r="C60" s="113">
        <v>329452</v>
      </c>
      <c r="D60" s="113">
        <v>0</v>
      </c>
      <c r="E60" s="113">
        <f t="shared" si="7"/>
        <v>-329452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109504</v>
      </c>
      <c r="D61" s="113">
        <v>29098</v>
      </c>
      <c r="E61" s="113">
        <f t="shared" si="7"/>
        <v>-80406</v>
      </c>
      <c r="F61" s="114">
        <f t="shared" si="8"/>
        <v>-0.7342745470485097</v>
      </c>
    </row>
    <row r="62" spans="1:6" x14ac:dyDescent="0.2">
      <c r="A62" s="115">
        <v>6</v>
      </c>
      <c r="B62" s="116" t="s">
        <v>118</v>
      </c>
      <c r="C62" s="113">
        <v>2100506</v>
      </c>
      <c r="D62" s="113">
        <v>2723947</v>
      </c>
      <c r="E62" s="113">
        <f t="shared" si="7"/>
        <v>623441</v>
      </c>
      <c r="F62" s="114">
        <f t="shared" si="8"/>
        <v>0.29680515075891239</v>
      </c>
    </row>
    <row r="63" spans="1:6" x14ac:dyDescent="0.2">
      <c r="A63" s="115">
        <v>7</v>
      </c>
      <c r="B63" s="116" t="s">
        <v>119</v>
      </c>
      <c r="C63" s="113">
        <v>17536597</v>
      </c>
      <c r="D63" s="113">
        <v>17560351</v>
      </c>
      <c r="E63" s="113">
        <f t="shared" si="7"/>
        <v>23754</v>
      </c>
      <c r="F63" s="114">
        <f t="shared" si="8"/>
        <v>1.3545387397566357E-3</v>
      </c>
    </row>
    <row r="64" spans="1:6" x14ac:dyDescent="0.2">
      <c r="A64" s="115">
        <v>8</v>
      </c>
      <c r="B64" s="116" t="s">
        <v>120</v>
      </c>
      <c r="C64" s="113">
        <v>1394511</v>
      </c>
      <c r="D64" s="113">
        <v>1119914</v>
      </c>
      <c r="E64" s="113">
        <f t="shared" si="7"/>
        <v>-274597</v>
      </c>
      <c r="F64" s="114">
        <f t="shared" si="8"/>
        <v>-0.19691275292916299</v>
      </c>
    </row>
    <row r="65" spans="1:6" x14ac:dyDescent="0.2">
      <c r="A65" s="115">
        <v>9</v>
      </c>
      <c r="B65" s="116" t="s">
        <v>121</v>
      </c>
      <c r="C65" s="113">
        <v>217590</v>
      </c>
      <c r="D65" s="113">
        <v>392743</v>
      </c>
      <c r="E65" s="113">
        <f t="shared" si="7"/>
        <v>175153</v>
      </c>
      <c r="F65" s="114">
        <f t="shared" si="8"/>
        <v>0.8049680591938968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59203927</v>
      </c>
      <c r="D68" s="119">
        <f>SUM(D57:D67)</f>
        <v>61023147</v>
      </c>
      <c r="E68" s="119">
        <f t="shared" si="7"/>
        <v>1819220</v>
      </c>
      <c r="F68" s="120">
        <f t="shared" si="8"/>
        <v>3.0728029240357654E-2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9249339</v>
      </c>
      <c r="D70" s="113">
        <v>10659489</v>
      </c>
      <c r="E70" s="113">
        <f t="shared" ref="E70:E81" si="9">D70-C70</f>
        <v>1410150</v>
      </c>
      <c r="F70" s="114">
        <f t="shared" ref="F70:F81" si="10">IF(C70=0,0,E70/C70)</f>
        <v>0.15245954332520412</v>
      </c>
    </row>
    <row r="71" spans="1:6" x14ac:dyDescent="0.2">
      <c r="A71" s="115">
        <v>2</v>
      </c>
      <c r="B71" s="116" t="s">
        <v>114</v>
      </c>
      <c r="C71" s="113">
        <v>4880721</v>
      </c>
      <c r="D71" s="113">
        <v>5135967</v>
      </c>
      <c r="E71" s="113">
        <f t="shared" si="9"/>
        <v>255246</v>
      </c>
      <c r="F71" s="114">
        <f t="shared" si="10"/>
        <v>5.2296781561576661E-2</v>
      </c>
    </row>
    <row r="72" spans="1:6" x14ac:dyDescent="0.2">
      <c r="A72" s="115">
        <v>3</v>
      </c>
      <c r="B72" s="116" t="s">
        <v>115</v>
      </c>
      <c r="C72" s="113">
        <v>6296168</v>
      </c>
      <c r="D72" s="113">
        <v>8277794</v>
      </c>
      <c r="E72" s="113">
        <f t="shared" si="9"/>
        <v>1981626</v>
      </c>
      <c r="F72" s="114">
        <f t="shared" si="10"/>
        <v>0.31473524848765155</v>
      </c>
    </row>
    <row r="73" spans="1:6" x14ac:dyDescent="0.2">
      <c r="A73" s="115">
        <v>4</v>
      </c>
      <c r="B73" s="116" t="s">
        <v>116</v>
      </c>
      <c r="C73" s="113">
        <v>755655</v>
      </c>
      <c r="D73" s="113">
        <v>0</v>
      </c>
      <c r="E73" s="113">
        <f t="shared" si="9"/>
        <v>-755655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339986</v>
      </c>
      <c r="D74" s="113">
        <v>0</v>
      </c>
      <c r="E74" s="113">
        <f t="shared" si="9"/>
        <v>-339986</v>
      </c>
      <c r="F74" s="114">
        <f t="shared" si="10"/>
        <v>-1</v>
      </c>
    </row>
    <row r="75" spans="1:6" x14ac:dyDescent="0.2">
      <c r="A75" s="115">
        <v>6</v>
      </c>
      <c r="B75" s="116" t="s">
        <v>118</v>
      </c>
      <c r="C75" s="113">
        <v>3209794</v>
      </c>
      <c r="D75" s="113">
        <v>2778907</v>
      </c>
      <c r="E75" s="113">
        <f t="shared" si="9"/>
        <v>-430887</v>
      </c>
      <c r="F75" s="114">
        <f t="shared" si="10"/>
        <v>-0.13424132514423043</v>
      </c>
    </row>
    <row r="76" spans="1:6" x14ac:dyDescent="0.2">
      <c r="A76" s="115">
        <v>7</v>
      </c>
      <c r="B76" s="116" t="s">
        <v>119</v>
      </c>
      <c r="C76" s="113">
        <v>35359516</v>
      </c>
      <c r="D76" s="113">
        <v>35453215</v>
      </c>
      <c r="E76" s="113">
        <f t="shared" si="9"/>
        <v>93699</v>
      </c>
      <c r="F76" s="114">
        <f t="shared" si="10"/>
        <v>2.6498948684704846E-3</v>
      </c>
    </row>
    <row r="77" spans="1:6" x14ac:dyDescent="0.2">
      <c r="A77" s="115">
        <v>8</v>
      </c>
      <c r="B77" s="116" t="s">
        <v>120</v>
      </c>
      <c r="C77" s="113">
        <v>2043080</v>
      </c>
      <c r="D77" s="113">
        <v>2660191</v>
      </c>
      <c r="E77" s="113">
        <f t="shared" si="9"/>
        <v>617111</v>
      </c>
      <c r="F77" s="114">
        <f t="shared" si="10"/>
        <v>0.30204935685337825</v>
      </c>
    </row>
    <row r="78" spans="1:6" x14ac:dyDescent="0.2">
      <c r="A78" s="115">
        <v>9</v>
      </c>
      <c r="B78" s="116" t="s">
        <v>121</v>
      </c>
      <c r="C78" s="113">
        <v>330646</v>
      </c>
      <c r="D78" s="113">
        <v>407470</v>
      </c>
      <c r="E78" s="113">
        <f t="shared" si="9"/>
        <v>76824</v>
      </c>
      <c r="F78" s="114">
        <f t="shared" si="10"/>
        <v>0.23234516673421121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62464905</v>
      </c>
      <c r="D81" s="119">
        <f>SUM(D70:D80)</f>
        <v>65373033</v>
      </c>
      <c r="E81" s="119">
        <f t="shared" si="9"/>
        <v>2908128</v>
      </c>
      <c r="F81" s="120">
        <f t="shared" si="10"/>
        <v>4.6556190231939042E-2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34956674</v>
      </c>
      <c r="D84" s="119">
        <f t="shared" si="11"/>
        <v>37210480</v>
      </c>
      <c r="E84" s="119">
        <f t="shared" ref="E84:E95" si="12">D84-C84</f>
        <v>2253806</v>
      </c>
      <c r="F84" s="120">
        <f t="shared" ref="F84:F95" si="13">IF(C84=0,0,E84/C84)</f>
        <v>6.4474268919291353E-2</v>
      </c>
    </row>
    <row r="85" spans="1:6" ht="15.75" x14ac:dyDescent="0.25">
      <c r="A85" s="130">
        <v>2</v>
      </c>
      <c r="B85" s="122" t="s">
        <v>114</v>
      </c>
      <c r="C85" s="119">
        <f t="shared" si="11"/>
        <v>12539838</v>
      </c>
      <c r="D85" s="119">
        <f t="shared" si="11"/>
        <v>13637861</v>
      </c>
      <c r="E85" s="119">
        <f t="shared" si="12"/>
        <v>1098023</v>
      </c>
      <c r="F85" s="120">
        <f t="shared" si="13"/>
        <v>8.7562773936951971E-2</v>
      </c>
    </row>
    <row r="86" spans="1:6" ht="15.75" x14ac:dyDescent="0.25">
      <c r="A86" s="130">
        <v>3</v>
      </c>
      <c r="B86" s="122" t="s">
        <v>115</v>
      </c>
      <c r="C86" s="119">
        <f t="shared" si="11"/>
        <v>10445483</v>
      </c>
      <c r="D86" s="119">
        <f t="shared" si="11"/>
        <v>12422003</v>
      </c>
      <c r="E86" s="119">
        <f t="shared" si="12"/>
        <v>1976520</v>
      </c>
      <c r="F86" s="120">
        <f t="shared" si="13"/>
        <v>0.18922246103890072</v>
      </c>
    </row>
    <row r="87" spans="1:6" ht="15.75" x14ac:dyDescent="0.25">
      <c r="A87" s="130">
        <v>4</v>
      </c>
      <c r="B87" s="122" t="s">
        <v>116</v>
      </c>
      <c r="C87" s="119">
        <f t="shared" si="11"/>
        <v>1085107</v>
      </c>
      <c r="D87" s="119">
        <f t="shared" si="11"/>
        <v>0</v>
      </c>
      <c r="E87" s="119">
        <f t="shared" si="12"/>
        <v>-1085107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449490</v>
      </c>
      <c r="D88" s="119">
        <f t="shared" si="11"/>
        <v>29098</v>
      </c>
      <c r="E88" s="119">
        <f t="shared" si="12"/>
        <v>-420392</v>
      </c>
      <c r="F88" s="120">
        <f t="shared" si="13"/>
        <v>-0.93526441077665801</v>
      </c>
    </row>
    <row r="89" spans="1:6" ht="15.75" x14ac:dyDescent="0.25">
      <c r="A89" s="130">
        <v>6</v>
      </c>
      <c r="B89" s="122" t="s">
        <v>118</v>
      </c>
      <c r="C89" s="119">
        <f t="shared" si="11"/>
        <v>5310300</v>
      </c>
      <c r="D89" s="119">
        <f t="shared" si="11"/>
        <v>5502854</v>
      </c>
      <c r="E89" s="119">
        <f t="shared" si="12"/>
        <v>192554</v>
      </c>
      <c r="F89" s="120">
        <f t="shared" si="13"/>
        <v>3.6260474926087041E-2</v>
      </c>
    </row>
    <row r="90" spans="1:6" ht="15.75" x14ac:dyDescent="0.25">
      <c r="A90" s="130">
        <v>7</v>
      </c>
      <c r="B90" s="122" t="s">
        <v>119</v>
      </c>
      <c r="C90" s="119">
        <f t="shared" si="11"/>
        <v>52896113</v>
      </c>
      <c r="D90" s="119">
        <f t="shared" si="11"/>
        <v>53013566</v>
      </c>
      <c r="E90" s="119">
        <f t="shared" si="12"/>
        <v>117453</v>
      </c>
      <c r="F90" s="120">
        <f t="shared" si="13"/>
        <v>2.2204467084377256E-3</v>
      </c>
    </row>
    <row r="91" spans="1:6" ht="15.75" x14ac:dyDescent="0.25">
      <c r="A91" s="130">
        <v>8</v>
      </c>
      <c r="B91" s="122" t="s">
        <v>120</v>
      </c>
      <c r="C91" s="119">
        <f t="shared" si="11"/>
        <v>3437591</v>
      </c>
      <c r="D91" s="119">
        <f t="shared" si="11"/>
        <v>3780105</v>
      </c>
      <c r="E91" s="119">
        <f t="shared" si="12"/>
        <v>342514</v>
      </c>
      <c r="F91" s="120">
        <f t="shared" si="13"/>
        <v>9.9637798679365869E-2</v>
      </c>
    </row>
    <row r="92" spans="1:6" ht="15.75" x14ac:dyDescent="0.25">
      <c r="A92" s="130">
        <v>9</v>
      </c>
      <c r="B92" s="122" t="s">
        <v>121</v>
      </c>
      <c r="C92" s="119">
        <f t="shared" si="11"/>
        <v>548236</v>
      </c>
      <c r="D92" s="119">
        <f t="shared" si="11"/>
        <v>800213</v>
      </c>
      <c r="E92" s="119">
        <f t="shared" si="12"/>
        <v>251977</v>
      </c>
      <c r="F92" s="120">
        <f t="shared" si="13"/>
        <v>0.45961410779299428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121668832</v>
      </c>
      <c r="D95" s="128">
        <f>SUM(D84:D94)</f>
        <v>126396180</v>
      </c>
      <c r="E95" s="128">
        <f t="shared" si="12"/>
        <v>4727348</v>
      </c>
      <c r="F95" s="129">
        <f t="shared" si="13"/>
        <v>3.8854223569763535E-2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2349</v>
      </c>
      <c r="D100" s="133">
        <v>2419</v>
      </c>
      <c r="E100" s="133">
        <f t="shared" ref="E100:E111" si="14">D100-C100</f>
        <v>70</v>
      </c>
      <c r="F100" s="114">
        <f t="shared" ref="F100:F111" si="15">IF(C100=0,0,E100/C100)</f>
        <v>2.9799914857386121E-2</v>
      </c>
    </row>
    <row r="101" spans="1:6" x14ac:dyDescent="0.2">
      <c r="A101" s="115">
        <v>2</v>
      </c>
      <c r="B101" s="116" t="s">
        <v>114</v>
      </c>
      <c r="C101" s="133">
        <v>952</v>
      </c>
      <c r="D101" s="133">
        <v>1037</v>
      </c>
      <c r="E101" s="133">
        <f t="shared" si="14"/>
        <v>85</v>
      </c>
      <c r="F101" s="114">
        <f t="shared" si="15"/>
        <v>8.9285714285714288E-2</v>
      </c>
    </row>
    <row r="102" spans="1:6" x14ac:dyDescent="0.2">
      <c r="A102" s="115">
        <v>3</v>
      </c>
      <c r="B102" s="116" t="s">
        <v>115</v>
      </c>
      <c r="C102" s="133">
        <v>1170</v>
      </c>
      <c r="D102" s="133">
        <v>1315</v>
      </c>
      <c r="E102" s="133">
        <f t="shared" si="14"/>
        <v>145</v>
      </c>
      <c r="F102" s="114">
        <f t="shared" si="15"/>
        <v>0.12393162393162394</v>
      </c>
    </row>
    <row r="103" spans="1:6" x14ac:dyDescent="0.2">
      <c r="A103" s="115">
        <v>4</v>
      </c>
      <c r="B103" s="116" t="s">
        <v>116</v>
      </c>
      <c r="C103" s="133">
        <v>113</v>
      </c>
      <c r="D103" s="133">
        <v>0</v>
      </c>
      <c r="E103" s="133">
        <f t="shared" si="14"/>
        <v>-113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17</v>
      </c>
      <c r="D104" s="133">
        <v>10</v>
      </c>
      <c r="E104" s="133">
        <f t="shared" si="14"/>
        <v>-7</v>
      </c>
      <c r="F104" s="114">
        <f t="shared" si="15"/>
        <v>-0.41176470588235292</v>
      </c>
    </row>
    <row r="105" spans="1:6" x14ac:dyDescent="0.2">
      <c r="A105" s="115">
        <v>6</v>
      </c>
      <c r="B105" s="116" t="s">
        <v>118</v>
      </c>
      <c r="C105" s="133">
        <v>177</v>
      </c>
      <c r="D105" s="133">
        <v>203</v>
      </c>
      <c r="E105" s="133">
        <f t="shared" si="14"/>
        <v>26</v>
      </c>
      <c r="F105" s="114">
        <f t="shared" si="15"/>
        <v>0.14689265536723164</v>
      </c>
    </row>
    <row r="106" spans="1:6" x14ac:dyDescent="0.2">
      <c r="A106" s="115">
        <v>7</v>
      </c>
      <c r="B106" s="116" t="s">
        <v>119</v>
      </c>
      <c r="C106" s="133">
        <v>2176</v>
      </c>
      <c r="D106" s="133">
        <v>2078</v>
      </c>
      <c r="E106" s="133">
        <f t="shared" si="14"/>
        <v>-98</v>
      </c>
      <c r="F106" s="114">
        <f t="shared" si="15"/>
        <v>-4.5036764705882353E-2</v>
      </c>
    </row>
    <row r="107" spans="1:6" x14ac:dyDescent="0.2">
      <c r="A107" s="115">
        <v>8</v>
      </c>
      <c r="B107" s="116" t="s">
        <v>120</v>
      </c>
      <c r="C107" s="133">
        <v>35</v>
      </c>
      <c r="D107" s="133">
        <v>29</v>
      </c>
      <c r="E107" s="133">
        <f t="shared" si="14"/>
        <v>-6</v>
      </c>
      <c r="F107" s="114">
        <f t="shared" si="15"/>
        <v>-0.17142857142857143</v>
      </c>
    </row>
    <row r="108" spans="1:6" x14ac:dyDescent="0.2">
      <c r="A108" s="115">
        <v>9</v>
      </c>
      <c r="B108" s="116" t="s">
        <v>121</v>
      </c>
      <c r="C108" s="133">
        <v>74</v>
      </c>
      <c r="D108" s="133">
        <v>85</v>
      </c>
      <c r="E108" s="133">
        <f t="shared" si="14"/>
        <v>11</v>
      </c>
      <c r="F108" s="114">
        <f t="shared" si="15"/>
        <v>0.14864864864864866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7063</v>
      </c>
      <c r="D111" s="134">
        <f>SUM(D100:D110)</f>
        <v>7176</v>
      </c>
      <c r="E111" s="134">
        <f t="shared" si="14"/>
        <v>113</v>
      </c>
      <c r="F111" s="120">
        <f t="shared" si="15"/>
        <v>1.5998867336825713E-2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11643</v>
      </c>
      <c r="D113" s="133">
        <v>12806</v>
      </c>
      <c r="E113" s="133">
        <f t="shared" ref="E113:E124" si="16">D113-C113</f>
        <v>1163</v>
      </c>
      <c r="F113" s="114">
        <f t="shared" ref="F113:F124" si="17">IF(C113=0,0,E113/C113)</f>
        <v>9.9888344928283093E-2</v>
      </c>
    </row>
    <row r="114" spans="1:6" x14ac:dyDescent="0.2">
      <c r="A114" s="115">
        <v>2</v>
      </c>
      <c r="B114" s="116" t="s">
        <v>114</v>
      </c>
      <c r="C114" s="133">
        <v>4251</v>
      </c>
      <c r="D114" s="133">
        <v>4766</v>
      </c>
      <c r="E114" s="133">
        <f t="shared" si="16"/>
        <v>515</v>
      </c>
      <c r="F114" s="114">
        <f t="shared" si="17"/>
        <v>0.12114796518466243</v>
      </c>
    </row>
    <row r="115" spans="1:6" x14ac:dyDescent="0.2">
      <c r="A115" s="115">
        <v>3</v>
      </c>
      <c r="B115" s="116" t="s">
        <v>115</v>
      </c>
      <c r="C115" s="133">
        <v>4474</v>
      </c>
      <c r="D115" s="133">
        <v>5093</v>
      </c>
      <c r="E115" s="133">
        <f t="shared" si="16"/>
        <v>619</v>
      </c>
      <c r="F115" s="114">
        <f t="shared" si="17"/>
        <v>0.13835493965131873</v>
      </c>
    </row>
    <row r="116" spans="1:6" x14ac:dyDescent="0.2">
      <c r="A116" s="115">
        <v>4</v>
      </c>
      <c r="B116" s="116" t="s">
        <v>116</v>
      </c>
      <c r="C116" s="133">
        <v>287</v>
      </c>
      <c r="D116" s="133">
        <v>0</v>
      </c>
      <c r="E116" s="133">
        <f t="shared" si="16"/>
        <v>-287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71</v>
      </c>
      <c r="D117" s="133">
        <v>23</v>
      </c>
      <c r="E117" s="133">
        <f t="shared" si="16"/>
        <v>-48</v>
      </c>
      <c r="F117" s="114">
        <f t="shared" si="17"/>
        <v>-0.676056338028169</v>
      </c>
    </row>
    <row r="118" spans="1:6" x14ac:dyDescent="0.2">
      <c r="A118" s="115">
        <v>6</v>
      </c>
      <c r="B118" s="116" t="s">
        <v>118</v>
      </c>
      <c r="C118" s="133">
        <v>681</v>
      </c>
      <c r="D118" s="133">
        <v>878</v>
      </c>
      <c r="E118" s="133">
        <f t="shared" si="16"/>
        <v>197</v>
      </c>
      <c r="F118" s="114">
        <f t="shared" si="17"/>
        <v>0.28928046989721001</v>
      </c>
    </row>
    <row r="119" spans="1:6" x14ac:dyDescent="0.2">
      <c r="A119" s="115">
        <v>7</v>
      </c>
      <c r="B119" s="116" t="s">
        <v>119</v>
      </c>
      <c r="C119" s="133">
        <v>7524</v>
      </c>
      <c r="D119" s="133">
        <v>7312</v>
      </c>
      <c r="E119" s="133">
        <f t="shared" si="16"/>
        <v>-212</v>
      </c>
      <c r="F119" s="114">
        <f t="shared" si="17"/>
        <v>-2.8176501860712386E-2</v>
      </c>
    </row>
    <row r="120" spans="1:6" x14ac:dyDescent="0.2">
      <c r="A120" s="115">
        <v>8</v>
      </c>
      <c r="B120" s="116" t="s">
        <v>120</v>
      </c>
      <c r="C120" s="133">
        <v>107</v>
      </c>
      <c r="D120" s="133">
        <v>67</v>
      </c>
      <c r="E120" s="133">
        <f t="shared" si="16"/>
        <v>-40</v>
      </c>
      <c r="F120" s="114">
        <f t="shared" si="17"/>
        <v>-0.37383177570093457</v>
      </c>
    </row>
    <row r="121" spans="1:6" x14ac:dyDescent="0.2">
      <c r="A121" s="115">
        <v>9</v>
      </c>
      <c r="B121" s="116" t="s">
        <v>121</v>
      </c>
      <c r="C121" s="133">
        <v>283</v>
      </c>
      <c r="D121" s="133">
        <v>326</v>
      </c>
      <c r="E121" s="133">
        <f t="shared" si="16"/>
        <v>43</v>
      </c>
      <c r="F121" s="114">
        <f t="shared" si="17"/>
        <v>0.1519434628975265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29321</v>
      </c>
      <c r="D124" s="134">
        <f>SUM(D113:D123)</f>
        <v>31271</v>
      </c>
      <c r="E124" s="134">
        <f t="shared" si="16"/>
        <v>1950</v>
      </c>
      <c r="F124" s="120">
        <f t="shared" si="17"/>
        <v>6.6505235155690456E-2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32163</v>
      </c>
      <c r="D126" s="133">
        <v>31307</v>
      </c>
      <c r="E126" s="133">
        <f t="shared" ref="E126:E137" si="18">D126-C126</f>
        <v>-856</v>
      </c>
      <c r="F126" s="114">
        <f t="shared" ref="F126:F137" si="19">IF(C126=0,0,E126/C126)</f>
        <v>-2.6614432733264932E-2</v>
      </c>
    </row>
    <row r="127" spans="1:6" x14ac:dyDescent="0.2">
      <c r="A127" s="115">
        <v>2</v>
      </c>
      <c r="B127" s="116" t="s">
        <v>114</v>
      </c>
      <c r="C127" s="133">
        <v>14657</v>
      </c>
      <c r="D127" s="133">
        <v>13488</v>
      </c>
      <c r="E127" s="133">
        <f t="shared" si="18"/>
        <v>-1169</v>
      </c>
      <c r="F127" s="114">
        <f t="shared" si="19"/>
        <v>-7.9757112642423411E-2</v>
      </c>
    </row>
    <row r="128" spans="1:6" x14ac:dyDescent="0.2">
      <c r="A128" s="115">
        <v>3</v>
      </c>
      <c r="B128" s="116" t="s">
        <v>115</v>
      </c>
      <c r="C128" s="133">
        <v>22104</v>
      </c>
      <c r="D128" s="133">
        <v>30599</v>
      </c>
      <c r="E128" s="133">
        <f t="shared" si="18"/>
        <v>8495</v>
      </c>
      <c r="F128" s="114">
        <f t="shared" si="19"/>
        <v>0.38431958016648571</v>
      </c>
    </row>
    <row r="129" spans="1:6" x14ac:dyDescent="0.2">
      <c r="A129" s="115">
        <v>4</v>
      </c>
      <c r="B129" s="116" t="s">
        <v>116</v>
      </c>
      <c r="C129" s="133">
        <v>5936</v>
      </c>
      <c r="D129" s="133">
        <v>0</v>
      </c>
      <c r="E129" s="133">
        <f t="shared" si="18"/>
        <v>-5936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218</v>
      </c>
      <c r="D130" s="133">
        <v>214</v>
      </c>
      <c r="E130" s="133">
        <f t="shared" si="18"/>
        <v>-4</v>
      </c>
      <c r="F130" s="114">
        <f t="shared" si="19"/>
        <v>-1.834862385321101E-2</v>
      </c>
    </row>
    <row r="131" spans="1:6" x14ac:dyDescent="0.2">
      <c r="A131" s="115">
        <v>6</v>
      </c>
      <c r="B131" s="116" t="s">
        <v>118</v>
      </c>
      <c r="C131" s="133">
        <v>4394</v>
      </c>
      <c r="D131" s="133">
        <v>3910</v>
      </c>
      <c r="E131" s="133">
        <f t="shared" si="18"/>
        <v>-484</v>
      </c>
      <c r="F131" s="114">
        <f t="shared" si="19"/>
        <v>-0.11015020482476104</v>
      </c>
    </row>
    <row r="132" spans="1:6" x14ac:dyDescent="0.2">
      <c r="A132" s="115">
        <v>7</v>
      </c>
      <c r="B132" s="116" t="s">
        <v>119</v>
      </c>
      <c r="C132" s="133">
        <v>50793</v>
      </c>
      <c r="D132" s="133">
        <v>47770</v>
      </c>
      <c r="E132" s="133">
        <f t="shared" si="18"/>
        <v>-3023</v>
      </c>
      <c r="F132" s="114">
        <f t="shared" si="19"/>
        <v>-5.9516075049711577E-2</v>
      </c>
    </row>
    <row r="133" spans="1:6" x14ac:dyDescent="0.2">
      <c r="A133" s="115">
        <v>8</v>
      </c>
      <c r="B133" s="116" t="s">
        <v>120</v>
      </c>
      <c r="C133" s="133">
        <v>2768</v>
      </c>
      <c r="D133" s="133">
        <v>2795</v>
      </c>
      <c r="E133" s="133">
        <f t="shared" si="18"/>
        <v>27</v>
      </c>
      <c r="F133" s="114">
        <f t="shared" si="19"/>
        <v>9.7543352601156073E-3</v>
      </c>
    </row>
    <row r="134" spans="1:6" x14ac:dyDescent="0.2">
      <c r="A134" s="115">
        <v>9</v>
      </c>
      <c r="B134" s="116" t="s">
        <v>121</v>
      </c>
      <c r="C134" s="133">
        <v>4841</v>
      </c>
      <c r="D134" s="133">
        <v>4912</v>
      </c>
      <c r="E134" s="133">
        <f t="shared" si="18"/>
        <v>71</v>
      </c>
      <c r="F134" s="114">
        <f t="shared" si="19"/>
        <v>1.4666391241479034E-2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137874</v>
      </c>
      <c r="D137" s="134">
        <f>SUM(D126:D136)</f>
        <v>134995</v>
      </c>
      <c r="E137" s="134">
        <f t="shared" si="18"/>
        <v>-2879</v>
      </c>
      <c r="F137" s="120">
        <f t="shared" si="19"/>
        <v>-2.0881384452471098E-2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11405160</v>
      </c>
      <c r="D142" s="113">
        <v>9937692</v>
      </c>
      <c r="E142" s="113">
        <f t="shared" ref="E142:E153" si="20">D142-C142</f>
        <v>-1467468</v>
      </c>
      <c r="F142" s="114">
        <f t="shared" ref="F142:F153" si="21">IF(C142=0,0,E142/C142)</f>
        <v>-0.12866702439948233</v>
      </c>
    </row>
    <row r="143" spans="1:6" x14ac:dyDescent="0.2">
      <c r="A143" s="115">
        <v>2</v>
      </c>
      <c r="B143" s="116" t="s">
        <v>114</v>
      </c>
      <c r="C143" s="113">
        <v>4309760</v>
      </c>
      <c r="D143" s="113">
        <v>3976851</v>
      </c>
      <c r="E143" s="113">
        <f t="shared" si="20"/>
        <v>-332909</v>
      </c>
      <c r="F143" s="114">
        <f t="shared" si="21"/>
        <v>-7.7245368651618657E-2</v>
      </c>
    </row>
    <row r="144" spans="1:6" x14ac:dyDescent="0.2">
      <c r="A144" s="115">
        <v>3</v>
      </c>
      <c r="B144" s="116" t="s">
        <v>115</v>
      </c>
      <c r="C144" s="113">
        <v>19044305</v>
      </c>
      <c r="D144" s="113">
        <v>22964021</v>
      </c>
      <c r="E144" s="113">
        <f t="shared" si="20"/>
        <v>3919716</v>
      </c>
      <c r="F144" s="114">
        <f t="shared" si="21"/>
        <v>0.20582090026388467</v>
      </c>
    </row>
    <row r="145" spans="1:6" x14ac:dyDescent="0.2">
      <c r="A145" s="115">
        <v>4</v>
      </c>
      <c r="B145" s="116" t="s">
        <v>116</v>
      </c>
      <c r="C145" s="113">
        <v>1956988</v>
      </c>
      <c r="D145" s="113">
        <v>0</v>
      </c>
      <c r="E145" s="113">
        <f t="shared" si="20"/>
        <v>-1956988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148011</v>
      </c>
      <c r="D146" s="113">
        <v>264067</v>
      </c>
      <c r="E146" s="113">
        <f t="shared" si="20"/>
        <v>116056</v>
      </c>
      <c r="F146" s="114">
        <f t="shared" si="21"/>
        <v>0.78410388417077104</v>
      </c>
    </row>
    <row r="147" spans="1:6" x14ac:dyDescent="0.2">
      <c r="A147" s="115">
        <v>6</v>
      </c>
      <c r="B147" s="116" t="s">
        <v>118</v>
      </c>
      <c r="C147" s="113">
        <v>1657782</v>
      </c>
      <c r="D147" s="113">
        <v>1372164</v>
      </c>
      <c r="E147" s="113">
        <f t="shared" si="20"/>
        <v>-285618</v>
      </c>
      <c r="F147" s="114">
        <f t="shared" si="21"/>
        <v>-0.1722892394778083</v>
      </c>
    </row>
    <row r="148" spans="1:6" x14ac:dyDescent="0.2">
      <c r="A148" s="115">
        <v>7</v>
      </c>
      <c r="B148" s="116" t="s">
        <v>119</v>
      </c>
      <c r="C148" s="113">
        <v>20840829</v>
      </c>
      <c r="D148" s="113">
        <v>18956193</v>
      </c>
      <c r="E148" s="113">
        <f t="shared" si="20"/>
        <v>-1884636</v>
      </c>
      <c r="F148" s="114">
        <f t="shared" si="21"/>
        <v>-9.0429992012313901E-2</v>
      </c>
    </row>
    <row r="149" spans="1:6" x14ac:dyDescent="0.2">
      <c r="A149" s="115">
        <v>8</v>
      </c>
      <c r="B149" s="116" t="s">
        <v>120</v>
      </c>
      <c r="C149" s="113">
        <v>1034708</v>
      </c>
      <c r="D149" s="113">
        <v>827424</v>
      </c>
      <c r="E149" s="113">
        <f t="shared" si="20"/>
        <v>-207284</v>
      </c>
      <c r="F149" s="114">
        <f t="shared" si="21"/>
        <v>-0.20033091461552438</v>
      </c>
    </row>
    <row r="150" spans="1:6" x14ac:dyDescent="0.2">
      <c r="A150" s="115">
        <v>9</v>
      </c>
      <c r="B150" s="116" t="s">
        <v>121</v>
      </c>
      <c r="C150" s="113">
        <v>4311540</v>
      </c>
      <c r="D150" s="113">
        <v>4245010</v>
      </c>
      <c r="E150" s="113">
        <f t="shared" si="20"/>
        <v>-66530</v>
      </c>
      <c r="F150" s="114">
        <f t="shared" si="21"/>
        <v>-1.5430681380666769E-2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64709083</v>
      </c>
      <c r="D153" s="119">
        <f>SUM(D142:D152)</f>
        <v>62543422</v>
      </c>
      <c r="E153" s="119">
        <f t="shared" si="20"/>
        <v>-2165661</v>
      </c>
      <c r="F153" s="120">
        <f t="shared" si="21"/>
        <v>-3.3467650901497087E-2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2349431</v>
      </c>
      <c r="D155" s="113">
        <v>1965258</v>
      </c>
      <c r="E155" s="113">
        <f t="shared" ref="E155:E166" si="22">D155-C155</f>
        <v>-384173</v>
      </c>
      <c r="F155" s="114">
        <f t="shared" ref="F155:F166" si="23">IF(C155=0,0,E155/C155)</f>
        <v>-0.16351746444139029</v>
      </c>
    </row>
    <row r="156" spans="1:6" x14ac:dyDescent="0.2">
      <c r="A156" s="115">
        <v>2</v>
      </c>
      <c r="B156" s="116" t="s">
        <v>114</v>
      </c>
      <c r="C156" s="113">
        <v>935665</v>
      </c>
      <c r="D156" s="113">
        <v>795233</v>
      </c>
      <c r="E156" s="113">
        <f t="shared" si="22"/>
        <v>-140432</v>
      </c>
      <c r="F156" s="114">
        <f t="shared" si="23"/>
        <v>-0.15008790539349018</v>
      </c>
    </row>
    <row r="157" spans="1:6" x14ac:dyDescent="0.2">
      <c r="A157" s="115">
        <v>3</v>
      </c>
      <c r="B157" s="116" t="s">
        <v>115</v>
      </c>
      <c r="C157" s="113">
        <v>3396546</v>
      </c>
      <c r="D157" s="113">
        <v>4335161</v>
      </c>
      <c r="E157" s="113">
        <f t="shared" si="22"/>
        <v>938615</v>
      </c>
      <c r="F157" s="114">
        <f t="shared" si="23"/>
        <v>0.27634396825480945</v>
      </c>
    </row>
    <row r="158" spans="1:6" x14ac:dyDescent="0.2">
      <c r="A158" s="115">
        <v>4</v>
      </c>
      <c r="B158" s="116" t="s">
        <v>116</v>
      </c>
      <c r="C158" s="113">
        <v>431430</v>
      </c>
      <c r="D158" s="113">
        <v>0</v>
      </c>
      <c r="E158" s="113">
        <f t="shared" si="22"/>
        <v>-431430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37781</v>
      </c>
      <c r="D159" s="113">
        <v>56868</v>
      </c>
      <c r="E159" s="113">
        <f t="shared" si="22"/>
        <v>19087</v>
      </c>
      <c r="F159" s="114">
        <f t="shared" si="23"/>
        <v>0.50520102697122893</v>
      </c>
    </row>
    <row r="160" spans="1:6" x14ac:dyDescent="0.2">
      <c r="A160" s="115">
        <v>6</v>
      </c>
      <c r="B160" s="116" t="s">
        <v>118</v>
      </c>
      <c r="C160" s="113">
        <v>632156</v>
      </c>
      <c r="D160" s="113">
        <v>550818</v>
      </c>
      <c r="E160" s="113">
        <f t="shared" si="22"/>
        <v>-81338</v>
      </c>
      <c r="F160" s="114">
        <f t="shared" si="23"/>
        <v>-0.12866760736273958</v>
      </c>
    </row>
    <row r="161" spans="1:6" x14ac:dyDescent="0.2">
      <c r="A161" s="115">
        <v>7</v>
      </c>
      <c r="B161" s="116" t="s">
        <v>119</v>
      </c>
      <c r="C161" s="113">
        <v>7360336</v>
      </c>
      <c r="D161" s="113">
        <v>7107131</v>
      </c>
      <c r="E161" s="113">
        <f t="shared" si="22"/>
        <v>-253205</v>
      </c>
      <c r="F161" s="114">
        <f t="shared" si="23"/>
        <v>-3.4401282767525833E-2</v>
      </c>
    </row>
    <row r="162" spans="1:6" x14ac:dyDescent="0.2">
      <c r="A162" s="115">
        <v>8</v>
      </c>
      <c r="B162" s="116" t="s">
        <v>120</v>
      </c>
      <c r="C162" s="113">
        <v>721768</v>
      </c>
      <c r="D162" s="113">
        <v>553331</v>
      </c>
      <c r="E162" s="113">
        <f t="shared" si="22"/>
        <v>-168437</v>
      </c>
      <c r="F162" s="114">
        <f t="shared" si="23"/>
        <v>-0.2333672315757972</v>
      </c>
    </row>
    <row r="163" spans="1:6" x14ac:dyDescent="0.2">
      <c r="A163" s="115">
        <v>9</v>
      </c>
      <c r="B163" s="116" t="s">
        <v>121</v>
      </c>
      <c r="C163" s="113">
        <v>130908</v>
      </c>
      <c r="D163" s="113">
        <v>116300</v>
      </c>
      <c r="E163" s="113">
        <f t="shared" si="22"/>
        <v>-14608</v>
      </c>
      <c r="F163" s="114">
        <f t="shared" si="23"/>
        <v>-0.11158981880404559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15996021</v>
      </c>
      <c r="D166" s="119">
        <f>SUM(D155:D165)</f>
        <v>15480100</v>
      </c>
      <c r="E166" s="119">
        <f t="shared" si="22"/>
        <v>-515921</v>
      </c>
      <c r="F166" s="120">
        <f t="shared" si="23"/>
        <v>-3.2253083438687657E-2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5226</v>
      </c>
      <c r="D168" s="133">
        <v>4759</v>
      </c>
      <c r="E168" s="133">
        <f t="shared" ref="E168:E179" si="24">D168-C168</f>
        <v>-467</v>
      </c>
      <c r="F168" s="114">
        <f t="shared" ref="F168:F179" si="25">IF(C168=0,0,E168/C168)</f>
        <v>-8.9360887868350558E-2</v>
      </c>
    </row>
    <row r="169" spans="1:6" x14ac:dyDescent="0.2">
      <c r="A169" s="115">
        <v>2</v>
      </c>
      <c r="B169" s="116" t="s">
        <v>114</v>
      </c>
      <c r="C169" s="133">
        <v>1720</v>
      </c>
      <c r="D169" s="133">
        <v>1709</v>
      </c>
      <c r="E169" s="133">
        <f t="shared" si="24"/>
        <v>-11</v>
      </c>
      <c r="F169" s="114">
        <f t="shared" si="25"/>
        <v>-6.3953488372093022E-3</v>
      </c>
    </row>
    <row r="170" spans="1:6" x14ac:dyDescent="0.2">
      <c r="A170" s="115">
        <v>3</v>
      </c>
      <c r="B170" s="116" t="s">
        <v>115</v>
      </c>
      <c r="C170" s="133">
        <v>10640</v>
      </c>
      <c r="D170" s="133">
        <v>12610</v>
      </c>
      <c r="E170" s="133">
        <f t="shared" si="24"/>
        <v>1970</v>
      </c>
      <c r="F170" s="114">
        <f t="shared" si="25"/>
        <v>0.18515037593984962</v>
      </c>
    </row>
    <row r="171" spans="1:6" x14ac:dyDescent="0.2">
      <c r="A171" s="115">
        <v>4</v>
      </c>
      <c r="B171" s="116" t="s">
        <v>116</v>
      </c>
      <c r="C171" s="133">
        <v>1733</v>
      </c>
      <c r="D171" s="133">
        <v>0</v>
      </c>
      <c r="E171" s="133">
        <f t="shared" si="24"/>
        <v>-1733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131</v>
      </c>
      <c r="D172" s="133">
        <v>155</v>
      </c>
      <c r="E172" s="133">
        <f t="shared" si="24"/>
        <v>24</v>
      </c>
      <c r="F172" s="114">
        <f t="shared" si="25"/>
        <v>0.18320610687022901</v>
      </c>
    </row>
    <row r="173" spans="1:6" x14ac:dyDescent="0.2">
      <c r="A173" s="115">
        <v>6</v>
      </c>
      <c r="B173" s="116" t="s">
        <v>118</v>
      </c>
      <c r="C173" s="133">
        <v>930</v>
      </c>
      <c r="D173" s="133">
        <v>734</v>
      </c>
      <c r="E173" s="133">
        <f t="shared" si="24"/>
        <v>-196</v>
      </c>
      <c r="F173" s="114">
        <f t="shared" si="25"/>
        <v>-0.21075268817204301</v>
      </c>
    </row>
    <row r="174" spans="1:6" x14ac:dyDescent="0.2">
      <c r="A174" s="115">
        <v>7</v>
      </c>
      <c r="B174" s="116" t="s">
        <v>119</v>
      </c>
      <c r="C174" s="133">
        <v>11906</v>
      </c>
      <c r="D174" s="133">
        <v>10916</v>
      </c>
      <c r="E174" s="133">
        <f t="shared" si="24"/>
        <v>-990</v>
      </c>
      <c r="F174" s="114">
        <f t="shared" si="25"/>
        <v>-8.3151352259365027E-2</v>
      </c>
    </row>
    <row r="175" spans="1:6" x14ac:dyDescent="0.2">
      <c r="A175" s="115">
        <v>8</v>
      </c>
      <c r="B175" s="116" t="s">
        <v>120</v>
      </c>
      <c r="C175" s="133">
        <v>823</v>
      </c>
      <c r="D175" s="133">
        <v>752</v>
      </c>
      <c r="E175" s="133">
        <f t="shared" si="24"/>
        <v>-71</v>
      </c>
      <c r="F175" s="114">
        <f t="shared" si="25"/>
        <v>-8.6269744835965972E-2</v>
      </c>
    </row>
    <row r="176" spans="1:6" x14ac:dyDescent="0.2">
      <c r="A176" s="115">
        <v>9</v>
      </c>
      <c r="B176" s="116" t="s">
        <v>121</v>
      </c>
      <c r="C176" s="133">
        <v>2971</v>
      </c>
      <c r="D176" s="133">
        <v>2907</v>
      </c>
      <c r="E176" s="133">
        <f t="shared" si="24"/>
        <v>-64</v>
      </c>
      <c r="F176" s="114">
        <f t="shared" si="25"/>
        <v>-2.1541568495456076E-2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36080</v>
      </c>
      <c r="D179" s="134">
        <f>SUM(D168:D178)</f>
        <v>34542</v>
      </c>
      <c r="E179" s="134">
        <f t="shared" si="24"/>
        <v>-1538</v>
      </c>
      <c r="F179" s="120">
        <f t="shared" si="25"/>
        <v>-4.2627494456762748E-2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19496313</v>
      </c>
      <c r="D15" s="157">
        <v>19389105</v>
      </c>
      <c r="E15" s="157">
        <f>+D15-C15</f>
        <v>-107208</v>
      </c>
      <c r="F15" s="161">
        <f>IF(C15=0,0,E15/C15)</f>
        <v>-5.498885866266099E-3</v>
      </c>
    </row>
    <row r="16" spans="1:6" ht="15" customHeight="1" x14ac:dyDescent="0.2">
      <c r="A16" s="147">
        <v>2</v>
      </c>
      <c r="B16" s="160" t="s">
        <v>157</v>
      </c>
      <c r="C16" s="157">
        <v>4020152</v>
      </c>
      <c r="D16" s="157">
        <v>4057828</v>
      </c>
      <c r="E16" s="157">
        <f>+D16-C16</f>
        <v>37676</v>
      </c>
      <c r="F16" s="161">
        <f>IF(C16=0,0,E16/C16)</f>
        <v>9.3717849474348226E-3</v>
      </c>
    </row>
    <row r="17" spans="1:6" ht="15" customHeight="1" x14ac:dyDescent="0.2">
      <c r="A17" s="147">
        <v>3</v>
      </c>
      <c r="B17" s="160" t="s">
        <v>158</v>
      </c>
      <c r="C17" s="157">
        <v>29145626</v>
      </c>
      <c r="D17" s="157">
        <v>29791307</v>
      </c>
      <c r="E17" s="157">
        <f>+D17-C17</f>
        <v>645681</v>
      </c>
      <c r="F17" s="161">
        <f>IF(C17=0,0,E17/C17)</f>
        <v>2.2153615777544117E-2</v>
      </c>
    </row>
    <row r="18" spans="1:6" ht="15.75" customHeight="1" x14ac:dyDescent="0.25">
      <c r="A18" s="147"/>
      <c r="B18" s="162" t="s">
        <v>159</v>
      </c>
      <c r="C18" s="158">
        <f>SUM(C15:C17)</f>
        <v>52662091</v>
      </c>
      <c r="D18" s="158">
        <f>SUM(D15:D17)</f>
        <v>53238240</v>
      </c>
      <c r="E18" s="158">
        <f>+D18-C18</f>
        <v>576149</v>
      </c>
      <c r="F18" s="159">
        <f>IF(C18=0,0,E18/C18)</f>
        <v>1.0940488481553077E-2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7396230</v>
      </c>
      <c r="D21" s="157">
        <v>6978339</v>
      </c>
      <c r="E21" s="157">
        <f>+D21-C21</f>
        <v>-417891</v>
      </c>
      <c r="F21" s="161">
        <f>IF(C21=0,0,E21/C21)</f>
        <v>-5.6500541492084479E-2</v>
      </c>
    </row>
    <row r="22" spans="1:6" ht="15" customHeight="1" x14ac:dyDescent="0.2">
      <c r="A22" s="147">
        <v>2</v>
      </c>
      <c r="B22" s="160" t="s">
        <v>162</v>
      </c>
      <c r="C22" s="157">
        <v>1525084</v>
      </c>
      <c r="D22" s="157">
        <v>1460456</v>
      </c>
      <c r="E22" s="157">
        <f>+D22-C22</f>
        <v>-64628</v>
      </c>
      <c r="F22" s="161">
        <f>IF(C22=0,0,E22/C22)</f>
        <v>-4.2376682202422945E-2</v>
      </c>
    </row>
    <row r="23" spans="1:6" ht="15" customHeight="1" x14ac:dyDescent="0.2">
      <c r="A23" s="147">
        <v>3</v>
      </c>
      <c r="B23" s="160" t="s">
        <v>163</v>
      </c>
      <c r="C23" s="157">
        <v>11056564</v>
      </c>
      <c r="D23" s="157">
        <v>10725001</v>
      </c>
      <c r="E23" s="157">
        <f>+D23-C23</f>
        <v>-331563</v>
      </c>
      <c r="F23" s="161">
        <f>IF(C23=0,0,E23/C23)</f>
        <v>-2.9987887737998892E-2</v>
      </c>
    </row>
    <row r="24" spans="1:6" ht="15.75" customHeight="1" x14ac:dyDescent="0.25">
      <c r="A24" s="147"/>
      <c r="B24" s="162" t="s">
        <v>164</v>
      </c>
      <c r="C24" s="158">
        <f>SUM(C21:C23)</f>
        <v>19977878</v>
      </c>
      <c r="D24" s="158">
        <f>SUM(D21:D23)</f>
        <v>19163796</v>
      </c>
      <c r="E24" s="158">
        <f>+D24-C24</f>
        <v>-814082</v>
      </c>
      <c r="F24" s="159">
        <f>IF(C24=0,0,E24/C24)</f>
        <v>-4.0749172659879089E-2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169704</v>
      </c>
      <c r="E27" s="157">
        <f>+D27-C27</f>
        <v>169704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3056069</v>
      </c>
      <c r="D28" s="157">
        <v>2857151</v>
      </c>
      <c r="E28" s="157">
        <f>+D28-C28</f>
        <v>-198918</v>
      </c>
      <c r="F28" s="161">
        <f>IF(C28=0,0,E28/C28)</f>
        <v>-6.5089498960920061E-2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3056069</v>
      </c>
      <c r="D30" s="158">
        <f>SUM(D27:D29)</f>
        <v>3026855</v>
      </c>
      <c r="E30" s="158">
        <f>+D30-C30</f>
        <v>-29214</v>
      </c>
      <c r="F30" s="159">
        <f>IF(C30=0,0,E30/C30)</f>
        <v>-9.5593391379579454E-3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12033210</v>
      </c>
      <c r="D33" s="157">
        <v>12339651</v>
      </c>
      <c r="E33" s="157">
        <f>+D33-C33</f>
        <v>306441</v>
      </c>
      <c r="F33" s="161">
        <f>IF(C33=0,0,E33/C33)</f>
        <v>2.5466272091985431E-2</v>
      </c>
    </row>
    <row r="34" spans="1:6" ht="15" customHeight="1" x14ac:dyDescent="0.2">
      <c r="A34" s="147">
        <v>2</v>
      </c>
      <c r="B34" s="160" t="s">
        <v>173</v>
      </c>
      <c r="C34" s="157">
        <v>3897553</v>
      </c>
      <c r="D34" s="157">
        <v>4435662</v>
      </c>
      <c r="E34" s="157">
        <f>+D34-C34</f>
        <v>538109</v>
      </c>
      <c r="F34" s="161">
        <f>IF(C34=0,0,E34/C34)</f>
        <v>0.13806329253251975</v>
      </c>
    </row>
    <row r="35" spans="1:6" ht="15.75" customHeight="1" x14ac:dyDescent="0.25">
      <c r="A35" s="147"/>
      <c r="B35" s="162" t="s">
        <v>174</v>
      </c>
      <c r="C35" s="158">
        <f>SUM(C33:C34)</f>
        <v>15930763</v>
      </c>
      <c r="D35" s="158">
        <f>SUM(D33:D34)</f>
        <v>16775313</v>
      </c>
      <c r="E35" s="158">
        <f>+D35-C35</f>
        <v>844550</v>
      </c>
      <c r="F35" s="159">
        <f>IF(C35=0,0,E35/C35)</f>
        <v>5.3013782202396706E-2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2446351</v>
      </c>
      <c r="D38" s="157">
        <v>2391674</v>
      </c>
      <c r="E38" s="157">
        <f>+D38-C38</f>
        <v>-54677</v>
      </c>
      <c r="F38" s="161">
        <f>IF(C38=0,0,E38/C38)</f>
        <v>-2.2350431315865955E-2</v>
      </c>
    </row>
    <row r="39" spans="1:6" ht="15" customHeight="1" x14ac:dyDescent="0.2">
      <c r="A39" s="147">
        <v>2</v>
      </c>
      <c r="B39" s="160" t="s">
        <v>178</v>
      </c>
      <c r="C39" s="157">
        <v>3466865</v>
      </c>
      <c r="D39" s="157">
        <v>3707671</v>
      </c>
      <c r="E39" s="157">
        <f>+D39-C39</f>
        <v>240806</v>
      </c>
      <c r="F39" s="161">
        <f>IF(C39=0,0,E39/C39)</f>
        <v>6.9459295357621367E-2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5913216</v>
      </c>
      <c r="D41" s="158">
        <f>SUM(D38:D40)</f>
        <v>6099345</v>
      </c>
      <c r="E41" s="158">
        <f>+D41-C41</f>
        <v>186129</v>
      </c>
      <c r="F41" s="159">
        <f>IF(C41=0,0,E41/C41)</f>
        <v>3.1476780148061566E-2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985612</v>
      </c>
      <c r="D44" s="157">
        <v>0</v>
      </c>
      <c r="E44" s="157">
        <f>+D44-C44</f>
        <v>-985612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2709709</v>
      </c>
      <c r="D47" s="157">
        <v>2450664</v>
      </c>
      <c r="E47" s="157">
        <f>+D47-C47</f>
        <v>-259045</v>
      </c>
      <c r="F47" s="161">
        <f>IF(C47=0,0,E47/C47)</f>
        <v>-9.5598826294631636E-2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945755</v>
      </c>
      <c r="D50" s="157">
        <v>3082676</v>
      </c>
      <c r="E50" s="157">
        <f>+D50-C50</f>
        <v>2136921</v>
      </c>
      <c r="F50" s="161">
        <f>IF(C50=0,0,E50/C50)</f>
        <v>2.2594868649914619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363126</v>
      </c>
      <c r="D53" s="157">
        <v>351668</v>
      </c>
      <c r="E53" s="157">
        <f t="shared" ref="E53:E59" si="0">+D53-C53</f>
        <v>-11458</v>
      </c>
      <c r="F53" s="161">
        <f t="shared" ref="F53:F59" si="1">IF(C53=0,0,E53/C53)</f>
        <v>-3.1553785738283678E-2</v>
      </c>
    </row>
    <row r="54" spans="1:6" ht="15" customHeight="1" x14ac:dyDescent="0.2">
      <c r="A54" s="147">
        <v>2</v>
      </c>
      <c r="B54" s="160" t="s">
        <v>189</v>
      </c>
      <c r="C54" s="157">
        <v>791590</v>
      </c>
      <c r="D54" s="157">
        <v>757626</v>
      </c>
      <c r="E54" s="157">
        <f t="shared" si="0"/>
        <v>-33964</v>
      </c>
      <c r="F54" s="161">
        <f t="shared" si="1"/>
        <v>-4.2906049849038015E-2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30617</v>
      </c>
      <c r="E55" s="157">
        <f t="shared" si="0"/>
        <v>30617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2079092</v>
      </c>
      <c r="D56" s="157">
        <v>1872138</v>
      </c>
      <c r="E56" s="157">
        <f t="shared" si="0"/>
        <v>-206954</v>
      </c>
      <c r="F56" s="161">
        <f t="shared" si="1"/>
        <v>-9.9540568671323826E-2</v>
      </c>
    </row>
    <row r="57" spans="1:6" ht="15" customHeight="1" x14ac:dyDescent="0.2">
      <c r="A57" s="147">
        <v>5</v>
      </c>
      <c r="B57" s="160" t="s">
        <v>192</v>
      </c>
      <c r="C57" s="157">
        <v>395243</v>
      </c>
      <c r="D57" s="157">
        <v>427113</v>
      </c>
      <c r="E57" s="157">
        <f t="shared" si="0"/>
        <v>31870</v>
      </c>
      <c r="F57" s="161">
        <f t="shared" si="1"/>
        <v>8.0633939120996451E-2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3629051</v>
      </c>
      <c r="D59" s="158">
        <f>SUM(D53:D58)</f>
        <v>3439162</v>
      </c>
      <c r="E59" s="158">
        <f t="shared" si="0"/>
        <v>-189889</v>
      </c>
      <c r="F59" s="159">
        <f t="shared" si="1"/>
        <v>-5.2324698660889582E-2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255252</v>
      </c>
      <c r="D62" s="157">
        <v>256296</v>
      </c>
      <c r="E62" s="157">
        <f t="shared" ref="E62:E90" si="2">+D62-C62</f>
        <v>1044</v>
      </c>
      <c r="F62" s="161">
        <f t="shared" ref="F62:F90" si="3">IF(C62=0,0,E62/C62)</f>
        <v>4.0900756899064456E-3</v>
      </c>
    </row>
    <row r="63" spans="1:6" ht="15" customHeight="1" x14ac:dyDescent="0.2">
      <c r="A63" s="147">
        <v>2</v>
      </c>
      <c r="B63" s="160" t="s">
        <v>198</v>
      </c>
      <c r="C63" s="157">
        <v>238870</v>
      </c>
      <c r="D63" s="157">
        <v>259177</v>
      </c>
      <c r="E63" s="157">
        <f t="shared" si="2"/>
        <v>20307</v>
      </c>
      <c r="F63" s="161">
        <f t="shared" si="3"/>
        <v>8.5012768451458956E-2</v>
      </c>
    </row>
    <row r="64" spans="1:6" ht="15" customHeight="1" x14ac:dyDescent="0.2">
      <c r="A64" s="147">
        <v>3</v>
      </c>
      <c r="B64" s="160" t="s">
        <v>199</v>
      </c>
      <c r="C64" s="157">
        <v>3791245</v>
      </c>
      <c r="D64" s="157">
        <v>892001</v>
      </c>
      <c r="E64" s="157">
        <f t="shared" si="2"/>
        <v>-2899244</v>
      </c>
      <c r="F64" s="161">
        <f t="shared" si="3"/>
        <v>-0.76472082389821816</v>
      </c>
    </row>
    <row r="65" spans="1:6" ht="15" customHeight="1" x14ac:dyDescent="0.2">
      <c r="A65" s="147">
        <v>4</v>
      </c>
      <c r="B65" s="160" t="s">
        <v>200</v>
      </c>
      <c r="C65" s="157">
        <v>349945</v>
      </c>
      <c r="D65" s="157">
        <v>378104</v>
      </c>
      <c r="E65" s="157">
        <f t="shared" si="2"/>
        <v>28159</v>
      </c>
      <c r="F65" s="161">
        <f t="shared" si="3"/>
        <v>8.0466930517652774E-2</v>
      </c>
    </row>
    <row r="66" spans="1:6" ht="15" customHeight="1" x14ac:dyDescent="0.2">
      <c r="A66" s="147">
        <v>5</v>
      </c>
      <c r="B66" s="160" t="s">
        <v>201</v>
      </c>
      <c r="C66" s="157">
        <v>1151458</v>
      </c>
      <c r="D66" s="157">
        <v>1366399</v>
      </c>
      <c r="E66" s="157">
        <f t="shared" si="2"/>
        <v>214941</v>
      </c>
      <c r="F66" s="161">
        <f t="shared" si="3"/>
        <v>0.18666855412876546</v>
      </c>
    </row>
    <row r="67" spans="1:6" ht="15" customHeight="1" x14ac:dyDescent="0.2">
      <c r="A67" s="147">
        <v>6</v>
      </c>
      <c r="B67" s="160" t="s">
        <v>202</v>
      </c>
      <c r="C67" s="157">
        <v>313890</v>
      </c>
      <c r="D67" s="157">
        <v>329676</v>
      </c>
      <c r="E67" s="157">
        <f t="shared" si="2"/>
        <v>15786</v>
      </c>
      <c r="F67" s="161">
        <f t="shared" si="3"/>
        <v>5.0291503392908346E-2</v>
      </c>
    </row>
    <row r="68" spans="1:6" ht="15" customHeight="1" x14ac:dyDescent="0.2">
      <c r="A68" s="147">
        <v>7</v>
      </c>
      <c r="B68" s="160" t="s">
        <v>203</v>
      </c>
      <c r="C68" s="157">
        <v>2960425</v>
      </c>
      <c r="D68" s="157">
        <v>2827860</v>
      </c>
      <c r="E68" s="157">
        <f t="shared" si="2"/>
        <v>-132565</v>
      </c>
      <c r="F68" s="161">
        <f t="shared" si="3"/>
        <v>-4.477904354949036E-2</v>
      </c>
    </row>
    <row r="69" spans="1:6" ht="15" customHeight="1" x14ac:dyDescent="0.2">
      <c r="A69" s="147">
        <v>8</v>
      </c>
      <c r="B69" s="160" t="s">
        <v>204</v>
      </c>
      <c r="C69" s="157">
        <v>241238</v>
      </c>
      <c r="D69" s="157">
        <v>302696</v>
      </c>
      <c r="E69" s="157">
        <f t="shared" si="2"/>
        <v>61458</v>
      </c>
      <c r="F69" s="161">
        <f t="shared" si="3"/>
        <v>0.25476085857120356</v>
      </c>
    </row>
    <row r="70" spans="1:6" ht="15" customHeight="1" x14ac:dyDescent="0.2">
      <c r="A70" s="147">
        <v>9</v>
      </c>
      <c r="B70" s="160" t="s">
        <v>205</v>
      </c>
      <c r="C70" s="157">
        <v>348787</v>
      </c>
      <c r="D70" s="157">
        <v>190183</v>
      </c>
      <c r="E70" s="157">
        <f t="shared" si="2"/>
        <v>-158604</v>
      </c>
      <c r="F70" s="161">
        <f t="shared" si="3"/>
        <v>-0.45473025084077101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160265</v>
      </c>
      <c r="D72" s="157">
        <v>181520</v>
      </c>
      <c r="E72" s="157">
        <f t="shared" si="2"/>
        <v>21255</v>
      </c>
      <c r="F72" s="161">
        <f t="shared" si="3"/>
        <v>0.1326240913487037</v>
      </c>
    </row>
    <row r="73" spans="1:6" ht="15" customHeight="1" x14ac:dyDescent="0.2">
      <c r="A73" s="147">
        <v>12</v>
      </c>
      <c r="B73" s="160" t="s">
        <v>208</v>
      </c>
      <c r="C73" s="157">
        <v>714766</v>
      </c>
      <c r="D73" s="157">
        <v>714447</v>
      </c>
      <c r="E73" s="157">
        <f t="shared" si="2"/>
        <v>-319</v>
      </c>
      <c r="F73" s="161">
        <f t="shared" si="3"/>
        <v>-4.4629990794189988E-4</v>
      </c>
    </row>
    <row r="74" spans="1:6" ht="15" customHeight="1" x14ac:dyDescent="0.2">
      <c r="A74" s="147">
        <v>13</v>
      </c>
      <c r="B74" s="160" t="s">
        <v>209</v>
      </c>
      <c r="C74" s="157">
        <v>693794</v>
      </c>
      <c r="D74" s="157">
        <v>768102</v>
      </c>
      <c r="E74" s="157">
        <f t="shared" si="2"/>
        <v>74308</v>
      </c>
      <c r="F74" s="161">
        <f t="shared" si="3"/>
        <v>0.10710383773857947</v>
      </c>
    </row>
    <row r="75" spans="1:6" ht="15" customHeight="1" x14ac:dyDescent="0.2">
      <c r="A75" s="147">
        <v>14</v>
      </c>
      <c r="B75" s="160" t="s">
        <v>210</v>
      </c>
      <c r="C75" s="157">
        <v>109952</v>
      </c>
      <c r="D75" s="157">
        <v>129728</v>
      </c>
      <c r="E75" s="157">
        <f t="shared" si="2"/>
        <v>19776</v>
      </c>
      <c r="F75" s="161">
        <f t="shared" si="3"/>
        <v>0.179860302677532</v>
      </c>
    </row>
    <row r="76" spans="1:6" ht="15" customHeight="1" x14ac:dyDescent="0.2">
      <c r="A76" s="147">
        <v>15</v>
      </c>
      <c r="B76" s="160" t="s">
        <v>211</v>
      </c>
      <c r="C76" s="157">
        <v>619946</v>
      </c>
      <c r="D76" s="157">
        <v>527046</v>
      </c>
      <c r="E76" s="157">
        <f t="shared" si="2"/>
        <v>-92900</v>
      </c>
      <c r="F76" s="161">
        <f t="shared" si="3"/>
        <v>-0.14985176128243427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932137</v>
      </c>
      <c r="D78" s="157">
        <v>1222726</v>
      </c>
      <c r="E78" s="157">
        <f t="shared" si="2"/>
        <v>290589</v>
      </c>
      <c r="F78" s="161">
        <f t="shared" si="3"/>
        <v>0.31174494736288766</v>
      </c>
    </row>
    <row r="79" spans="1:6" ht="15" customHeight="1" x14ac:dyDescent="0.2">
      <c r="A79" s="147">
        <v>18</v>
      </c>
      <c r="B79" s="160" t="s">
        <v>214</v>
      </c>
      <c r="C79" s="157">
        <v>98224</v>
      </c>
      <c r="D79" s="157">
        <v>76609</v>
      </c>
      <c r="E79" s="157">
        <f t="shared" si="2"/>
        <v>-21615</v>
      </c>
      <c r="F79" s="161">
        <f t="shared" si="3"/>
        <v>-0.22005823424010426</v>
      </c>
    </row>
    <row r="80" spans="1:6" ht="15" customHeight="1" x14ac:dyDescent="0.2">
      <c r="A80" s="147">
        <v>19</v>
      </c>
      <c r="B80" s="160" t="s">
        <v>215</v>
      </c>
      <c r="C80" s="157">
        <v>2093394</v>
      </c>
      <c r="D80" s="157">
        <v>2087887</v>
      </c>
      <c r="E80" s="157">
        <f t="shared" si="2"/>
        <v>-5507</v>
      </c>
      <c r="F80" s="161">
        <f t="shared" si="3"/>
        <v>-2.630656245312636E-3</v>
      </c>
    </row>
    <row r="81" spans="1:6" ht="15" customHeight="1" x14ac:dyDescent="0.2">
      <c r="A81" s="147">
        <v>20</v>
      </c>
      <c r="B81" s="160" t="s">
        <v>216</v>
      </c>
      <c r="C81" s="157">
        <v>1741313</v>
      </c>
      <c r="D81" s="157">
        <v>1496835</v>
      </c>
      <c r="E81" s="157">
        <f t="shared" si="2"/>
        <v>-244478</v>
      </c>
      <c r="F81" s="161">
        <f t="shared" si="3"/>
        <v>-0.14039865320020009</v>
      </c>
    </row>
    <row r="82" spans="1:6" ht="15" customHeight="1" x14ac:dyDescent="0.2">
      <c r="A82" s="147">
        <v>21</v>
      </c>
      <c r="B82" s="160" t="s">
        <v>217</v>
      </c>
      <c r="C82" s="157">
        <v>894327</v>
      </c>
      <c r="D82" s="157">
        <v>832352</v>
      </c>
      <c r="E82" s="157">
        <f t="shared" si="2"/>
        <v>-61975</v>
      </c>
      <c r="F82" s="161">
        <f t="shared" si="3"/>
        <v>-6.9297918993835583E-2</v>
      </c>
    </row>
    <row r="83" spans="1:6" ht="15" customHeight="1" x14ac:dyDescent="0.2">
      <c r="A83" s="147">
        <v>22</v>
      </c>
      <c r="B83" s="160" t="s">
        <v>218</v>
      </c>
      <c r="C83" s="157">
        <v>194088</v>
      </c>
      <c r="D83" s="157">
        <v>125732</v>
      </c>
      <c r="E83" s="157">
        <f t="shared" si="2"/>
        <v>-68356</v>
      </c>
      <c r="F83" s="161">
        <f t="shared" si="3"/>
        <v>-0.35219075883104572</v>
      </c>
    </row>
    <row r="84" spans="1:6" ht="15" customHeight="1" x14ac:dyDescent="0.2">
      <c r="A84" s="147">
        <v>23</v>
      </c>
      <c r="B84" s="160" t="s">
        <v>219</v>
      </c>
      <c r="C84" s="157">
        <v>624687</v>
      </c>
      <c r="D84" s="157">
        <v>586778</v>
      </c>
      <c r="E84" s="157">
        <f t="shared" si="2"/>
        <v>-37909</v>
      </c>
      <c r="F84" s="161">
        <f t="shared" si="3"/>
        <v>-6.0684790943304409E-2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152182</v>
      </c>
      <c r="D86" s="157">
        <v>147007</v>
      </c>
      <c r="E86" s="157">
        <f t="shared" si="2"/>
        <v>-5175</v>
      </c>
      <c r="F86" s="161">
        <f t="shared" si="3"/>
        <v>-3.4005335716444783E-2</v>
      </c>
    </row>
    <row r="87" spans="1:6" ht="15" customHeight="1" x14ac:dyDescent="0.2">
      <c r="A87" s="147">
        <v>26</v>
      </c>
      <c r="B87" s="160" t="s">
        <v>222</v>
      </c>
      <c r="C87" s="157">
        <v>1221260</v>
      </c>
      <c r="D87" s="157">
        <v>1180464</v>
      </c>
      <c r="E87" s="157">
        <f t="shared" si="2"/>
        <v>-40796</v>
      </c>
      <c r="F87" s="161">
        <f t="shared" si="3"/>
        <v>-3.340484417732506E-2</v>
      </c>
    </row>
    <row r="88" spans="1:6" ht="15" customHeight="1" x14ac:dyDescent="0.2">
      <c r="A88" s="147">
        <v>27</v>
      </c>
      <c r="B88" s="160" t="s">
        <v>223</v>
      </c>
      <c r="C88" s="157">
        <v>1755199</v>
      </c>
      <c r="D88" s="157">
        <v>1563240</v>
      </c>
      <c r="E88" s="157">
        <f t="shared" si="2"/>
        <v>-191959</v>
      </c>
      <c r="F88" s="161">
        <f t="shared" si="3"/>
        <v>-0.10936594653939524</v>
      </c>
    </row>
    <row r="89" spans="1:6" ht="15" customHeight="1" x14ac:dyDescent="0.2">
      <c r="A89" s="147">
        <v>28</v>
      </c>
      <c r="B89" s="160" t="s">
        <v>224</v>
      </c>
      <c r="C89" s="157">
        <v>1648924</v>
      </c>
      <c r="D89" s="157">
        <v>1657590</v>
      </c>
      <c r="E89" s="157">
        <f t="shared" si="2"/>
        <v>8666</v>
      </c>
      <c r="F89" s="161">
        <f t="shared" si="3"/>
        <v>5.2555484667577163E-3</v>
      </c>
    </row>
    <row r="90" spans="1:6" ht="15.75" customHeight="1" x14ac:dyDescent="0.25">
      <c r="A90" s="147"/>
      <c r="B90" s="162" t="s">
        <v>225</v>
      </c>
      <c r="C90" s="158">
        <f>SUM(C62:C89)</f>
        <v>23305568</v>
      </c>
      <c r="D90" s="158">
        <f>SUM(D62:D89)</f>
        <v>20100455</v>
      </c>
      <c r="E90" s="158">
        <f t="shared" si="2"/>
        <v>-3205113</v>
      </c>
      <c r="F90" s="159">
        <f t="shared" si="3"/>
        <v>-0.13752563335937576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34</v>
      </c>
      <c r="E93" s="157">
        <f>+D93-C93</f>
        <v>34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129115712</v>
      </c>
      <c r="D95" s="158">
        <f>+D93+D90+D59+D50+D47+D44+D41+D35+D30+D24+D18</f>
        <v>127376540</v>
      </c>
      <c r="E95" s="158">
        <f>+D95-C95</f>
        <v>-1739172</v>
      </c>
      <c r="F95" s="159">
        <f>IF(C95=0,0,E95/C95)</f>
        <v>-1.3469871118396497E-2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7196252</v>
      </c>
      <c r="D103" s="157">
        <v>4017957</v>
      </c>
      <c r="E103" s="157">
        <f t="shared" ref="E103:E121" si="4">D103-C103</f>
        <v>-3178295</v>
      </c>
      <c r="F103" s="161">
        <f t="shared" ref="F103:F121" si="5">IF(C103=0,0,E103/C103)</f>
        <v>-0.44165976955781983</v>
      </c>
    </row>
    <row r="104" spans="1:6" ht="15" customHeight="1" x14ac:dyDescent="0.2">
      <c r="A104" s="147">
        <v>2</v>
      </c>
      <c r="B104" s="169" t="s">
        <v>234</v>
      </c>
      <c r="C104" s="157">
        <v>1119661</v>
      </c>
      <c r="D104" s="157">
        <v>1135614</v>
      </c>
      <c r="E104" s="157">
        <f t="shared" si="4"/>
        <v>15953</v>
      </c>
      <c r="F104" s="161">
        <f t="shared" si="5"/>
        <v>1.4248062583228317E-2</v>
      </c>
    </row>
    <row r="105" spans="1:6" ht="15" customHeight="1" x14ac:dyDescent="0.2">
      <c r="A105" s="147">
        <v>3</v>
      </c>
      <c r="B105" s="169" t="s">
        <v>235</v>
      </c>
      <c r="C105" s="157">
        <v>1941186</v>
      </c>
      <c r="D105" s="157">
        <v>1744858</v>
      </c>
      <c r="E105" s="157">
        <f t="shared" si="4"/>
        <v>-196328</v>
      </c>
      <c r="F105" s="161">
        <f t="shared" si="5"/>
        <v>-0.10113817017019493</v>
      </c>
    </row>
    <row r="106" spans="1:6" ht="15" customHeight="1" x14ac:dyDescent="0.2">
      <c r="A106" s="147">
        <v>4</v>
      </c>
      <c r="B106" s="169" t="s">
        <v>236</v>
      </c>
      <c r="C106" s="157">
        <v>1043479</v>
      </c>
      <c r="D106" s="157">
        <v>1071532</v>
      </c>
      <c r="E106" s="157">
        <f t="shared" si="4"/>
        <v>28053</v>
      </c>
      <c r="F106" s="161">
        <f t="shared" si="5"/>
        <v>2.6884105957091613E-2</v>
      </c>
    </row>
    <row r="107" spans="1:6" ht="15" customHeight="1" x14ac:dyDescent="0.2">
      <c r="A107" s="147">
        <v>5</v>
      </c>
      <c r="B107" s="169" t="s">
        <v>237</v>
      </c>
      <c r="C107" s="157">
        <v>1959685</v>
      </c>
      <c r="D107" s="157">
        <v>2330802</v>
      </c>
      <c r="E107" s="157">
        <f t="shared" si="4"/>
        <v>371117</v>
      </c>
      <c r="F107" s="161">
        <f t="shared" si="5"/>
        <v>0.18937584356669568</v>
      </c>
    </row>
    <row r="108" spans="1:6" ht="15" customHeight="1" x14ac:dyDescent="0.2">
      <c r="A108" s="147">
        <v>6</v>
      </c>
      <c r="B108" s="169" t="s">
        <v>238</v>
      </c>
      <c r="C108" s="157">
        <v>1362</v>
      </c>
      <c r="D108" s="157">
        <v>95</v>
      </c>
      <c r="E108" s="157">
        <f t="shared" si="4"/>
        <v>-1267</v>
      </c>
      <c r="F108" s="161">
        <f t="shared" si="5"/>
        <v>-0.93024963289280471</v>
      </c>
    </row>
    <row r="109" spans="1:6" ht="15" customHeight="1" x14ac:dyDescent="0.2">
      <c r="A109" s="147">
        <v>7</v>
      </c>
      <c r="B109" s="169" t="s">
        <v>239</v>
      </c>
      <c r="C109" s="157">
        <v>930523</v>
      </c>
      <c r="D109" s="157">
        <v>1353676</v>
      </c>
      <c r="E109" s="157">
        <f t="shared" si="4"/>
        <v>423153</v>
      </c>
      <c r="F109" s="161">
        <f t="shared" si="5"/>
        <v>0.45474749146447752</v>
      </c>
    </row>
    <row r="110" spans="1:6" ht="15" customHeight="1" x14ac:dyDescent="0.2">
      <c r="A110" s="147">
        <v>8</v>
      </c>
      <c r="B110" s="169" t="s">
        <v>240</v>
      </c>
      <c r="C110" s="157">
        <v>1089905</v>
      </c>
      <c r="D110" s="157">
        <v>1103783</v>
      </c>
      <c r="E110" s="157">
        <f t="shared" si="4"/>
        <v>13878</v>
      </c>
      <c r="F110" s="161">
        <f t="shared" si="5"/>
        <v>1.2733219867786642E-2</v>
      </c>
    </row>
    <row r="111" spans="1:6" ht="15" customHeight="1" x14ac:dyDescent="0.2">
      <c r="A111" s="147">
        <v>9</v>
      </c>
      <c r="B111" s="169" t="s">
        <v>241</v>
      </c>
      <c r="C111" s="157">
        <v>395166</v>
      </c>
      <c r="D111" s="157">
        <v>421412</v>
      </c>
      <c r="E111" s="157">
        <f t="shared" si="4"/>
        <v>26246</v>
      </c>
      <c r="F111" s="161">
        <f t="shared" si="5"/>
        <v>6.6417657389552742E-2</v>
      </c>
    </row>
    <row r="112" spans="1:6" ht="15" customHeight="1" x14ac:dyDescent="0.2">
      <c r="A112" s="147">
        <v>10</v>
      </c>
      <c r="B112" s="169" t="s">
        <v>242</v>
      </c>
      <c r="C112" s="157">
        <v>3444252</v>
      </c>
      <c r="D112" s="157">
        <v>3453411</v>
      </c>
      <c r="E112" s="157">
        <f t="shared" si="4"/>
        <v>9159</v>
      </c>
      <c r="F112" s="161">
        <f t="shared" si="5"/>
        <v>2.6592130889377431E-3</v>
      </c>
    </row>
    <row r="113" spans="1:6" ht="15" customHeight="1" x14ac:dyDescent="0.2">
      <c r="A113" s="147">
        <v>11</v>
      </c>
      <c r="B113" s="169" t="s">
        <v>243</v>
      </c>
      <c r="C113" s="157">
        <v>1909001</v>
      </c>
      <c r="D113" s="157">
        <v>2055893</v>
      </c>
      <c r="E113" s="157">
        <f t="shared" si="4"/>
        <v>146892</v>
      </c>
      <c r="F113" s="161">
        <f t="shared" si="5"/>
        <v>7.6947052411182604E-2</v>
      </c>
    </row>
    <row r="114" spans="1:6" ht="15" customHeight="1" x14ac:dyDescent="0.2">
      <c r="A114" s="147">
        <v>12</v>
      </c>
      <c r="B114" s="169" t="s">
        <v>244</v>
      </c>
      <c r="C114" s="157">
        <v>476434</v>
      </c>
      <c r="D114" s="157">
        <v>441214</v>
      </c>
      <c r="E114" s="157">
        <f t="shared" si="4"/>
        <v>-35220</v>
      </c>
      <c r="F114" s="161">
        <f t="shared" si="5"/>
        <v>-7.3924195166591808E-2</v>
      </c>
    </row>
    <row r="115" spans="1:6" ht="15" customHeight="1" x14ac:dyDescent="0.2">
      <c r="A115" s="147">
        <v>13</v>
      </c>
      <c r="B115" s="169" t="s">
        <v>245</v>
      </c>
      <c r="C115" s="157">
        <v>5276967</v>
      </c>
      <c r="D115" s="157">
        <v>4867013</v>
      </c>
      <c r="E115" s="157">
        <f t="shared" si="4"/>
        <v>-409954</v>
      </c>
      <c r="F115" s="161">
        <f t="shared" si="5"/>
        <v>-7.7687429161486132E-2</v>
      </c>
    </row>
    <row r="116" spans="1:6" ht="15" customHeight="1" x14ac:dyDescent="0.2">
      <c r="A116" s="147">
        <v>14</v>
      </c>
      <c r="B116" s="169" t="s">
        <v>246</v>
      </c>
      <c r="C116" s="157">
        <v>648379</v>
      </c>
      <c r="D116" s="157">
        <v>697289</v>
      </c>
      <c r="E116" s="157">
        <f t="shared" si="4"/>
        <v>48910</v>
      </c>
      <c r="F116" s="161">
        <f t="shared" si="5"/>
        <v>7.5434275323537622E-2</v>
      </c>
    </row>
    <row r="117" spans="1:6" ht="15" customHeight="1" x14ac:dyDescent="0.2">
      <c r="A117" s="147">
        <v>15</v>
      </c>
      <c r="B117" s="169" t="s">
        <v>203</v>
      </c>
      <c r="C117" s="157">
        <v>273554</v>
      </c>
      <c r="D117" s="157">
        <v>252389</v>
      </c>
      <c r="E117" s="157">
        <f t="shared" si="4"/>
        <v>-21165</v>
      </c>
      <c r="F117" s="161">
        <f t="shared" si="5"/>
        <v>-7.7370464332453551E-2</v>
      </c>
    </row>
    <row r="118" spans="1:6" ht="15" customHeight="1" x14ac:dyDescent="0.2">
      <c r="A118" s="147">
        <v>16</v>
      </c>
      <c r="B118" s="169" t="s">
        <v>247</v>
      </c>
      <c r="C118" s="157">
        <v>528606</v>
      </c>
      <c r="D118" s="157">
        <v>558945</v>
      </c>
      <c r="E118" s="157">
        <f t="shared" si="4"/>
        <v>30339</v>
      </c>
      <c r="F118" s="161">
        <f t="shared" si="5"/>
        <v>5.7394354207103211E-2</v>
      </c>
    </row>
    <row r="119" spans="1:6" ht="15" customHeight="1" x14ac:dyDescent="0.2">
      <c r="A119" s="147">
        <v>17</v>
      </c>
      <c r="B119" s="169" t="s">
        <v>248</v>
      </c>
      <c r="C119" s="157">
        <v>5240062</v>
      </c>
      <c r="D119" s="157">
        <v>5757793</v>
      </c>
      <c r="E119" s="157">
        <f t="shared" si="4"/>
        <v>517731</v>
      </c>
      <c r="F119" s="161">
        <f t="shared" si="5"/>
        <v>9.8802456917494494E-2</v>
      </c>
    </row>
    <row r="120" spans="1:6" ht="15" customHeight="1" x14ac:dyDescent="0.2">
      <c r="A120" s="147">
        <v>18</v>
      </c>
      <c r="B120" s="169" t="s">
        <v>249</v>
      </c>
      <c r="C120" s="157">
        <v>32642197</v>
      </c>
      <c r="D120" s="157">
        <v>33855854</v>
      </c>
      <c r="E120" s="157">
        <f t="shared" si="4"/>
        <v>1213657</v>
      </c>
      <c r="F120" s="161">
        <f t="shared" si="5"/>
        <v>3.7180616243447095E-2</v>
      </c>
    </row>
    <row r="121" spans="1:6" ht="15.75" customHeight="1" x14ac:dyDescent="0.25">
      <c r="A121" s="147"/>
      <c r="B121" s="165" t="s">
        <v>250</v>
      </c>
      <c r="C121" s="158">
        <f>SUM(C103:C120)</f>
        <v>66116671</v>
      </c>
      <c r="D121" s="158">
        <f>SUM(D103:D120)</f>
        <v>65119530</v>
      </c>
      <c r="E121" s="158">
        <f t="shared" si="4"/>
        <v>-997141</v>
      </c>
      <c r="F121" s="159">
        <f t="shared" si="5"/>
        <v>-1.5081536697454111E-2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615513</v>
      </c>
      <c r="D124" s="157">
        <v>615133</v>
      </c>
      <c r="E124" s="157">
        <f t="shared" ref="E124:E130" si="6">D124-C124</f>
        <v>-380</v>
      </c>
      <c r="F124" s="161">
        <f t="shared" ref="F124:F130" si="7">IF(C124=0,0,E124/C124)</f>
        <v>-6.1737120093320532E-4</v>
      </c>
    </row>
    <row r="125" spans="1:6" ht="15" customHeight="1" x14ac:dyDescent="0.2">
      <c r="A125" s="147">
        <v>2</v>
      </c>
      <c r="B125" s="169" t="s">
        <v>253</v>
      </c>
      <c r="C125" s="157">
        <v>2670214</v>
      </c>
      <c r="D125" s="157">
        <v>2700134</v>
      </c>
      <c r="E125" s="157">
        <f t="shared" si="6"/>
        <v>29920</v>
      </c>
      <c r="F125" s="161">
        <f t="shared" si="7"/>
        <v>1.1205094423143613E-2</v>
      </c>
    </row>
    <row r="126" spans="1:6" ht="15" customHeight="1" x14ac:dyDescent="0.2">
      <c r="A126" s="147">
        <v>3</v>
      </c>
      <c r="B126" s="169" t="s">
        <v>254</v>
      </c>
      <c r="C126" s="157">
        <v>736599</v>
      </c>
      <c r="D126" s="157">
        <v>733743</v>
      </c>
      <c r="E126" s="157">
        <f t="shared" si="6"/>
        <v>-2856</v>
      </c>
      <c r="F126" s="161">
        <f t="shared" si="7"/>
        <v>-3.8772792251957986E-3</v>
      </c>
    </row>
    <row r="127" spans="1:6" ht="15" customHeight="1" x14ac:dyDescent="0.2">
      <c r="A127" s="147">
        <v>4</v>
      </c>
      <c r="B127" s="169" t="s">
        <v>255</v>
      </c>
      <c r="C127" s="157">
        <v>1666124</v>
      </c>
      <c r="D127" s="157">
        <v>1745258</v>
      </c>
      <c r="E127" s="157">
        <f t="shared" si="6"/>
        <v>79134</v>
      </c>
      <c r="F127" s="161">
        <f t="shared" si="7"/>
        <v>4.7495864653531193E-2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1809664</v>
      </c>
      <c r="D129" s="157">
        <v>2001085</v>
      </c>
      <c r="E129" s="157">
        <f t="shared" si="6"/>
        <v>191421</v>
      </c>
      <c r="F129" s="161">
        <f t="shared" si="7"/>
        <v>0.1057770945324657</v>
      </c>
    </row>
    <row r="130" spans="1:6" ht="15.75" customHeight="1" x14ac:dyDescent="0.25">
      <c r="A130" s="147"/>
      <c r="B130" s="165" t="s">
        <v>258</v>
      </c>
      <c r="C130" s="158">
        <f>SUM(C124:C129)</f>
        <v>7498114</v>
      </c>
      <c r="D130" s="158">
        <f>SUM(D124:D129)</f>
        <v>7795353</v>
      </c>
      <c r="E130" s="158">
        <f t="shared" si="6"/>
        <v>297239</v>
      </c>
      <c r="F130" s="159">
        <f t="shared" si="7"/>
        <v>3.9641835266841771E-2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9860638</v>
      </c>
      <c r="D133" s="157">
        <v>10254147</v>
      </c>
      <c r="E133" s="157">
        <f t="shared" ref="E133:E167" si="8">D133-C133</f>
        <v>393509</v>
      </c>
      <c r="F133" s="161">
        <f t="shared" ref="F133:F167" si="9">IF(C133=0,0,E133/C133)</f>
        <v>3.9907052667383189E-2</v>
      </c>
    </row>
    <row r="134" spans="1:6" ht="15" customHeight="1" x14ac:dyDescent="0.2">
      <c r="A134" s="147">
        <v>2</v>
      </c>
      <c r="B134" s="169" t="s">
        <v>261</v>
      </c>
      <c r="C134" s="157">
        <v>556059</v>
      </c>
      <c r="D134" s="157">
        <v>488258</v>
      </c>
      <c r="E134" s="157">
        <f t="shared" si="8"/>
        <v>-67801</v>
      </c>
      <c r="F134" s="161">
        <f t="shared" si="9"/>
        <v>-0.12193130585063815</v>
      </c>
    </row>
    <row r="135" spans="1:6" ht="15" customHeight="1" x14ac:dyDescent="0.2">
      <c r="A135" s="147">
        <v>3</v>
      </c>
      <c r="B135" s="169" t="s">
        <v>262</v>
      </c>
      <c r="C135" s="157">
        <v>505535</v>
      </c>
      <c r="D135" s="157">
        <v>609035</v>
      </c>
      <c r="E135" s="157">
        <f t="shared" si="8"/>
        <v>103500</v>
      </c>
      <c r="F135" s="161">
        <f t="shared" si="9"/>
        <v>0.20473359905842325</v>
      </c>
    </row>
    <row r="136" spans="1:6" ht="15" customHeight="1" x14ac:dyDescent="0.2">
      <c r="A136" s="147">
        <v>4</v>
      </c>
      <c r="B136" s="169" t="s">
        <v>263</v>
      </c>
      <c r="C136" s="157">
        <v>97021</v>
      </c>
      <c r="D136" s="157">
        <v>96417</v>
      </c>
      <c r="E136" s="157">
        <f t="shared" si="8"/>
        <v>-604</v>
      </c>
      <c r="F136" s="161">
        <f t="shared" si="9"/>
        <v>-6.2254563445027361E-3</v>
      </c>
    </row>
    <row r="137" spans="1:6" ht="15" customHeight="1" x14ac:dyDescent="0.2">
      <c r="A137" s="147">
        <v>5</v>
      </c>
      <c r="B137" s="169" t="s">
        <v>264</v>
      </c>
      <c r="C137" s="157">
        <v>3246816</v>
      </c>
      <c r="D137" s="157">
        <v>3085559</v>
      </c>
      <c r="E137" s="157">
        <f t="shared" si="8"/>
        <v>-161257</v>
      </c>
      <c r="F137" s="161">
        <f t="shared" si="9"/>
        <v>-4.9666196051762715E-2</v>
      </c>
    </row>
    <row r="138" spans="1:6" ht="15" customHeight="1" x14ac:dyDescent="0.2">
      <c r="A138" s="147">
        <v>6</v>
      </c>
      <c r="B138" s="169" t="s">
        <v>265</v>
      </c>
      <c r="C138" s="157">
        <v>577339</v>
      </c>
      <c r="D138" s="157">
        <v>552885</v>
      </c>
      <c r="E138" s="157">
        <f t="shared" si="8"/>
        <v>-24454</v>
      </c>
      <c r="F138" s="161">
        <f t="shared" si="9"/>
        <v>-4.2356397194715754E-2</v>
      </c>
    </row>
    <row r="139" spans="1:6" ht="15" customHeight="1" x14ac:dyDescent="0.2">
      <c r="A139" s="147">
        <v>7</v>
      </c>
      <c r="B139" s="169" t="s">
        <v>266</v>
      </c>
      <c r="C139" s="157">
        <v>1501734</v>
      </c>
      <c r="D139" s="157">
        <v>1429833</v>
      </c>
      <c r="E139" s="157">
        <f t="shared" si="8"/>
        <v>-71901</v>
      </c>
      <c r="F139" s="161">
        <f t="shared" si="9"/>
        <v>-4.7878652277966671E-2</v>
      </c>
    </row>
    <row r="140" spans="1:6" ht="15" customHeight="1" x14ac:dyDescent="0.2">
      <c r="A140" s="147">
        <v>8</v>
      </c>
      <c r="B140" s="169" t="s">
        <v>267</v>
      </c>
      <c r="C140" s="157">
        <v>376938</v>
      </c>
      <c r="D140" s="157">
        <v>348996</v>
      </c>
      <c r="E140" s="157">
        <f t="shared" si="8"/>
        <v>-27942</v>
      </c>
      <c r="F140" s="161">
        <f t="shared" si="9"/>
        <v>-7.4128901835315092E-2</v>
      </c>
    </row>
    <row r="141" spans="1:6" ht="15" customHeight="1" x14ac:dyDescent="0.2">
      <c r="A141" s="147">
        <v>9</v>
      </c>
      <c r="B141" s="169" t="s">
        <v>268</v>
      </c>
      <c r="C141" s="157">
        <v>930892</v>
      </c>
      <c r="D141" s="157">
        <v>877114</v>
      </c>
      <c r="E141" s="157">
        <f t="shared" si="8"/>
        <v>-53778</v>
      </c>
      <c r="F141" s="161">
        <f t="shared" si="9"/>
        <v>-5.7770396565874453E-2</v>
      </c>
    </row>
    <row r="142" spans="1:6" ht="15" customHeight="1" x14ac:dyDescent="0.2">
      <c r="A142" s="147">
        <v>10</v>
      </c>
      <c r="B142" s="169" t="s">
        <v>269</v>
      </c>
      <c r="C142" s="157">
        <v>7603480</v>
      </c>
      <c r="D142" s="157">
        <v>7282191</v>
      </c>
      <c r="E142" s="157">
        <f t="shared" si="8"/>
        <v>-321289</v>
      </c>
      <c r="F142" s="161">
        <f t="shared" si="9"/>
        <v>-4.2255519840914947E-2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786157</v>
      </c>
      <c r="D144" s="157">
        <v>733279</v>
      </c>
      <c r="E144" s="157">
        <f t="shared" si="8"/>
        <v>-52878</v>
      </c>
      <c r="F144" s="161">
        <f t="shared" si="9"/>
        <v>-6.7261374000358712E-2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48455</v>
      </c>
      <c r="D146" s="157">
        <v>49276</v>
      </c>
      <c r="E146" s="157">
        <f t="shared" si="8"/>
        <v>821</v>
      </c>
      <c r="F146" s="161">
        <f t="shared" si="9"/>
        <v>1.6943555876586525E-2</v>
      </c>
    </row>
    <row r="147" spans="1:6" ht="15" customHeight="1" x14ac:dyDescent="0.2">
      <c r="A147" s="147">
        <v>15</v>
      </c>
      <c r="B147" s="169" t="s">
        <v>274</v>
      </c>
      <c r="C147" s="157">
        <v>1070321</v>
      </c>
      <c r="D147" s="157">
        <v>1018763</v>
      </c>
      <c r="E147" s="157">
        <f t="shared" si="8"/>
        <v>-51558</v>
      </c>
      <c r="F147" s="161">
        <f t="shared" si="9"/>
        <v>-4.8170595550306873E-2</v>
      </c>
    </row>
    <row r="148" spans="1:6" ht="15" customHeight="1" x14ac:dyDescent="0.2">
      <c r="A148" s="147">
        <v>16</v>
      </c>
      <c r="B148" s="169" t="s">
        <v>275</v>
      </c>
      <c r="C148" s="157">
        <v>71456</v>
      </c>
      <c r="D148" s="157">
        <v>85719</v>
      </c>
      <c r="E148" s="157">
        <f t="shared" si="8"/>
        <v>14263</v>
      </c>
      <c r="F148" s="161">
        <f t="shared" si="9"/>
        <v>0.19960535154500672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926415</v>
      </c>
      <c r="D150" s="157">
        <v>937054</v>
      </c>
      <c r="E150" s="157">
        <f t="shared" si="8"/>
        <v>10639</v>
      </c>
      <c r="F150" s="161">
        <f t="shared" si="9"/>
        <v>1.1484054122612436E-2</v>
      </c>
    </row>
    <row r="151" spans="1:6" ht="15" customHeight="1" x14ac:dyDescent="0.2">
      <c r="A151" s="147">
        <v>19</v>
      </c>
      <c r="B151" s="169" t="s">
        <v>278</v>
      </c>
      <c r="C151" s="157">
        <v>229659</v>
      </c>
      <c r="D151" s="157">
        <v>239169</v>
      </c>
      <c r="E151" s="157">
        <f t="shared" si="8"/>
        <v>9510</v>
      </c>
      <c r="F151" s="161">
        <f t="shared" si="9"/>
        <v>4.1409219756247305E-2</v>
      </c>
    </row>
    <row r="152" spans="1:6" ht="15" customHeight="1" x14ac:dyDescent="0.2">
      <c r="A152" s="147">
        <v>20</v>
      </c>
      <c r="B152" s="169" t="s">
        <v>279</v>
      </c>
      <c r="C152" s="157">
        <v>91941</v>
      </c>
      <c r="D152" s="157">
        <v>91753</v>
      </c>
      <c r="E152" s="157">
        <f t="shared" si="8"/>
        <v>-188</v>
      </c>
      <c r="F152" s="161">
        <f t="shared" si="9"/>
        <v>-2.0447895933261547E-3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1726390</v>
      </c>
      <c r="D154" s="157">
        <v>1699043</v>
      </c>
      <c r="E154" s="157">
        <f t="shared" si="8"/>
        <v>-27347</v>
      </c>
      <c r="F154" s="161">
        <f t="shared" si="9"/>
        <v>-1.5840569048708578E-2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5205758</v>
      </c>
      <c r="D156" s="157">
        <v>5120536</v>
      </c>
      <c r="E156" s="157">
        <f t="shared" si="8"/>
        <v>-85222</v>
      </c>
      <c r="F156" s="161">
        <f t="shared" si="9"/>
        <v>-1.6370718731066637E-2</v>
      </c>
    </row>
    <row r="157" spans="1:6" ht="15" customHeight="1" x14ac:dyDescent="0.2">
      <c r="A157" s="147">
        <v>25</v>
      </c>
      <c r="B157" s="169" t="s">
        <v>284</v>
      </c>
      <c r="C157" s="157">
        <v>1086349</v>
      </c>
      <c r="D157" s="157">
        <v>1072190</v>
      </c>
      <c r="E157" s="157">
        <f t="shared" si="8"/>
        <v>-14159</v>
      </c>
      <c r="F157" s="161">
        <f t="shared" si="9"/>
        <v>-1.3033564719993299E-2</v>
      </c>
    </row>
    <row r="158" spans="1:6" ht="15" customHeight="1" x14ac:dyDescent="0.2">
      <c r="A158" s="147">
        <v>26</v>
      </c>
      <c r="B158" s="169" t="s">
        <v>285</v>
      </c>
      <c r="C158" s="157">
        <v>240711</v>
      </c>
      <c r="D158" s="157">
        <v>213201</v>
      </c>
      <c r="E158" s="157">
        <f t="shared" si="8"/>
        <v>-27510</v>
      </c>
      <c r="F158" s="161">
        <f t="shared" si="9"/>
        <v>-0.11428642646160748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1141878</v>
      </c>
      <c r="D160" s="157">
        <v>1064302</v>
      </c>
      <c r="E160" s="157">
        <f t="shared" si="8"/>
        <v>-77576</v>
      </c>
      <c r="F160" s="161">
        <f t="shared" si="9"/>
        <v>-6.7937205200555573E-2</v>
      </c>
    </row>
    <row r="161" spans="1:6" ht="15" customHeight="1" x14ac:dyDescent="0.2">
      <c r="A161" s="147">
        <v>29</v>
      </c>
      <c r="B161" s="169" t="s">
        <v>288</v>
      </c>
      <c r="C161" s="157">
        <v>367727</v>
      </c>
      <c r="D161" s="157">
        <v>364943</v>
      </c>
      <c r="E161" s="157">
        <f t="shared" si="8"/>
        <v>-2784</v>
      </c>
      <c r="F161" s="161">
        <f t="shared" si="9"/>
        <v>-7.5708337978989846E-3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971332</v>
      </c>
      <c r="D164" s="157">
        <v>1040101</v>
      </c>
      <c r="E164" s="157">
        <f t="shared" si="8"/>
        <v>68769</v>
      </c>
      <c r="F164" s="161">
        <f t="shared" si="9"/>
        <v>7.0798655866377305E-2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1456899</v>
      </c>
      <c r="D166" s="157">
        <v>1511786</v>
      </c>
      <c r="E166" s="157">
        <f t="shared" si="8"/>
        <v>54887</v>
      </c>
      <c r="F166" s="161">
        <f t="shared" si="9"/>
        <v>3.7673853849855068E-2</v>
      </c>
    </row>
    <row r="167" spans="1:6" ht="15.75" customHeight="1" x14ac:dyDescent="0.25">
      <c r="A167" s="147"/>
      <c r="B167" s="165" t="s">
        <v>294</v>
      </c>
      <c r="C167" s="158">
        <f>SUM(C133:C166)</f>
        <v>40677900</v>
      </c>
      <c r="D167" s="158">
        <f>SUM(D133:D166)</f>
        <v>40265550</v>
      </c>
      <c r="E167" s="158">
        <f t="shared" si="8"/>
        <v>-412350</v>
      </c>
      <c r="F167" s="159">
        <f t="shared" si="9"/>
        <v>-1.0136953972550206E-2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7277914</v>
      </c>
      <c r="D170" s="157">
        <v>7432675</v>
      </c>
      <c r="E170" s="157">
        <f t="shared" ref="E170:E183" si="10">D170-C170</f>
        <v>154761</v>
      </c>
      <c r="F170" s="161">
        <f t="shared" ref="F170:F183" si="11">IF(C170=0,0,E170/C170)</f>
        <v>2.126447221003161E-2</v>
      </c>
    </row>
    <row r="171" spans="1:6" ht="15" customHeight="1" x14ac:dyDescent="0.2">
      <c r="A171" s="147">
        <v>2</v>
      </c>
      <c r="B171" s="169" t="s">
        <v>297</v>
      </c>
      <c r="C171" s="157">
        <v>2235778</v>
      </c>
      <c r="D171" s="157">
        <v>2393288</v>
      </c>
      <c r="E171" s="157">
        <f t="shared" si="10"/>
        <v>157510</v>
      </c>
      <c r="F171" s="161">
        <f t="shared" si="11"/>
        <v>7.044974948317767E-2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1065969</v>
      </c>
      <c r="D173" s="157">
        <v>1052545</v>
      </c>
      <c r="E173" s="157">
        <f t="shared" si="10"/>
        <v>-13424</v>
      </c>
      <c r="F173" s="161">
        <f t="shared" si="11"/>
        <v>-1.2593236763920901E-2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1724376</v>
      </c>
      <c r="D175" s="157">
        <v>1779840</v>
      </c>
      <c r="E175" s="157">
        <f t="shared" si="10"/>
        <v>55464</v>
      </c>
      <c r="F175" s="161">
        <f t="shared" si="11"/>
        <v>3.2164678701164941E-2</v>
      </c>
    </row>
    <row r="176" spans="1:6" ht="15" customHeight="1" x14ac:dyDescent="0.2">
      <c r="A176" s="147">
        <v>7</v>
      </c>
      <c r="B176" s="169" t="s">
        <v>302</v>
      </c>
      <c r="C176" s="157">
        <v>129943</v>
      </c>
      <c r="D176" s="157">
        <v>124084</v>
      </c>
      <c r="E176" s="157">
        <f t="shared" si="10"/>
        <v>-5859</v>
      </c>
      <c r="F176" s="161">
        <f t="shared" si="11"/>
        <v>-4.5089000561784782E-2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575673</v>
      </c>
      <c r="D179" s="157">
        <v>529438</v>
      </c>
      <c r="E179" s="157">
        <f t="shared" si="10"/>
        <v>-46235</v>
      </c>
      <c r="F179" s="161">
        <f t="shared" si="11"/>
        <v>-8.0314692542467689E-2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295655</v>
      </c>
      <c r="D181" s="157">
        <v>350757</v>
      </c>
      <c r="E181" s="157">
        <f t="shared" si="10"/>
        <v>55102</v>
      </c>
      <c r="F181" s="161">
        <f t="shared" si="11"/>
        <v>0.18637263026162251</v>
      </c>
    </row>
    <row r="182" spans="1:6" ht="15" customHeight="1" x14ac:dyDescent="0.2">
      <c r="A182" s="147">
        <v>13</v>
      </c>
      <c r="B182" s="169" t="s">
        <v>308</v>
      </c>
      <c r="C182" s="157">
        <v>533113</v>
      </c>
      <c r="D182" s="157">
        <v>533463</v>
      </c>
      <c r="E182" s="157">
        <f t="shared" si="10"/>
        <v>350</v>
      </c>
      <c r="F182" s="161">
        <f t="shared" si="11"/>
        <v>6.5652122533121492E-4</v>
      </c>
    </row>
    <row r="183" spans="1:6" ht="15.75" customHeight="1" x14ac:dyDescent="0.25">
      <c r="A183" s="147"/>
      <c r="B183" s="165" t="s">
        <v>309</v>
      </c>
      <c r="C183" s="158">
        <f>SUM(C170:C182)</f>
        <v>13838421</v>
      </c>
      <c r="D183" s="158">
        <f>SUM(D170:D182)</f>
        <v>14196090</v>
      </c>
      <c r="E183" s="158">
        <f t="shared" si="10"/>
        <v>357669</v>
      </c>
      <c r="F183" s="159">
        <f t="shared" si="11"/>
        <v>2.5846084607485203E-2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984606</v>
      </c>
      <c r="D186" s="157">
        <v>17</v>
      </c>
      <c r="E186" s="157">
        <f>D186-C186</f>
        <v>-984589</v>
      </c>
      <c r="F186" s="161">
        <f>IF(C186=0,0,E186/C186)</f>
        <v>-0.99998273421043549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129115712</v>
      </c>
      <c r="D188" s="158">
        <f>+D186+D183+D167+D130+D121</f>
        <v>127376540</v>
      </c>
      <c r="E188" s="158">
        <f>D188-C188</f>
        <v>-1739172</v>
      </c>
      <c r="F188" s="159">
        <f>IF(C188=0,0,E188/C188)</f>
        <v>-1.3469871118396497E-2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121998344</v>
      </c>
      <c r="D11" s="183">
        <v>121061315</v>
      </c>
      <c r="E11" s="76">
        <v>125805820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6027457</v>
      </c>
      <c r="D12" s="185">
        <v>5748384</v>
      </c>
      <c r="E12" s="185">
        <v>3714050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128025801</v>
      </c>
      <c r="D13" s="76">
        <f>+D11+D12</f>
        <v>126809699</v>
      </c>
      <c r="E13" s="76">
        <f>+E11+E12</f>
        <v>129519870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126168018</v>
      </c>
      <c r="D14" s="185">
        <v>129115712</v>
      </c>
      <c r="E14" s="185">
        <v>127376540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1857783</v>
      </c>
      <c r="D15" s="76">
        <f>+D13-D14</f>
        <v>-2306013</v>
      </c>
      <c r="E15" s="76">
        <f>+E13-E14</f>
        <v>2143330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-2036521</v>
      </c>
      <c r="D16" s="185">
        <v>-1549682</v>
      </c>
      <c r="E16" s="185">
        <v>2179666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-178738</v>
      </c>
      <c r="D17" s="76">
        <f>D15+D16</f>
        <v>-3855695</v>
      </c>
      <c r="E17" s="76">
        <f>E15+E16</f>
        <v>4322996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1.4745564067038084E-2</v>
      </c>
      <c r="D20" s="189">
        <f>IF(+D27=0,0,+D24/+D27)</f>
        <v>-1.8409809093351791E-2</v>
      </c>
      <c r="E20" s="189">
        <f>IF(+E27=0,0,+E24/+E27)</f>
        <v>1.6274392948506668E-2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-1.6164240322668721E-2</v>
      </c>
      <c r="D21" s="189">
        <f>IF(D27=0,0,+D26/D27)</f>
        <v>-1.2371721137479967E-2</v>
      </c>
      <c r="E21" s="189">
        <f>IF(E27=0,0,+E26/E27)</f>
        <v>1.6550293692758341E-2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-1.4186762556306378E-3</v>
      </c>
      <c r="D22" s="189">
        <f>IF(D27=0,0,+D28/D27)</f>
        <v>-3.0781530230831758E-2</v>
      </c>
      <c r="E22" s="189">
        <f>IF(E27=0,0,+E28/E27)</f>
        <v>3.2824686641265005E-2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1857783</v>
      </c>
      <c r="D24" s="76">
        <f>+D15</f>
        <v>-2306013</v>
      </c>
      <c r="E24" s="76">
        <f>+E15</f>
        <v>2143330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128025801</v>
      </c>
      <c r="D25" s="76">
        <f>+D13</f>
        <v>126809699</v>
      </c>
      <c r="E25" s="76">
        <f>+E13</f>
        <v>129519870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-2036521</v>
      </c>
      <c r="D26" s="76">
        <f>+D16</f>
        <v>-1549682</v>
      </c>
      <c r="E26" s="76">
        <f>+E16</f>
        <v>2179666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125989280</v>
      </c>
      <c r="D27" s="76">
        <f>+D25+D26</f>
        <v>125260017</v>
      </c>
      <c r="E27" s="76">
        <f>+E25+E26</f>
        <v>131699536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-178738</v>
      </c>
      <c r="D28" s="76">
        <f>+D17</f>
        <v>-3855695</v>
      </c>
      <c r="E28" s="76">
        <f>+E17</f>
        <v>4322996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-39665385</v>
      </c>
      <c r="D31" s="76">
        <v>-38049002</v>
      </c>
      <c r="E31" s="76">
        <v>-22179759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-32257854</v>
      </c>
      <c r="D32" s="76">
        <v>-30035645</v>
      </c>
      <c r="E32" s="76">
        <v>-13707175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-15110593</v>
      </c>
      <c r="D33" s="76">
        <f>+D32-C32</f>
        <v>2222209</v>
      </c>
      <c r="E33" s="76">
        <f>+E32-D32</f>
        <v>16328470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1.8812</v>
      </c>
      <c r="D34" s="193">
        <f>IF(C32=0,0,+D33/C32)</f>
        <v>-6.8888928569147842E-2</v>
      </c>
      <c r="E34" s="193">
        <f>IF(D32=0,0,+E33/D32)</f>
        <v>-0.54363640268088131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0.31689188341841429</v>
      </c>
      <c r="D38" s="195">
        <f>IF((D40+D41)=0,0,+D39/(D40+D41))</f>
        <v>0.30470545821046863</v>
      </c>
      <c r="E38" s="195">
        <f>IF((E40+E41)=0,0,+E39/(E40+E41))</f>
        <v>0.28476722803462273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126168018</v>
      </c>
      <c r="D39" s="76">
        <v>129115712</v>
      </c>
      <c r="E39" s="196">
        <v>127376540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392114700</v>
      </c>
      <c r="D40" s="76">
        <v>417991029</v>
      </c>
      <c r="E40" s="196">
        <v>443697091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6027457</v>
      </c>
      <c r="D41" s="76">
        <v>5748384</v>
      </c>
      <c r="E41" s="196">
        <v>3603467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1.1564254306708794</v>
      </c>
      <c r="D43" s="197">
        <f>IF(D38=0,0,IF((D46-D47)=0,0,((+D44-D45)/(D46-D47)/D38)))</f>
        <v>1.2342333841792315</v>
      </c>
      <c r="E43" s="197">
        <f>IF(E38=0,0,IF((E46-E47)=0,0,((+E44-E45)/(E46-E47)/E38)))</f>
        <v>1.2964233928823623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58109085</v>
      </c>
      <c r="D44" s="76">
        <v>62192240</v>
      </c>
      <c r="E44" s="196">
        <v>63096738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493694</v>
      </c>
      <c r="D45" s="76">
        <v>548236</v>
      </c>
      <c r="E45" s="196">
        <v>800213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166890206</v>
      </c>
      <c r="D46" s="76">
        <v>171204804</v>
      </c>
      <c r="E46" s="196">
        <v>174238817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9669492</v>
      </c>
      <c r="D47" s="76">
        <v>7291835</v>
      </c>
      <c r="E47" s="76">
        <v>5495355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0.904022121405476</v>
      </c>
      <c r="D49" s="198">
        <f>IF(D38=0,0,IF(D51=0,0,(D50/D51)/D38))</f>
        <v>0.84891027299418398</v>
      </c>
      <c r="E49" s="198">
        <f>IF(E38=0,0,IF(E51=0,0,(E50/E51)/E38))</f>
        <v>0.90802847571077339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50556511</v>
      </c>
      <c r="D50" s="199">
        <v>47496512</v>
      </c>
      <c r="E50" s="199">
        <v>50848341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176476516</v>
      </c>
      <c r="D51" s="199">
        <v>183619878</v>
      </c>
      <c r="E51" s="199">
        <v>196646994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0.70103153426514708</v>
      </c>
      <c r="D53" s="198">
        <f>IF(D38=0,0,IF(D55=0,0,(D54/D55)/D38))</f>
        <v>0.60974936723189421</v>
      </c>
      <c r="E53" s="198">
        <f>IF(E38=0,0,IF(E55=0,0,(E54/E55)/E38))</f>
        <v>0.60562300586704065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10719839</v>
      </c>
      <c r="D54" s="199">
        <v>11530590</v>
      </c>
      <c r="E54" s="199">
        <v>12422003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48254697</v>
      </c>
      <c r="D55" s="199">
        <v>62061167</v>
      </c>
      <c r="E55" s="199">
        <v>72027652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3463488.8533345642</v>
      </c>
      <c r="D57" s="88">
        <f>+D60*D38</f>
        <v>2367751.5465012644</v>
      </c>
      <c r="E57" s="88">
        <f>+E60*E38</f>
        <v>2056918.3965488814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7580152</v>
      </c>
      <c r="D58" s="199">
        <v>6785012</v>
      </c>
      <c r="E58" s="199">
        <v>4849739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3349408</v>
      </c>
      <c r="D59" s="199">
        <v>985612</v>
      </c>
      <c r="E59" s="199">
        <v>2373418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10929560</v>
      </c>
      <c r="D60" s="76">
        <v>7770624</v>
      </c>
      <c r="E60" s="201">
        <v>7223157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2.7451400982890641E-2</v>
      </c>
      <c r="D62" s="202">
        <f>IF(D63=0,0,+D57/D63)</f>
        <v>1.8338213915447134E-2</v>
      </c>
      <c r="E62" s="202">
        <f>IF(E63=0,0,+E57/E63)</f>
        <v>1.6148329955805688E-2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126168018</v>
      </c>
      <c r="D63" s="199">
        <v>129115712</v>
      </c>
      <c r="E63" s="199">
        <v>127376540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1.0928056670317723</v>
      </c>
      <c r="D67" s="203">
        <f>IF(D69=0,0,D68/D69)</f>
        <v>0.90817804160347371</v>
      </c>
      <c r="E67" s="203">
        <f>IF(E69=0,0,E68/E69)</f>
        <v>1.0646149637952866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37163592</v>
      </c>
      <c r="D68" s="204">
        <v>32456228</v>
      </c>
      <c r="E68" s="204">
        <v>34639590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34007503</v>
      </c>
      <c r="D69" s="204">
        <v>35737737</v>
      </c>
      <c r="E69" s="204">
        <v>32537200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39.826039089983361</v>
      </c>
      <c r="D71" s="203">
        <f>IF((D77/365)=0,0,+D74/(D77/365))</f>
        <v>39.826828792494595</v>
      </c>
      <c r="E71" s="203">
        <f>IF((E77/365)=0,0,+E74/(E77/365))</f>
        <v>42.793893114035164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5513612</v>
      </c>
      <c r="D72" s="183">
        <v>8071213</v>
      </c>
      <c r="E72" s="183">
        <v>5178405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7625803</v>
      </c>
      <c r="D73" s="206">
        <v>5371978</v>
      </c>
      <c r="E73" s="206">
        <v>9040563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13139415</v>
      </c>
      <c r="D74" s="204">
        <f>+D72+D73</f>
        <v>13443191</v>
      </c>
      <c r="E74" s="204">
        <f>+E72+E73</f>
        <v>14218968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126168018</v>
      </c>
      <c r="D75" s="204">
        <f>+D14</f>
        <v>129115712</v>
      </c>
      <c r="E75" s="204">
        <f>+E14</f>
        <v>127376540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5747143</v>
      </c>
      <c r="D76" s="204">
        <v>5913216</v>
      </c>
      <c r="E76" s="204">
        <v>6099345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120420875</v>
      </c>
      <c r="D77" s="204">
        <f>+D75-D76</f>
        <v>123202496</v>
      </c>
      <c r="E77" s="204">
        <f>+E75-E76</f>
        <v>121277195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50.937431699892578</v>
      </c>
      <c r="D79" s="203">
        <f>IF((D84/365)=0,0,+D83/(D84/365))</f>
        <v>38.456300057536957</v>
      </c>
      <c r="E79" s="203">
        <f>IF((E84/365)=0,0,+E83/(E84/365))</f>
        <v>41.835023173013781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17025431</v>
      </c>
      <c r="D80" s="212">
        <v>12754987</v>
      </c>
      <c r="E80" s="212">
        <v>14419423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17025431</v>
      </c>
      <c r="D83" s="212">
        <f>+D80+D81-D82</f>
        <v>12754987</v>
      </c>
      <c r="E83" s="212">
        <f>+E80+E81-E82</f>
        <v>14419423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121998344</v>
      </c>
      <c r="D84" s="204">
        <f>+D11</f>
        <v>121061315</v>
      </c>
      <c r="E84" s="204">
        <f>+E11</f>
        <v>125805820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103.07796380818526</v>
      </c>
      <c r="D86" s="203">
        <f>IF((D90/365)=0,0,+D87/(D90/365))</f>
        <v>105.87670240869147</v>
      </c>
      <c r="E86" s="203">
        <f>IF((E90/365)=0,0,+E87/(E90/365))</f>
        <v>97.925071568484086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34007503</v>
      </c>
      <c r="D87" s="76">
        <f>+D69</f>
        <v>35737737</v>
      </c>
      <c r="E87" s="76">
        <f>+E69</f>
        <v>32537200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126168018</v>
      </c>
      <c r="D88" s="76">
        <f t="shared" si="0"/>
        <v>129115712</v>
      </c>
      <c r="E88" s="76">
        <f t="shared" si="0"/>
        <v>127376540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5747143</v>
      </c>
      <c r="D89" s="201">
        <f t="shared" si="0"/>
        <v>5913216</v>
      </c>
      <c r="E89" s="201">
        <f t="shared" si="0"/>
        <v>6099345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120420875</v>
      </c>
      <c r="D90" s="76">
        <f>+D88-D89</f>
        <v>123202496</v>
      </c>
      <c r="E90" s="76">
        <f>+E88-E89</f>
        <v>121277195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-26.304080559444937</v>
      </c>
      <c r="D94" s="214">
        <f>IF(D96=0,0,(D95/D96)*100)</f>
        <v>-23.118530505533251</v>
      </c>
      <c r="E94" s="214">
        <f>IF(E96=0,0,(E95/E96)*100)</f>
        <v>-11.436281406957194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-32257854</v>
      </c>
      <c r="D95" s="76">
        <f>+D32</f>
        <v>-30035645</v>
      </c>
      <c r="E95" s="76">
        <f>+E32</f>
        <v>-13707175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122634410</v>
      </c>
      <c r="D96" s="76">
        <v>129920217</v>
      </c>
      <c r="E96" s="76">
        <v>119856923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6.7469553306981735</v>
      </c>
      <c r="D98" s="214">
        <f>IF(D104=0,0,(D101/D104)*100)</f>
        <v>2.4880737834105449</v>
      </c>
      <c r="E98" s="214">
        <f>IF(E104=0,0,(E101/E104)*100)</f>
        <v>13.635487436111418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-178738</v>
      </c>
      <c r="D99" s="76">
        <f>+D28</f>
        <v>-3855695</v>
      </c>
      <c r="E99" s="76">
        <f>+E28</f>
        <v>4322996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5747143</v>
      </c>
      <c r="D100" s="201">
        <f>+D76</f>
        <v>5913216</v>
      </c>
      <c r="E100" s="201">
        <f>+E76</f>
        <v>6099345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5568405</v>
      </c>
      <c r="D101" s="76">
        <f>+D99+D100</f>
        <v>2057521</v>
      </c>
      <c r="E101" s="76">
        <f>+E99+E100</f>
        <v>10422341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34007503</v>
      </c>
      <c r="D102" s="204">
        <f>+D69</f>
        <v>35737737</v>
      </c>
      <c r="E102" s="204">
        <f>+E69</f>
        <v>32537200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48524613</v>
      </c>
      <c r="D103" s="216">
        <v>46957600</v>
      </c>
      <c r="E103" s="216">
        <v>43898212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82532116</v>
      </c>
      <c r="D104" s="204">
        <f>+D102+D103</f>
        <v>82695337</v>
      </c>
      <c r="E104" s="204">
        <f>+E102+E103</f>
        <v>76435412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298.30535388149542</v>
      </c>
      <c r="D106" s="214">
        <f>IF(D109=0,0,(D107/D109)*100)</f>
        <v>277.49512393810289</v>
      </c>
      <c r="E106" s="214">
        <f>IF(E109=0,0,(E107/E109)*100)</f>
        <v>145.40147130421522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48524613</v>
      </c>
      <c r="D107" s="204">
        <f>+D103</f>
        <v>46957600</v>
      </c>
      <c r="E107" s="204">
        <f>+E103</f>
        <v>43898212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-32257854</v>
      </c>
      <c r="D108" s="204">
        <f>+D32</f>
        <v>-30035645</v>
      </c>
      <c r="E108" s="204">
        <f>+E32</f>
        <v>-13707175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16266759</v>
      </c>
      <c r="D109" s="204">
        <f>+D107+D108</f>
        <v>16921955</v>
      </c>
      <c r="E109" s="204">
        <f>+E107+E108</f>
        <v>30191037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1.8571500840951503</v>
      </c>
      <c r="D111" s="214">
        <f>IF((+D113+D115)=0,0,((+D112+D113+D114)/(+D113+D115)))</f>
        <v>1.0341715713508164</v>
      </c>
      <c r="E111" s="214">
        <f>IF((+E113+E115)=0,0,((+E112+E113+E114)/(+E113+E115)))</f>
        <v>2.9352465213933399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-178738</v>
      </c>
      <c r="D112" s="76">
        <f>+D17</f>
        <v>-3855695</v>
      </c>
      <c r="E112" s="76">
        <f>+E17</f>
        <v>4322996</v>
      </c>
    </row>
    <row r="113" spans="1:8" ht="24" customHeight="1" x14ac:dyDescent="0.2">
      <c r="A113" s="85">
        <v>17</v>
      </c>
      <c r="B113" s="75" t="s">
        <v>88</v>
      </c>
      <c r="C113" s="218">
        <v>2618102</v>
      </c>
      <c r="D113" s="76">
        <v>2709709</v>
      </c>
      <c r="E113" s="76">
        <v>2450664</v>
      </c>
    </row>
    <row r="114" spans="1:8" ht="24" customHeight="1" x14ac:dyDescent="0.2">
      <c r="A114" s="85">
        <v>18</v>
      </c>
      <c r="B114" s="75" t="s">
        <v>374</v>
      </c>
      <c r="C114" s="218">
        <v>5747143</v>
      </c>
      <c r="D114" s="76">
        <v>5913216</v>
      </c>
      <c r="E114" s="76">
        <v>6099345</v>
      </c>
    </row>
    <row r="115" spans="1:8" ht="24" customHeight="1" x14ac:dyDescent="0.2">
      <c r="A115" s="85">
        <v>19</v>
      </c>
      <c r="B115" s="75" t="s">
        <v>104</v>
      </c>
      <c r="C115" s="218">
        <v>1790000</v>
      </c>
      <c r="D115" s="76">
        <v>1900000</v>
      </c>
      <c r="E115" s="76">
        <v>1935000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14.426215599646643</v>
      </c>
      <c r="D119" s="214">
        <f>IF(+D121=0,0,(+D120)/(+D121))</f>
        <v>14.92898449845228</v>
      </c>
      <c r="E119" s="214">
        <f>IF(+E121=0,0,(+E120)/(+E121))</f>
        <v>15.465300618345085</v>
      </c>
    </row>
    <row r="120" spans="1:8" ht="24" customHeight="1" x14ac:dyDescent="0.2">
      <c r="A120" s="85">
        <v>21</v>
      </c>
      <c r="B120" s="75" t="s">
        <v>378</v>
      </c>
      <c r="C120" s="218">
        <v>82909524</v>
      </c>
      <c r="D120" s="218">
        <v>88278310</v>
      </c>
      <c r="E120" s="218">
        <v>94328204</v>
      </c>
    </row>
    <row r="121" spans="1:8" ht="24" customHeight="1" x14ac:dyDescent="0.2">
      <c r="A121" s="85">
        <v>22</v>
      </c>
      <c r="B121" s="75" t="s">
        <v>374</v>
      </c>
      <c r="C121" s="218">
        <v>5747143</v>
      </c>
      <c r="D121" s="218">
        <v>5913216</v>
      </c>
      <c r="E121" s="218">
        <v>6099345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31549</v>
      </c>
      <c r="D124" s="218">
        <v>29321</v>
      </c>
      <c r="E124" s="218">
        <v>31271</v>
      </c>
    </row>
    <row r="125" spans="1:8" ht="24" customHeight="1" x14ac:dyDescent="0.2">
      <c r="A125" s="85">
        <v>2</v>
      </c>
      <c r="B125" s="75" t="s">
        <v>381</v>
      </c>
      <c r="C125" s="218">
        <v>7494</v>
      </c>
      <c r="D125" s="218">
        <v>7063</v>
      </c>
      <c r="E125" s="218">
        <v>7176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4.2099012543368026</v>
      </c>
      <c r="D126" s="219">
        <f>IF(D125=0,0,D124/D125)</f>
        <v>4.1513521166643068</v>
      </c>
      <c r="E126" s="219">
        <f>IF(E125=0,0,E124/E125)</f>
        <v>4.357720178372352</v>
      </c>
    </row>
    <row r="127" spans="1:8" ht="24" customHeight="1" x14ac:dyDescent="0.2">
      <c r="A127" s="85">
        <v>4</v>
      </c>
      <c r="B127" s="75" t="s">
        <v>383</v>
      </c>
      <c r="C127" s="218">
        <v>89</v>
      </c>
      <c r="D127" s="218">
        <v>82</v>
      </c>
      <c r="E127" s="218">
        <v>88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180</v>
      </c>
      <c r="E128" s="218">
        <v>180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180</v>
      </c>
      <c r="D129" s="218">
        <v>180</v>
      </c>
      <c r="E129" s="218">
        <v>180</v>
      </c>
    </row>
    <row r="130" spans="1:7" ht="24" customHeight="1" x14ac:dyDescent="0.2">
      <c r="A130" s="85">
        <v>7</v>
      </c>
      <c r="B130" s="75" t="s">
        <v>386</v>
      </c>
      <c r="C130" s="193">
        <v>0.97109999999999996</v>
      </c>
      <c r="D130" s="193">
        <v>0.97960000000000003</v>
      </c>
      <c r="E130" s="193">
        <v>0.97350000000000003</v>
      </c>
    </row>
    <row r="131" spans="1:7" ht="24" customHeight="1" x14ac:dyDescent="0.2">
      <c r="A131" s="85">
        <v>8</v>
      </c>
      <c r="B131" s="75" t="s">
        <v>387</v>
      </c>
      <c r="C131" s="193">
        <v>0.48010000000000003</v>
      </c>
      <c r="D131" s="193">
        <v>0.44619999999999999</v>
      </c>
      <c r="E131" s="193">
        <v>0.47589999999999999</v>
      </c>
    </row>
    <row r="132" spans="1:7" ht="24" customHeight="1" x14ac:dyDescent="0.2">
      <c r="A132" s="85">
        <v>9</v>
      </c>
      <c r="B132" s="75" t="s">
        <v>388</v>
      </c>
      <c r="C132" s="219">
        <v>940.6</v>
      </c>
      <c r="D132" s="219">
        <v>973</v>
      </c>
      <c r="E132" s="219">
        <v>902.4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0.40095592947675768</v>
      </c>
      <c r="D135" s="227">
        <f>IF(D149=0,0,D143/D149)</f>
        <v>0.39214470557453041</v>
      </c>
      <c r="E135" s="227">
        <f>IF(E149=0,0,E143/E149)</f>
        <v>0.38031230184468351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0.45006350437767317</v>
      </c>
      <c r="D136" s="227">
        <f>IF(D149=0,0,D144/D149)</f>
        <v>0.43929143273550975</v>
      </c>
      <c r="E136" s="227">
        <f>IF(E149=0,0,E144/E149)</f>
        <v>0.4432009990347221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0.12306270843709761</v>
      </c>
      <c r="D137" s="227">
        <f>IF(D149=0,0,D145/D149)</f>
        <v>0.14847487791418604</v>
      </c>
      <c r="E137" s="227">
        <f>IF(E149=0,0,E145/E149)</f>
        <v>0.16233519096928223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2.4659855904407564E-2</v>
      </c>
      <c r="D139" s="227">
        <f>IF(D149=0,0,D147/D149)</f>
        <v>1.7444955738511795E-2</v>
      </c>
      <c r="E139" s="227">
        <f>IF(E149=0,0,E147/E149)</f>
        <v>1.2385375319037195E-2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1.258001804063964E-3</v>
      </c>
      <c r="D140" s="227">
        <f>IF(D149=0,0,D148/D149)</f>
        <v>2.6440280372620152E-3</v>
      </c>
      <c r="E140" s="227">
        <f>IF(E149=0,0,E148/E149)</f>
        <v>1.766132832274981E-3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157220714</v>
      </c>
      <c r="D143" s="229">
        <f>+D46-D147</f>
        <v>163912969</v>
      </c>
      <c r="E143" s="229">
        <f>+E46-E147</f>
        <v>168743462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176476516</v>
      </c>
      <c r="D144" s="229">
        <f>+D51</f>
        <v>183619878</v>
      </c>
      <c r="E144" s="229">
        <f>+E51</f>
        <v>196646994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48254697</v>
      </c>
      <c r="D145" s="229">
        <f>+D55</f>
        <v>62061167</v>
      </c>
      <c r="E145" s="229">
        <f>+E55</f>
        <v>72027652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9669492</v>
      </c>
      <c r="D147" s="229">
        <f>+D47</f>
        <v>7291835</v>
      </c>
      <c r="E147" s="229">
        <f>+E47</f>
        <v>5495355</v>
      </c>
    </row>
    <row r="148" spans="1:7" ht="20.100000000000001" customHeight="1" x14ac:dyDescent="0.2">
      <c r="A148" s="226">
        <v>13</v>
      </c>
      <c r="B148" s="224" t="s">
        <v>402</v>
      </c>
      <c r="C148" s="230">
        <v>493281</v>
      </c>
      <c r="D148" s="229">
        <v>1105180</v>
      </c>
      <c r="E148" s="229">
        <v>783628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392114700</v>
      </c>
      <c r="D149" s="229">
        <f>SUM(D143:D148)</f>
        <v>417991029</v>
      </c>
      <c r="E149" s="229">
        <f>SUM(E143:E148)</f>
        <v>443697091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0.48216949072769633</v>
      </c>
      <c r="D152" s="227">
        <f>IF(D166=0,0,D160/D166)</f>
        <v>0.50665402952171024</v>
      </c>
      <c r="E152" s="227">
        <f>IF(E166=0,0,E160/E166)</f>
        <v>0.49286714994076564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0.42309540452201699</v>
      </c>
      <c r="D153" s="227">
        <f>IF(D166=0,0,D161/D166)</f>
        <v>0.39037534279937858</v>
      </c>
      <c r="E153" s="227">
        <f>IF(E166=0,0,E161/E166)</f>
        <v>0.40229333671318229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8.9711780508664726E-2</v>
      </c>
      <c r="D154" s="227">
        <f>IF(D166=0,0,D162/D166)</f>
        <v>9.4770285951294414E-2</v>
      </c>
      <c r="E154" s="227">
        <f>IF(E166=0,0,E162/E166)</f>
        <v>9.8278310309694486E-2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4.1316075517966941E-3</v>
      </c>
      <c r="D156" s="227">
        <f>IF(D166=0,0,D164/D166)</f>
        <v>4.5059691211632577E-3</v>
      </c>
      <c r="E156" s="227">
        <f>IF(E166=0,0,E164/E166)</f>
        <v>6.3309903827789733E-3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8.9171668982526264E-4</v>
      </c>
      <c r="D157" s="227">
        <f>IF(D166=0,0,D165/D166)</f>
        <v>3.6943726064535575E-3</v>
      </c>
      <c r="E157" s="227">
        <f>IF(E166=0,0,E165/E166)</f>
        <v>2.302126535786129E-4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1.0000000000000002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57615391</v>
      </c>
      <c r="D160" s="229">
        <f>+D44-D164</f>
        <v>61644004</v>
      </c>
      <c r="E160" s="229">
        <f>+E44-E164</f>
        <v>62296525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50556511</v>
      </c>
      <c r="D161" s="229">
        <f>+D50</f>
        <v>47496512</v>
      </c>
      <c r="E161" s="229">
        <f>+E50</f>
        <v>50848341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10719839</v>
      </c>
      <c r="D162" s="229">
        <f>+D54</f>
        <v>11530590</v>
      </c>
      <c r="E162" s="229">
        <f>+E54</f>
        <v>12422003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493694</v>
      </c>
      <c r="D164" s="229">
        <f>+D45</f>
        <v>548236</v>
      </c>
      <c r="E164" s="229">
        <f>+E45</f>
        <v>800213</v>
      </c>
    </row>
    <row r="165" spans="1:6" ht="20.100000000000001" customHeight="1" x14ac:dyDescent="0.2">
      <c r="A165" s="226">
        <v>13</v>
      </c>
      <c r="B165" s="224" t="s">
        <v>417</v>
      </c>
      <c r="C165" s="230">
        <v>106553</v>
      </c>
      <c r="D165" s="229">
        <v>449490</v>
      </c>
      <c r="E165" s="229">
        <v>29098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119491988</v>
      </c>
      <c r="D166" s="229">
        <f>SUM(D160:D165)</f>
        <v>121668832</v>
      </c>
      <c r="E166" s="229">
        <f>SUM(E160:E165)</f>
        <v>126396180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2700</v>
      </c>
      <c r="D169" s="218">
        <v>2462</v>
      </c>
      <c r="E169" s="218">
        <v>2395</v>
      </c>
    </row>
    <row r="170" spans="1:6" ht="20.100000000000001" customHeight="1" x14ac:dyDescent="0.2">
      <c r="A170" s="226">
        <v>2</v>
      </c>
      <c r="B170" s="224" t="s">
        <v>420</v>
      </c>
      <c r="C170" s="218">
        <v>3482</v>
      </c>
      <c r="D170" s="218">
        <v>3301</v>
      </c>
      <c r="E170" s="218">
        <v>3456</v>
      </c>
    </row>
    <row r="171" spans="1:6" ht="20.100000000000001" customHeight="1" x14ac:dyDescent="0.2">
      <c r="A171" s="226">
        <v>3</v>
      </c>
      <c r="B171" s="224" t="s">
        <v>421</v>
      </c>
      <c r="C171" s="218">
        <v>1306</v>
      </c>
      <c r="D171" s="218">
        <v>1283</v>
      </c>
      <c r="E171" s="218">
        <v>1315</v>
      </c>
    </row>
    <row r="172" spans="1:6" ht="20.100000000000001" customHeight="1" x14ac:dyDescent="0.2">
      <c r="A172" s="226">
        <v>4</v>
      </c>
      <c r="B172" s="224" t="s">
        <v>422</v>
      </c>
      <c r="C172" s="218">
        <v>1306</v>
      </c>
      <c r="D172" s="218">
        <v>1283</v>
      </c>
      <c r="E172" s="218">
        <v>1315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6</v>
      </c>
      <c r="D174" s="218">
        <v>17</v>
      </c>
      <c r="E174" s="218">
        <v>10</v>
      </c>
    </row>
    <row r="175" spans="1:6" ht="20.100000000000001" customHeight="1" x14ac:dyDescent="0.2">
      <c r="A175" s="226">
        <v>7</v>
      </c>
      <c r="B175" s="224" t="s">
        <v>425</v>
      </c>
      <c r="C175" s="218">
        <v>112</v>
      </c>
      <c r="D175" s="218">
        <v>74</v>
      </c>
      <c r="E175" s="218">
        <v>85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7494</v>
      </c>
      <c r="D176" s="218">
        <f>+D169+D170+D171+D174</f>
        <v>7063</v>
      </c>
      <c r="E176" s="218">
        <f>+E169+E170+E171+E174</f>
        <v>7176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0.99102000000000001</v>
      </c>
      <c r="D179" s="231">
        <v>1.02</v>
      </c>
      <c r="E179" s="231">
        <v>1.0626</v>
      </c>
    </row>
    <row r="180" spans="1:6" ht="20.100000000000001" customHeight="1" x14ac:dyDescent="0.2">
      <c r="A180" s="226">
        <v>2</v>
      </c>
      <c r="B180" s="224" t="s">
        <v>420</v>
      </c>
      <c r="C180" s="231">
        <v>1.3086599999999999</v>
      </c>
      <c r="D180" s="231">
        <v>1.361</v>
      </c>
      <c r="E180" s="231">
        <v>1.3304</v>
      </c>
    </row>
    <row r="181" spans="1:6" ht="20.100000000000001" customHeight="1" x14ac:dyDescent="0.2">
      <c r="A181" s="226">
        <v>3</v>
      </c>
      <c r="B181" s="224" t="s">
        <v>421</v>
      </c>
      <c r="C181" s="231">
        <v>0.77175000000000005</v>
      </c>
      <c r="D181" s="231">
        <v>0.77400000000000002</v>
      </c>
      <c r="E181" s="231">
        <v>0.80500000000000005</v>
      </c>
    </row>
    <row r="182" spans="1:6" ht="20.100000000000001" customHeight="1" x14ac:dyDescent="0.2">
      <c r="A182" s="226">
        <v>4</v>
      </c>
      <c r="B182" s="224" t="s">
        <v>422</v>
      </c>
      <c r="C182" s="231">
        <v>0.77175000000000005</v>
      </c>
      <c r="D182" s="231">
        <v>0.77400000000000002</v>
      </c>
      <c r="E182" s="231">
        <v>0.80500000000000005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1.3654200000000001</v>
      </c>
      <c r="D184" s="231">
        <v>1.103</v>
      </c>
      <c r="E184" s="231">
        <v>0.43909999999999999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0.86822999999999995</v>
      </c>
      <c r="D185" s="231">
        <v>1.0309999999999999</v>
      </c>
      <c r="E185" s="231">
        <v>1.0423</v>
      </c>
    </row>
    <row r="186" spans="1:6" ht="20.100000000000001" customHeight="1" x14ac:dyDescent="0.2">
      <c r="A186" s="226">
        <v>8</v>
      </c>
      <c r="B186" s="224" t="s">
        <v>429</v>
      </c>
      <c r="C186" s="231">
        <v>1.1006940000000001</v>
      </c>
      <c r="D186" s="231">
        <v>1.1348849999999999</v>
      </c>
      <c r="E186" s="231">
        <v>1.143499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5178</v>
      </c>
      <c r="D189" s="218">
        <v>4870</v>
      </c>
      <c r="E189" s="218">
        <v>5156</v>
      </c>
    </row>
    <row r="190" spans="1:6" ht="20.100000000000001" customHeight="1" x14ac:dyDescent="0.2">
      <c r="A190" s="226">
        <v>2</v>
      </c>
      <c r="B190" s="224" t="s">
        <v>433</v>
      </c>
      <c r="C190" s="218">
        <v>34965</v>
      </c>
      <c r="D190" s="218">
        <v>36080</v>
      </c>
      <c r="E190" s="218">
        <v>34542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40143</v>
      </c>
      <c r="D191" s="218">
        <f>+D190+D189</f>
        <v>40950</v>
      </c>
      <c r="E191" s="218">
        <f>+E190+E189</f>
        <v>39698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1623530</v>
      </c>
      <c r="D14" s="258">
        <v>1432458</v>
      </c>
      <c r="E14" s="258">
        <f t="shared" ref="E14:E24" si="0">D14-C14</f>
        <v>-191072</v>
      </c>
      <c r="F14" s="259">
        <f t="shared" ref="F14:F24" si="1">IF(C14=0,0,E14/C14)</f>
        <v>-0.11768923272129249</v>
      </c>
    </row>
    <row r="15" spans="1:7" ht="20.25" customHeight="1" x14ac:dyDescent="0.3">
      <c r="A15" s="256">
        <v>2</v>
      </c>
      <c r="B15" s="257" t="s">
        <v>442</v>
      </c>
      <c r="C15" s="258">
        <v>407954</v>
      </c>
      <c r="D15" s="258">
        <v>351311</v>
      </c>
      <c r="E15" s="258">
        <f t="shared" si="0"/>
        <v>-56643</v>
      </c>
      <c r="F15" s="259">
        <f t="shared" si="1"/>
        <v>-0.13884653661932472</v>
      </c>
    </row>
    <row r="16" spans="1:7" ht="20.25" customHeight="1" x14ac:dyDescent="0.3">
      <c r="A16" s="256">
        <v>3</v>
      </c>
      <c r="B16" s="257" t="s">
        <v>443</v>
      </c>
      <c r="C16" s="258">
        <v>1445575</v>
      </c>
      <c r="D16" s="258">
        <v>811640</v>
      </c>
      <c r="E16" s="258">
        <f t="shared" si="0"/>
        <v>-633935</v>
      </c>
      <c r="F16" s="259">
        <f t="shared" si="1"/>
        <v>-0.4385348390778756</v>
      </c>
    </row>
    <row r="17" spans="1:6" ht="20.25" customHeight="1" x14ac:dyDescent="0.3">
      <c r="A17" s="256">
        <v>4</v>
      </c>
      <c r="B17" s="257" t="s">
        <v>444</v>
      </c>
      <c r="C17" s="258">
        <v>161232</v>
      </c>
      <c r="D17" s="258">
        <v>178042</v>
      </c>
      <c r="E17" s="258">
        <f t="shared" si="0"/>
        <v>16810</v>
      </c>
      <c r="F17" s="259">
        <f t="shared" si="1"/>
        <v>0.10425970030763124</v>
      </c>
    </row>
    <row r="18" spans="1:6" ht="20.25" customHeight="1" x14ac:dyDescent="0.3">
      <c r="A18" s="256">
        <v>5</v>
      </c>
      <c r="B18" s="257" t="s">
        <v>381</v>
      </c>
      <c r="C18" s="260">
        <v>52</v>
      </c>
      <c r="D18" s="260">
        <v>48</v>
      </c>
      <c r="E18" s="260">
        <f t="shared" si="0"/>
        <v>-4</v>
      </c>
      <c r="F18" s="259">
        <f t="shared" si="1"/>
        <v>-7.6923076923076927E-2</v>
      </c>
    </row>
    <row r="19" spans="1:6" ht="20.25" customHeight="1" x14ac:dyDescent="0.3">
      <c r="A19" s="256">
        <v>6</v>
      </c>
      <c r="B19" s="257" t="s">
        <v>380</v>
      </c>
      <c r="C19" s="260">
        <v>253</v>
      </c>
      <c r="D19" s="260">
        <v>225</v>
      </c>
      <c r="E19" s="260">
        <f t="shared" si="0"/>
        <v>-28</v>
      </c>
      <c r="F19" s="259">
        <f t="shared" si="1"/>
        <v>-0.11067193675889328</v>
      </c>
    </row>
    <row r="20" spans="1:6" ht="20.25" customHeight="1" x14ac:dyDescent="0.3">
      <c r="A20" s="256">
        <v>7</v>
      </c>
      <c r="B20" s="257" t="s">
        <v>445</v>
      </c>
      <c r="C20" s="260">
        <v>706</v>
      </c>
      <c r="D20" s="260">
        <v>396</v>
      </c>
      <c r="E20" s="260">
        <f t="shared" si="0"/>
        <v>-310</v>
      </c>
      <c r="F20" s="259">
        <f t="shared" si="1"/>
        <v>-0.43909348441926344</v>
      </c>
    </row>
    <row r="21" spans="1:6" ht="20.25" customHeight="1" x14ac:dyDescent="0.3">
      <c r="A21" s="256">
        <v>8</v>
      </c>
      <c r="B21" s="257" t="s">
        <v>446</v>
      </c>
      <c r="C21" s="260">
        <v>97</v>
      </c>
      <c r="D21" s="260">
        <v>65</v>
      </c>
      <c r="E21" s="260">
        <f t="shared" si="0"/>
        <v>-32</v>
      </c>
      <c r="F21" s="259">
        <f t="shared" si="1"/>
        <v>-0.32989690721649484</v>
      </c>
    </row>
    <row r="22" spans="1:6" ht="20.25" customHeight="1" x14ac:dyDescent="0.3">
      <c r="A22" s="256">
        <v>9</v>
      </c>
      <c r="B22" s="257" t="s">
        <v>447</v>
      </c>
      <c r="C22" s="260">
        <v>50</v>
      </c>
      <c r="D22" s="260">
        <v>41</v>
      </c>
      <c r="E22" s="260">
        <f t="shared" si="0"/>
        <v>-9</v>
      </c>
      <c r="F22" s="259">
        <f t="shared" si="1"/>
        <v>-0.18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3069105</v>
      </c>
      <c r="D23" s="263">
        <f>+D14+D16</f>
        <v>2244098</v>
      </c>
      <c r="E23" s="263">
        <f t="shared" si="0"/>
        <v>-825007</v>
      </c>
      <c r="F23" s="264">
        <f t="shared" si="1"/>
        <v>-0.26881028834138943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569186</v>
      </c>
      <c r="D24" s="263">
        <f>+D15+D17</f>
        <v>529353</v>
      </c>
      <c r="E24" s="263">
        <f t="shared" si="0"/>
        <v>-39833</v>
      </c>
      <c r="F24" s="264">
        <f t="shared" si="1"/>
        <v>-6.9982395912759621E-2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4038992</v>
      </c>
      <c r="D40" s="258">
        <v>7206242</v>
      </c>
      <c r="E40" s="258">
        <f t="shared" ref="E40:E50" si="4">D40-C40</f>
        <v>3167250</v>
      </c>
      <c r="F40" s="259">
        <f t="shared" ref="F40:F50" si="5">IF(C40=0,0,E40/C40)</f>
        <v>0.78416842618158189</v>
      </c>
    </row>
    <row r="41" spans="1:6" ht="20.25" customHeight="1" x14ac:dyDescent="0.3">
      <c r="A41" s="256">
        <v>2</v>
      </c>
      <c r="B41" s="257" t="s">
        <v>442</v>
      </c>
      <c r="C41" s="258">
        <v>1078505</v>
      </c>
      <c r="D41" s="258">
        <v>1910648</v>
      </c>
      <c r="E41" s="258">
        <f t="shared" si="4"/>
        <v>832143</v>
      </c>
      <c r="F41" s="259">
        <f t="shared" si="5"/>
        <v>0.77157083184593489</v>
      </c>
    </row>
    <row r="42" spans="1:6" ht="20.25" customHeight="1" x14ac:dyDescent="0.3">
      <c r="A42" s="256">
        <v>3</v>
      </c>
      <c r="B42" s="257" t="s">
        <v>443</v>
      </c>
      <c r="C42" s="258">
        <v>4990819</v>
      </c>
      <c r="D42" s="258">
        <v>7875581</v>
      </c>
      <c r="E42" s="258">
        <f t="shared" si="4"/>
        <v>2884762</v>
      </c>
      <c r="F42" s="259">
        <f t="shared" si="5"/>
        <v>0.57801374884563039</v>
      </c>
    </row>
    <row r="43" spans="1:6" ht="20.25" customHeight="1" x14ac:dyDescent="0.3">
      <c r="A43" s="256">
        <v>4</v>
      </c>
      <c r="B43" s="257" t="s">
        <v>444</v>
      </c>
      <c r="C43" s="258">
        <v>952043</v>
      </c>
      <c r="D43" s="258">
        <v>1619878</v>
      </c>
      <c r="E43" s="258">
        <f t="shared" si="4"/>
        <v>667835</v>
      </c>
      <c r="F43" s="259">
        <f t="shared" si="5"/>
        <v>0.70147566864101729</v>
      </c>
    </row>
    <row r="44" spans="1:6" ht="20.25" customHeight="1" x14ac:dyDescent="0.3">
      <c r="A44" s="256">
        <v>5</v>
      </c>
      <c r="B44" s="257" t="s">
        <v>381</v>
      </c>
      <c r="C44" s="260">
        <v>123</v>
      </c>
      <c r="D44" s="260">
        <v>240</v>
      </c>
      <c r="E44" s="260">
        <f t="shared" si="4"/>
        <v>117</v>
      </c>
      <c r="F44" s="259">
        <f t="shared" si="5"/>
        <v>0.95121951219512191</v>
      </c>
    </row>
    <row r="45" spans="1:6" ht="20.25" customHeight="1" x14ac:dyDescent="0.3">
      <c r="A45" s="256">
        <v>6</v>
      </c>
      <c r="B45" s="257" t="s">
        <v>380</v>
      </c>
      <c r="C45" s="260">
        <v>538</v>
      </c>
      <c r="D45" s="260">
        <v>1005</v>
      </c>
      <c r="E45" s="260">
        <f t="shared" si="4"/>
        <v>467</v>
      </c>
      <c r="F45" s="259">
        <f t="shared" si="5"/>
        <v>0.86802973977695164</v>
      </c>
    </row>
    <row r="46" spans="1:6" ht="20.25" customHeight="1" x14ac:dyDescent="0.3">
      <c r="A46" s="256">
        <v>7</v>
      </c>
      <c r="B46" s="257" t="s">
        <v>445</v>
      </c>
      <c r="C46" s="260">
        <v>2718</v>
      </c>
      <c r="D46" s="260">
        <v>3998</v>
      </c>
      <c r="E46" s="260">
        <f t="shared" si="4"/>
        <v>1280</v>
      </c>
      <c r="F46" s="259">
        <f t="shared" si="5"/>
        <v>0.47093451066961001</v>
      </c>
    </row>
    <row r="47" spans="1:6" ht="20.25" customHeight="1" x14ac:dyDescent="0.3">
      <c r="A47" s="256">
        <v>8</v>
      </c>
      <c r="B47" s="257" t="s">
        <v>446</v>
      </c>
      <c r="C47" s="260">
        <v>317</v>
      </c>
      <c r="D47" s="260">
        <v>459</v>
      </c>
      <c r="E47" s="260">
        <f t="shared" si="4"/>
        <v>142</v>
      </c>
      <c r="F47" s="259">
        <f t="shared" si="5"/>
        <v>0.44794952681388012</v>
      </c>
    </row>
    <row r="48" spans="1:6" ht="20.25" customHeight="1" x14ac:dyDescent="0.3">
      <c r="A48" s="256">
        <v>9</v>
      </c>
      <c r="B48" s="257" t="s">
        <v>447</v>
      </c>
      <c r="C48" s="260">
        <v>104</v>
      </c>
      <c r="D48" s="260">
        <v>221</v>
      </c>
      <c r="E48" s="260">
        <f t="shared" si="4"/>
        <v>117</v>
      </c>
      <c r="F48" s="259">
        <f t="shared" si="5"/>
        <v>1.125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9029811</v>
      </c>
      <c r="D49" s="263">
        <f>+D40+D42</f>
        <v>15081823</v>
      </c>
      <c r="E49" s="263">
        <f t="shared" si="4"/>
        <v>6052012</v>
      </c>
      <c r="F49" s="264">
        <f t="shared" si="5"/>
        <v>0.67022576663011002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2030548</v>
      </c>
      <c r="D50" s="263">
        <f>+D41+D43</f>
        <v>3530526</v>
      </c>
      <c r="E50" s="263">
        <f t="shared" si="4"/>
        <v>1499978</v>
      </c>
      <c r="F50" s="264">
        <f t="shared" si="5"/>
        <v>0.7387060044874586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609629</v>
      </c>
      <c r="D79" s="258">
        <v>0</v>
      </c>
      <c r="E79" s="258">
        <f t="shared" ref="E79:E89" si="10">D79-C79</f>
        <v>-609629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134458</v>
      </c>
      <c r="D80" s="258">
        <v>0</v>
      </c>
      <c r="E80" s="258">
        <f t="shared" si="10"/>
        <v>-134458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350004</v>
      </c>
      <c r="D81" s="258">
        <v>0</v>
      </c>
      <c r="E81" s="258">
        <f t="shared" si="10"/>
        <v>-350004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92675</v>
      </c>
      <c r="D82" s="258">
        <v>0</v>
      </c>
      <c r="E82" s="258">
        <f t="shared" si="10"/>
        <v>-92675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18</v>
      </c>
      <c r="D83" s="260">
        <v>0</v>
      </c>
      <c r="E83" s="260">
        <f t="shared" si="10"/>
        <v>-18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84</v>
      </c>
      <c r="D84" s="260">
        <v>0</v>
      </c>
      <c r="E84" s="260">
        <f t="shared" si="10"/>
        <v>-84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68</v>
      </c>
      <c r="D85" s="260">
        <v>0</v>
      </c>
      <c r="E85" s="260">
        <f t="shared" si="10"/>
        <v>-68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70</v>
      </c>
      <c r="D86" s="260">
        <v>0</v>
      </c>
      <c r="E86" s="260">
        <f t="shared" si="10"/>
        <v>-70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18</v>
      </c>
      <c r="D87" s="260">
        <v>0</v>
      </c>
      <c r="E87" s="260">
        <f t="shared" si="10"/>
        <v>-18</v>
      </c>
      <c r="F87" s="259">
        <f t="shared" si="11"/>
        <v>-1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959633</v>
      </c>
      <c r="D88" s="263">
        <f>+D79+D81</f>
        <v>0</v>
      </c>
      <c r="E88" s="263">
        <f t="shared" si="10"/>
        <v>-959633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227133</v>
      </c>
      <c r="D89" s="263">
        <f>+D80+D82</f>
        <v>0</v>
      </c>
      <c r="E89" s="263">
        <f t="shared" si="10"/>
        <v>-227133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22435777</v>
      </c>
      <c r="D92" s="258">
        <v>19309465</v>
      </c>
      <c r="E92" s="258">
        <f t="shared" ref="E92:E102" si="12">D92-C92</f>
        <v>-3126312</v>
      </c>
      <c r="F92" s="259">
        <f t="shared" ref="F92:F102" si="13">IF(C92=0,0,E92/C92)</f>
        <v>-0.13934494000363795</v>
      </c>
    </row>
    <row r="93" spans="1:6" ht="20.25" customHeight="1" x14ac:dyDescent="0.3">
      <c r="A93" s="256">
        <v>2</v>
      </c>
      <c r="B93" s="257" t="s">
        <v>442</v>
      </c>
      <c r="C93" s="258">
        <v>5565650</v>
      </c>
      <c r="D93" s="258">
        <v>4731791</v>
      </c>
      <c r="E93" s="258">
        <f t="shared" si="12"/>
        <v>-833859</v>
      </c>
      <c r="F93" s="259">
        <f t="shared" si="13"/>
        <v>-0.14982239271244149</v>
      </c>
    </row>
    <row r="94" spans="1:6" ht="20.25" customHeight="1" x14ac:dyDescent="0.3">
      <c r="A94" s="256">
        <v>3</v>
      </c>
      <c r="B94" s="257" t="s">
        <v>443</v>
      </c>
      <c r="C94" s="258">
        <v>16267091</v>
      </c>
      <c r="D94" s="258">
        <v>12137866</v>
      </c>
      <c r="E94" s="258">
        <f t="shared" si="12"/>
        <v>-4129225</v>
      </c>
      <c r="F94" s="259">
        <f t="shared" si="13"/>
        <v>-0.25383917751489804</v>
      </c>
    </row>
    <row r="95" spans="1:6" ht="20.25" customHeight="1" x14ac:dyDescent="0.3">
      <c r="A95" s="256">
        <v>4</v>
      </c>
      <c r="B95" s="257" t="s">
        <v>444</v>
      </c>
      <c r="C95" s="258">
        <v>3285379</v>
      </c>
      <c r="D95" s="258">
        <v>2373401</v>
      </c>
      <c r="E95" s="258">
        <f t="shared" si="12"/>
        <v>-911978</v>
      </c>
      <c r="F95" s="259">
        <f t="shared" si="13"/>
        <v>-0.27758684766658581</v>
      </c>
    </row>
    <row r="96" spans="1:6" ht="20.25" customHeight="1" x14ac:dyDescent="0.3">
      <c r="A96" s="256">
        <v>5</v>
      </c>
      <c r="B96" s="257" t="s">
        <v>381</v>
      </c>
      <c r="C96" s="260">
        <v>704</v>
      </c>
      <c r="D96" s="260">
        <v>591</v>
      </c>
      <c r="E96" s="260">
        <f t="shared" si="12"/>
        <v>-113</v>
      </c>
      <c r="F96" s="259">
        <f t="shared" si="13"/>
        <v>-0.16051136363636365</v>
      </c>
    </row>
    <row r="97" spans="1:6" ht="20.25" customHeight="1" x14ac:dyDescent="0.3">
      <c r="A97" s="256">
        <v>6</v>
      </c>
      <c r="B97" s="257" t="s">
        <v>380</v>
      </c>
      <c r="C97" s="260">
        <v>3101</v>
      </c>
      <c r="D97" s="260">
        <v>2777</v>
      </c>
      <c r="E97" s="260">
        <f t="shared" si="12"/>
        <v>-324</v>
      </c>
      <c r="F97" s="259">
        <f t="shared" si="13"/>
        <v>-0.10448242502418574</v>
      </c>
    </row>
    <row r="98" spans="1:6" ht="20.25" customHeight="1" x14ac:dyDescent="0.3">
      <c r="A98" s="256">
        <v>7</v>
      </c>
      <c r="B98" s="257" t="s">
        <v>445</v>
      </c>
      <c r="C98" s="260">
        <v>8797</v>
      </c>
      <c r="D98" s="260">
        <v>5084</v>
      </c>
      <c r="E98" s="260">
        <f t="shared" si="12"/>
        <v>-3713</v>
      </c>
      <c r="F98" s="259">
        <f t="shared" si="13"/>
        <v>-0.42207570762760033</v>
      </c>
    </row>
    <row r="99" spans="1:6" ht="20.25" customHeight="1" x14ac:dyDescent="0.3">
      <c r="A99" s="256">
        <v>8</v>
      </c>
      <c r="B99" s="257" t="s">
        <v>446</v>
      </c>
      <c r="C99" s="260">
        <v>1132</v>
      </c>
      <c r="D99" s="260">
        <v>919</v>
      </c>
      <c r="E99" s="260">
        <f t="shared" si="12"/>
        <v>-213</v>
      </c>
      <c r="F99" s="259">
        <f t="shared" si="13"/>
        <v>-0.18816254416961131</v>
      </c>
    </row>
    <row r="100" spans="1:6" ht="20.25" customHeight="1" x14ac:dyDescent="0.3">
      <c r="A100" s="256">
        <v>9</v>
      </c>
      <c r="B100" s="257" t="s">
        <v>447</v>
      </c>
      <c r="C100" s="260">
        <v>633</v>
      </c>
      <c r="D100" s="260">
        <v>550</v>
      </c>
      <c r="E100" s="260">
        <f t="shared" si="12"/>
        <v>-83</v>
      </c>
      <c r="F100" s="259">
        <f t="shared" si="13"/>
        <v>-0.13112164296998421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38702868</v>
      </c>
      <c r="D101" s="263">
        <f>+D92+D94</f>
        <v>31447331</v>
      </c>
      <c r="E101" s="263">
        <f t="shared" si="12"/>
        <v>-7255537</v>
      </c>
      <c r="F101" s="264">
        <f t="shared" si="13"/>
        <v>-0.18746768327349797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8851029</v>
      </c>
      <c r="D102" s="263">
        <f>+D93+D95</f>
        <v>7105192</v>
      </c>
      <c r="E102" s="263">
        <f t="shared" si="12"/>
        <v>-1745837</v>
      </c>
      <c r="F102" s="264">
        <f t="shared" si="13"/>
        <v>-0.19724678339659715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1792648</v>
      </c>
      <c r="D118" s="258">
        <v>5530784</v>
      </c>
      <c r="E118" s="258">
        <f t="shared" ref="E118:E128" si="16">D118-C118</f>
        <v>3738136</v>
      </c>
      <c r="F118" s="259">
        <f t="shared" ref="F118:F128" si="17">IF(C118=0,0,E118/C118)</f>
        <v>2.0852593481821304</v>
      </c>
    </row>
    <row r="119" spans="1:6" ht="20.25" customHeight="1" x14ac:dyDescent="0.3">
      <c r="A119" s="256">
        <v>2</v>
      </c>
      <c r="B119" s="257" t="s">
        <v>442</v>
      </c>
      <c r="C119" s="258">
        <v>429884</v>
      </c>
      <c r="D119" s="258">
        <v>1462390</v>
      </c>
      <c r="E119" s="258">
        <f t="shared" si="16"/>
        <v>1032506</v>
      </c>
      <c r="F119" s="259">
        <f t="shared" si="17"/>
        <v>2.4018246782853048</v>
      </c>
    </row>
    <row r="120" spans="1:6" ht="20.25" customHeight="1" x14ac:dyDescent="0.3">
      <c r="A120" s="256">
        <v>3</v>
      </c>
      <c r="B120" s="257" t="s">
        <v>443</v>
      </c>
      <c r="C120" s="258">
        <v>1221700</v>
      </c>
      <c r="D120" s="258">
        <v>4663426</v>
      </c>
      <c r="E120" s="258">
        <f t="shared" si="16"/>
        <v>3441726</v>
      </c>
      <c r="F120" s="259">
        <f t="shared" si="17"/>
        <v>2.8171613325693707</v>
      </c>
    </row>
    <row r="121" spans="1:6" ht="20.25" customHeight="1" x14ac:dyDescent="0.3">
      <c r="A121" s="256">
        <v>4</v>
      </c>
      <c r="B121" s="257" t="s">
        <v>444</v>
      </c>
      <c r="C121" s="258">
        <v>261368</v>
      </c>
      <c r="D121" s="258">
        <v>874081</v>
      </c>
      <c r="E121" s="258">
        <f t="shared" si="16"/>
        <v>612713</v>
      </c>
      <c r="F121" s="259">
        <f t="shared" si="17"/>
        <v>2.3442540785406019</v>
      </c>
    </row>
    <row r="122" spans="1:6" ht="20.25" customHeight="1" x14ac:dyDescent="0.3">
      <c r="A122" s="256">
        <v>5</v>
      </c>
      <c r="B122" s="257" t="s">
        <v>381</v>
      </c>
      <c r="C122" s="260">
        <v>45</v>
      </c>
      <c r="D122" s="260">
        <v>152</v>
      </c>
      <c r="E122" s="260">
        <f t="shared" si="16"/>
        <v>107</v>
      </c>
      <c r="F122" s="259">
        <f t="shared" si="17"/>
        <v>2.3777777777777778</v>
      </c>
    </row>
    <row r="123" spans="1:6" ht="20.25" customHeight="1" x14ac:dyDescent="0.3">
      <c r="A123" s="256">
        <v>6</v>
      </c>
      <c r="B123" s="257" t="s">
        <v>380</v>
      </c>
      <c r="C123" s="260">
        <v>225</v>
      </c>
      <c r="D123" s="260">
        <v>726</v>
      </c>
      <c r="E123" s="260">
        <f t="shared" si="16"/>
        <v>501</v>
      </c>
      <c r="F123" s="259">
        <f t="shared" si="17"/>
        <v>2.2266666666666666</v>
      </c>
    </row>
    <row r="124" spans="1:6" ht="20.25" customHeight="1" x14ac:dyDescent="0.3">
      <c r="A124" s="256">
        <v>7</v>
      </c>
      <c r="B124" s="257" t="s">
        <v>445</v>
      </c>
      <c r="C124" s="260">
        <v>610</v>
      </c>
      <c r="D124" s="260">
        <v>2275</v>
      </c>
      <c r="E124" s="260">
        <f t="shared" si="16"/>
        <v>1665</v>
      </c>
      <c r="F124" s="259">
        <f t="shared" si="17"/>
        <v>2.7295081967213113</v>
      </c>
    </row>
    <row r="125" spans="1:6" ht="20.25" customHeight="1" x14ac:dyDescent="0.3">
      <c r="A125" s="256">
        <v>8</v>
      </c>
      <c r="B125" s="257" t="s">
        <v>446</v>
      </c>
      <c r="C125" s="260">
        <v>72</v>
      </c>
      <c r="D125" s="260">
        <v>244</v>
      </c>
      <c r="E125" s="260">
        <f t="shared" si="16"/>
        <v>172</v>
      </c>
      <c r="F125" s="259">
        <f t="shared" si="17"/>
        <v>2.3888888888888888</v>
      </c>
    </row>
    <row r="126" spans="1:6" ht="20.25" customHeight="1" x14ac:dyDescent="0.3">
      <c r="A126" s="256">
        <v>9</v>
      </c>
      <c r="B126" s="257" t="s">
        <v>447</v>
      </c>
      <c r="C126" s="260">
        <v>36</v>
      </c>
      <c r="D126" s="260">
        <v>138</v>
      </c>
      <c r="E126" s="260">
        <f t="shared" si="16"/>
        <v>102</v>
      </c>
      <c r="F126" s="259">
        <f t="shared" si="17"/>
        <v>2.8333333333333335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3014348</v>
      </c>
      <c r="D127" s="263">
        <f>+D118+D120</f>
        <v>10194210</v>
      </c>
      <c r="E127" s="263">
        <f t="shared" si="16"/>
        <v>7179862</v>
      </c>
      <c r="F127" s="264">
        <f t="shared" si="17"/>
        <v>2.3818955210214612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691252</v>
      </c>
      <c r="D128" s="263">
        <f>+D119+D121</f>
        <v>2336471</v>
      </c>
      <c r="E128" s="263">
        <f t="shared" si="16"/>
        <v>1645219</v>
      </c>
      <c r="F128" s="264">
        <f t="shared" si="17"/>
        <v>2.3800567665627006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91606</v>
      </c>
      <c r="D131" s="258">
        <v>92608</v>
      </c>
      <c r="E131" s="258">
        <f t="shared" ref="E131:E141" si="18">D131-C131</f>
        <v>1002</v>
      </c>
      <c r="F131" s="259">
        <f t="shared" ref="F131:F141" si="19">IF(C131=0,0,E131/C131)</f>
        <v>1.0938148156234308E-2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30325</v>
      </c>
      <c r="E132" s="258">
        <f t="shared" si="18"/>
        <v>30325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109218</v>
      </c>
      <c r="D133" s="258">
        <v>91574</v>
      </c>
      <c r="E133" s="258">
        <f t="shared" si="18"/>
        <v>-17644</v>
      </c>
      <c r="F133" s="259">
        <f t="shared" si="19"/>
        <v>-0.16154846270761231</v>
      </c>
    </row>
    <row r="134" spans="1:6" ht="20.25" customHeight="1" x14ac:dyDescent="0.3">
      <c r="A134" s="256">
        <v>4</v>
      </c>
      <c r="B134" s="257" t="s">
        <v>444</v>
      </c>
      <c r="C134" s="258">
        <v>50582</v>
      </c>
      <c r="D134" s="258">
        <v>43201</v>
      </c>
      <c r="E134" s="258">
        <f t="shared" si="18"/>
        <v>-7381</v>
      </c>
      <c r="F134" s="259">
        <f t="shared" si="19"/>
        <v>-0.14592147404214939</v>
      </c>
    </row>
    <row r="135" spans="1:6" ht="20.25" customHeight="1" x14ac:dyDescent="0.3">
      <c r="A135" s="256">
        <v>5</v>
      </c>
      <c r="B135" s="257" t="s">
        <v>381</v>
      </c>
      <c r="C135" s="260">
        <v>4</v>
      </c>
      <c r="D135" s="260">
        <v>4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12</v>
      </c>
      <c r="D136" s="260">
        <v>21</v>
      </c>
      <c r="E136" s="260">
        <f t="shared" si="18"/>
        <v>9</v>
      </c>
      <c r="F136" s="259">
        <f t="shared" si="19"/>
        <v>0.75</v>
      </c>
    </row>
    <row r="137" spans="1:6" ht="20.25" customHeight="1" x14ac:dyDescent="0.3">
      <c r="A137" s="256">
        <v>7</v>
      </c>
      <c r="B137" s="257" t="s">
        <v>445</v>
      </c>
      <c r="C137" s="260">
        <v>26</v>
      </c>
      <c r="D137" s="260">
        <v>17</v>
      </c>
      <c r="E137" s="260">
        <f t="shared" si="18"/>
        <v>-9</v>
      </c>
      <c r="F137" s="259">
        <f t="shared" si="19"/>
        <v>-0.34615384615384615</v>
      </c>
    </row>
    <row r="138" spans="1:6" ht="20.25" customHeight="1" x14ac:dyDescent="0.3">
      <c r="A138" s="256">
        <v>8</v>
      </c>
      <c r="B138" s="257" t="s">
        <v>446</v>
      </c>
      <c r="C138" s="260">
        <v>10</v>
      </c>
      <c r="D138" s="260">
        <v>15</v>
      </c>
      <c r="E138" s="260">
        <f t="shared" si="18"/>
        <v>5</v>
      </c>
      <c r="F138" s="259">
        <f t="shared" si="19"/>
        <v>0.5</v>
      </c>
    </row>
    <row r="139" spans="1:6" ht="20.25" customHeight="1" x14ac:dyDescent="0.3">
      <c r="A139" s="256">
        <v>9</v>
      </c>
      <c r="B139" s="257" t="s">
        <v>447</v>
      </c>
      <c r="C139" s="260">
        <v>3</v>
      </c>
      <c r="D139" s="260">
        <v>4</v>
      </c>
      <c r="E139" s="260">
        <f t="shared" si="18"/>
        <v>1</v>
      </c>
      <c r="F139" s="259">
        <f t="shared" si="19"/>
        <v>0.33333333333333331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200824</v>
      </c>
      <c r="D140" s="263">
        <f>+D131+D133</f>
        <v>184182</v>
      </c>
      <c r="E140" s="263">
        <f t="shared" si="18"/>
        <v>-16642</v>
      </c>
      <c r="F140" s="264">
        <f t="shared" si="19"/>
        <v>-8.2868581444448877E-2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50582</v>
      </c>
      <c r="D141" s="263">
        <f>+D132+D134</f>
        <v>73526</v>
      </c>
      <c r="E141" s="263">
        <f t="shared" si="18"/>
        <v>22944</v>
      </c>
      <c r="F141" s="264">
        <f t="shared" si="19"/>
        <v>0.45360009489541736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214386</v>
      </c>
      <c r="D183" s="258">
        <v>67236</v>
      </c>
      <c r="E183" s="258">
        <f t="shared" ref="E183:E193" si="26">D183-C183</f>
        <v>-147150</v>
      </c>
      <c r="F183" s="259">
        <f t="shared" ref="F183:F193" si="27">IF(C183=0,0,E183/C183)</f>
        <v>-0.68637877473342479</v>
      </c>
    </row>
    <row r="184" spans="1:6" ht="20.25" customHeight="1" x14ac:dyDescent="0.3">
      <c r="A184" s="256">
        <v>2</v>
      </c>
      <c r="B184" s="257" t="s">
        <v>442</v>
      </c>
      <c r="C184" s="258">
        <v>42666</v>
      </c>
      <c r="D184" s="258">
        <v>15429</v>
      </c>
      <c r="E184" s="258">
        <f t="shared" si="26"/>
        <v>-27237</v>
      </c>
      <c r="F184" s="259">
        <f t="shared" si="27"/>
        <v>-0.63837716214315854</v>
      </c>
    </row>
    <row r="185" spans="1:6" ht="20.25" customHeight="1" x14ac:dyDescent="0.3">
      <c r="A185" s="256">
        <v>3</v>
      </c>
      <c r="B185" s="257" t="s">
        <v>443</v>
      </c>
      <c r="C185" s="258">
        <v>451229</v>
      </c>
      <c r="D185" s="258">
        <v>287287</v>
      </c>
      <c r="E185" s="258">
        <f t="shared" si="26"/>
        <v>-163942</v>
      </c>
      <c r="F185" s="259">
        <f t="shared" si="27"/>
        <v>-0.36332327931050529</v>
      </c>
    </row>
    <row r="186" spans="1:6" ht="20.25" customHeight="1" x14ac:dyDescent="0.3">
      <c r="A186" s="256">
        <v>4</v>
      </c>
      <c r="B186" s="257" t="s">
        <v>444</v>
      </c>
      <c r="C186" s="258">
        <v>77442</v>
      </c>
      <c r="D186" s="258">
        <v>47364</v>
      </c>
      <c r="E186" s="258">
        <f t="shared" si="26"/>
        <v>-30078</v>
      </c>
      <c r="F186" s="259">
        <f t="shared" si="27"/>
        <v>-0.38839389478577518</v>
      </c>
    </row>
    <row r="187" spans="1:6" ht="20.25" customHeight="1" x14ac:dyDescent="0.3">
      <c r="A187" s="256">
        <v>5</v>
      </c>
      <c r="B187" s="257" t="s">
        <v>381</v>
      </c>
      <c r="C187" s="260">
        <v>6</v>
      </c>
      <c r="D187" s="260">
        <v>2</v>
      </c>
      <c r="E187" s="260">
        <f t="shared" si="26"/>
        <v>-4</v>
      </c>
      <c r="F187" s="259">
        <f t="shared" si="27"/>
        <v>-0.66666666666666663</v>
      </c>
    </row>
    <row r="188" spans="1:6" ht="20.25" customHeight="1" x14ac:dyDescent="0.3">
      <c r="A188" s="256">
        <v>6</v>
      </c>
      <c r="B188" s="257" t="s">
        <v>380</v>
      </c>
      <c r="C188" s="260">
        <v>38</v>
      </c>
      <c r="D188" s="260">
        <v>12</v>
      </c>
      <c r="E188" s="260">
        <f t="shared" si="26"/>
        <v>-26</v>
      </c>
      <c r="F188" s="259">
        <f t="shared" si="27"/>
        <v>-0.68421052631578949</v>
      </c>
    </row>
    <row r="189" spans="1:6" ht="20.25" customHeight="1" x14ac:dyDescent="0.3">
      <c r="A189" s="256">
        <v>7</v>
      </c>
      <c r="B189" s="257" t="s">
        <v>445</v>
      </c>
      <c r="C189" s="260">
        <v>12</v>
      </c>
      <c r="D189" s="260">
        <v>9</v>
      </c>
      <c r="E189" s="260">
        <f t="shared" si="26"/>
        <v>-3</v>
      </c>
      <c r="F189" s="259">
        <f t="shared" si="27"/>
        <v>-0.25</v>
      </c>
    </row>
    <row r="190" spans="1:6" ht="20.25" customHeight="1" x14ac:dyDescent="0.3">
      <c r="A190" s="256">
        <v>8</v>
      </c>
      <c r="B190" s="257" t="s">
        <v>446</v>
      </c>
      <c r="C190" s="260">
        <v>22</v>
      </c>
      <c r="D190" s="260">
        <v>7</v>
      </c>
      <c r="E190" s="260">
        <f t="shared" si="26"/>
        <v>-15</v>
      </c>
      <c r="F190" s="259">
        <f t="shared" si="27"/>
        <v>-0.68181818181818177</v>
      </c>
    </row>
    <row r="191" spans="1:6" ht="20.25" customHeight="1" x14ac:dyDescent="0.3">
      <c r="A191" s="256">
        <v>9</v>
      </c>
      <c r="B191" s="257" t="s">
        <v>447</v>
      </c>
      <c r="C191" s="260">
        <v>6</v>
      </c>
      <c r="D191" s="260">
        <v>2</v>
      </c>
      <c r="E191" s="260">
        <f t="shared" si="26"/>
        <v>-4</v>
      </c>
      <c r="F191" s="259">
        <f t="shared" si="27"/>
        <v>-0.66666666666666663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665615</v>
      </c>
      <c r="D192" s="263">
        <f>+D183+D185</f>
        <v>354523</v>
      </c>
      <c r="E192" s="263">
        <f t="shared" si="26"/>
        <v>-311092</v>
      </c>
      <c r="F192" s="264">
        <f t="shared" si="27"/>
        <v>-0.4673752845113166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120108</v>
      </c>
      <c r="D193" s="263">
        <f>+D184+D186</f>
        <v>62793</v>
      </c>
      <c r="E193" s="263">
        <f t="shared" si="26"/>
        <v>-57315</v>
      </c>
      <c r="F193" s="264">
        <f t="shared" si="27"/>
        <v>-0.47719552402837445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30806568</v>
      </c>
      <c r="D198" s="263">
        <f t="shared" si="28"/>
        <v>33638793</v>
      </c>
      <c r="E198" s="263">
        <f t="shared" ref="E198:E208" si="29">D198-C198</f>
        <v>2832225</v>
      </c>
      <c r="F198" s="273">
        <f t="shared" ref="F198:F208" si="30">IF(C198=0,0,E198/C198)</f>
        <v>9.1935752142205521E-2</v>
      </c>
    </row>
    <row r="199" spans="1:9" ht="20.25" customHeight="1" x14ac:dyDescent="0.3">
      <c r="A199" s="271"/>
      <c r="B199" s="272" t="s">
        <v>466</v>
      </c>
      <c r="C199" s="263">
        <f t="shared" si="28"/>
        <v>7659117</v>
      </c>
      <c r="D199" s="263">
        <f t="shared" si="28"/>
        <v>8501894</v>
      </c>
      <c r="E199" s="263">
        <f t="shared" si="29"/>
        <v>842777</v>
      </c>
      <c r="F199" s="273">
        <f t="shared" si="30"/>
        <v>0.11003579133208176</v>
      </c>
    </row>
    <row r="200" spans="1:9" ht="20.25" customHeight="1" x14ac:dyDescent="0.3">
      <c r="A200" s="271"/>
      <c r="B200" s="272" t="s">
        <v>467</v>
      </c>
      <c r="C200" s="263">
        <f t="shared" si="28"/>
        <v>24835636</v>
      </c>
      <c r="D200" s="263">
        <f t="shared" si="28"/>
        <v>25867374</v>
      </c>
      <c r="E200" s="263">
        <f t="shared" si="29"/>
        <v>1031738</v>
      </c>
      <c r="F200" s="273">
        <f t="shared" si="30"/>
        <v>4.1542644609544127E-2</v>
      </c>
    </row>
    <row r="201" spans="1:9" ht="20.25" customHeight="1" x14ac:dyDescent="0.3">
      <c r="A201" s="271"/>
      <c r="B201" s="272" t="s">
        <v>468</v>
      </c>
      <c r="C201" s="263">
        <f t="shared" si="28"/>
        <v>4880721</v>
      </c>
      <c r="D201" s="263">
        <f t="shared" si="28"/>
        <v>5135967</v>
      </c>
      <c r="E201" s="263">
        <f t="shared" si="29"/>
        <v>255246</v>
      </c>
      <c r="F201" s="273">
        <f t="shared" si="30"/>
        <v>5.2296781561576661E-2</v>
      </c>
    </row>
    <row r="202" spans="1:9" ht="20.25" customHeight="1" x14ac:dyDescent="0.3">
      <c r="A202" s="271"/>
      <c r="B202" s="272" t="s">
        <v>138</v>
      </c>
      <c r="C202" s="274">
        <f t="shared" si="28"/>
        <v>952</v>
      </c>
      <c r="D202" s="274">
        <f t="shared" si="28"/>
        <v>1037</v>
      </c>
      <c r="E202" s="274">
        <f t="shared" si="29"/>
        <v>85</v>
      </c>
      <c r="F202" s="273">
        <f t="shared" si="30"/>
        <v>8.9285714285714288E-2</v>
      </c>
    </row>
    <row r="203" spans="1:9" ht="20.25" customHeight="1" x14ac:dyDescent="0.3">
      <c r="A203" s="271"/>
      <c r="B203" s="272" t="s">
        <v>140</v>
      </c>
      <c r="C203" s="274">
        <f t="shared" si="28"/>
        <v>4251</v>
      </c>
      <c r="D203" s="274">
        <f t="shared" si="28"/>
        <v>4766</v>
      </c>
      <c r="E203" s="274">
        <f t="shared" si="29"/>
        <v>515</v>
      </c>
      <c r="F203" s="273">
        <f t="shared" si="30"/>
        <v>0.12114796518466243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12937</v>
      </c>
      <c r="D204" s="274">
        <f t="shared" si="28"/>
        <v>11779</v>
      </c>
      <c r="E204" s="274">
        <f t="shared" si="29"/>
        <v>-1158</v>
      </c>
      <c r="F204" s="273">
        <f t="shared" si="30"/>
        <v>-8.95107057277576E-2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1720</v>
      </c>
      <c r="D205" s="274">
        <f t="shared" si="28"/>
        <v>1709</v>
      </c>
      <c r="E205" s="274">
        <f t="shared" si="29"/>
        <v>-11</v>
      </c>
      <c r="F205" s="273">
        <f t="shared" si="30"/>
        <v>-6.3953488372093022E-3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850</v>
      </c>
      <c r="D206" s="274">
        <f t="shared" si="28"/>
        <v>956</v>
      </c>
      <c r="E206" s="274">
        <f t="shared" si="29"/>
        <v>106</v>
      </c>
      <c r="F206" s="273">
        <f t="shared" si="30"/>
        <v>0.12470588235294118</v>
      </c>
    </row>
    <row r="207" spans="1:9" ht="20.25" customHeight="1" x14ac:dyDescent="0.3">
      <c r="A207" s="271"/>
      <c r="B207" s="262" t="s">
        <v>471</v>
      </c>
      <c r="C207" s="263">
        <f>+C198+C200</f>
        <v>55642204</v>
      </c>
      <c r="D207" s="263">
        <f>+D198+D200</f>
        <v>59506167</v>
      </c>
      <c r="E207" s="263">
        <f t="shared" si="29"/>
        <v>3863963</v>
      </c>
      <c r="F207" s="273">
        <f t="shared" si="30"/>
        <v>6.944302565728705E-2</v>
      </c>
    </row>
    <row r="208" spans="1:9" ht="20.25" customHeight="1" x14ac:dyDescent="0.3">
      <c r="A208" s="271"/>
      <c r="B208" s="262" t="s">
        <v>472</v>
      </c>
      <c r="C208" s="263">
        <f>+C199+C201</f>
        <v>12539838</v>
      </c>
      <c r="D208" s="263">
        <f>+D199+D201</f>
        <v>13637861</v>
      </c>
      <c r="E208" s="263">
        <f t="shared" si="29"/>
        <v>1098023</v>
      </c>
      <c r="F208" s="273">
        <f t="shared" si="30"/>
        <v>8.7562773936951971E-2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662498</v>
      </c>
      <c r="D26" s="258">
        <v>0</v>
      </c>
      <c r="E26" s="258">
        <f t="shared" ref="E26:E36" si="2">D26-C26</f>
        <v>-662498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131375</v>
      </c>
      <c r="D27" s="258">
        <v>0</v>
      </c>
      <c r="E27" s="258">
        <f t="shared" si="2"/>
        <v>-131375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2264512</v>
      </c>
      <c r="D28" s="258">
        <v>0</v>
      </c>
      <c r="E28" s="258">
        <f t="shared" si="2"/>
        <v>-2264512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404527</v>
      </c>
      <c r="D29" s="258">
        <v>0</v>
      </c>
      <c r="E29" s="258">
        <f t="shared" si="2"/>
        <v>-404527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50</v>
      </c>
      <c r="D30" s="260">
        <v>0</v>
      </c>
      <c r="E30" s="260">
        <f t="shared" si="2"/>
        <v>-50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123</v>
      </c>
      <c r="D31" s="260">
        <v>0</v>
      </c>
      <c r="E31" s="260">
        <f t="shared" si="2"/>
        <v>-123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3587</v>
      </c>
      <c r="D32" s="260">
        <v>0</v>
      </c>
      <c r="E32" s="260">
        <f t="shared" si="2"/>
        <v>-3587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938</v>
      </c>
      <c r="D33" s="260">
        <v>0</v>
      </c>
      <c r="E33" s="260">
        <f t="shared" si="2"/>
        <v>-938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14</v>
      </c>
      <c r="D34" s="260">
        <v>0</v>
      </c>
      <c r="E34" s="260">
        <f t="shared" si="2"/>
        <v>-14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2927010</v>
      </c>
      <c r="D35" s="263">
        <f>+D26+D28</f>
        <v>0</v>
      </c>
      <c r="E35" s="263">
        <f t="shared" si="2"/>
        <v>-2927010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535902</v>
      </c>
      <c r="D36" s="263">
        <f>+D27+D29</f>
        <v>0</v>
      </c>
      <c r="E36" s="263">
        <f t="shared" si="2"/>
        <v>-535902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486884</v>
      </c>
      <c r="D86" s="258">
        <v>0</v>
      </c>
      <c r="E86" s="258">
        <f t="shared" ref="E86:E96" si="12">D86-C86</f>
        <v>-486884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96550</v>
      </c>
      <c r="D87" s="258">
        <v>0</v>
      </c>
      <c r="E87" s="258">
        <f t="shared" si="12"/>
        <v>-96550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861679</v>
      </c>
      <c r="D88" s="258">
        <v>0</v>
      </c>
      <c r="E88" s="258">
        <f t="shared" si="12"/>
        <v>-861679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153928</v>
      </c>
      <c r="D89" s="258">
        <v>0</v>
      </c>
      <c r="E89" s="258">
        <f t="shared" si="12"/>
        <v>-153928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35</v>
      </c>
      <c r="D90" s="260">
        <v>0</v>
      </c>
      <c r="E90" s="260">
        <f t="shared" si="12"/>
        <v>-35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93</v>
      </c>
      <c r="D91" s="260">
        <v>0</v>
      </c>
      <c r="E91" s="260">
        <f t="shared" si="12"/>
        <v>-93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295</v>
      </c>
      <c r="D92" s="260">
        <v>0</v>
      </c>
      <c r="E92" s="260">
        <f t="shared" si="12"/>
        <v>-295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357</v>
      </c>
      <c r="D93" s="260">
        <v>0</v>
      </c>
      <c r="E93" s="260">
        <f t="shared" si="12"/>
        <v>-357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7</v>
      </c>
      <c r="D94" s="260">
        <v>0</v>
      </c>
      <c r="E94" s="260">
        <f t="shared" si="12"/>
        <v>-7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1348563</v>
      </c>
      <c r="D95" s="263">
        <f>+D86+D88</f>
        <v>0</v>
      </c>
      <c r="E95" s="263">
        <f t="shared" si="12"/>
        <v>-1348563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250478</v>
      </c>
      <c r="D96" s="263">
        <f>+D87+D89</f>
        <v>0</v>
      </c>
      <c r="E96" s="263">
        <f t="shared" si="12"/>
        <v>-250478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511981</v>
      </c>
      <c r="D98" s="258">
        <v>0</v>
      </c>
      <c r="E98" s="258">
        <f t="shared" ref="E98:E108" si="14">D98-C98</f>
        <v>-511981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101527</v>
      </c>
      <c r="D99" s="258">
        <v>0</v>
      </c>
      <c r="E99" s="258">
        <f t="shared" si="14"/>
        <v>-101527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1103913</v>
      </c>
      <c r="D100" s="258">
        <v>0</v>
      </c>
      <c r="E100" s="258">
        <f t="shared" si="14"/>
        <v>-1103913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197200</v>
      </c>
      <c r="D101" s="258">
        <v>0</v>
      </c>
      <c r="E101" s="258">
        <f t="shared" si="14"/>
        <v>-197200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28</v>
      </c>
      <c r="D102" s="260">
        <v>0</v>
      </c>
      <c r="E102" s="260">
        <f t="shared" si="14"/>
        <v>-28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71</v>
      </c>
      <c r="D103" s="260">
        <v>0</v>
      </c>
      <c r="E103" s="260">
        <f t="shared" si="14"/>
        <v>-71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321</v>
      </c>
      <c r="D104" s="260">
        <v>0</v>
      </c>
      <c r="E104" s="260">
        <f t="shared" si="14"/>
        <v>-321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438</v>
      </c>
      <c r="D105" s="260">
        <v>0</v>
      </c>
      <c r="E105" s="260">
        <f t="shared" si="14"/>
        <v>-438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10</v>
      </c>
      <c r="D106" s="260">
        <v>0</v>
      </c>
      <c r="E106" s="260">
        <f t="shared" si="14"/>
        <v>-10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1615894</v>
      </c>
      <c r="D107" s="263">
        <f>+D98+D100</f>
        <v>0</v>
      </c>
      <c r="E107" s="263">
        <f t="shared" si="14"/>
        <v>-1615894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298727</v>
      </c>
      <c r="D108" s="263">
        <f>+D99+D101</f>
        <v>0</v>
      </c>
      <c r="E108" s="263">
        <f t="shared" si="14"/>
        <v>-298727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1661363</v>
      </c>
      <c r="D112" s="263">
        <f t="shared" si="16"/>
        <v>0</v>
      </c>
      <c r="E112" s="263">
        <f t="shared" ref="E112:E122" si="17">D112-C112</f>
        <v>-1661363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329452</v>
      </c>
      <c r="D113" s="263">
        <f t="shared" si="16"/>
        <v>0</v>
      </c>
      <c r="E113" s="263">
        <f t="shared" si="17"/>
        <v>-329452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4230104</v>
      </c>
      <c r="D114" s="263">
        <f t="shared" si="16"/>
        <v>0</v>
      </c>
      <c r="E114" s="263">
        <f t="shared" si="17"/>
        <v>-4230104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755655</v>
      </c>
      <c r="D115" s="263">
        <f t="shared" si="16"/>
        <v>0</v>
      </c>
      <c r="E115" s="263">
        <f t="shared" si="17"/>
        <v>-755655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113</v>
      </c>
      <c r="D116" s="287">
        <f t="shared" si="16"/>
        <v>0</v>
      </c>
      <c r="E116" s="287">
        <f t="shared" si="17"/>
        <v>-113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287</v>
      </c>
      <c r="D117" s="287">
        <f t="shared" si="16"/>
        <v>0</v>
      </c>
      <c r="E117" s="287">
        <f t="shared" si="17"/>
        <v>-287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4203</v>
      </c>
      <c r="D118" s="287">
        <f t="shared" si="16"/>
        <v>0</v>
      </c>
      <c r="E118" s="287">
        <f t="shared" si="17"/>
        <v>-4203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1733</v>
      </c>
      <c r="D119" s="287">
        <f t="shared" si="16"/>
        <v>0</v>
      </c>
      <c r="E119" s="287">
        <f t="shared" si="17"/>
        <v>-1733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31</v>
      </c>
      <c r="D120" s="287">
        <f t="shared" si="16"/>
        <v>0</v>
      </c>
      <c r="E120" s="287">
        <f t="shared" si="17"/>
        <v>-31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5891467</v>
      </c>
      <c r="D121" s="263">
        <f>+D112+D114</f>
        <v>0</v>
      </c>
      <c r="E121" s="263">
        <f t="shared" si="17"/>
        <v>-5891467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1085107</v>
      </c>
      <c r="D122" s="263">
        <f>+D113+D115</f>
        <v>0</v>
      </c>
      <c r="E122" s="263">
        <f t="shared" si="17"/>
        <v>-1085107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10631688</v>
      </c>
      <c r="D13" s="22">
        <v>10022977</v>
      </c>
      <c r="E13" s="22">
        <f t="shared" ref="E13:E22" si="0">D13-C13</f>
        <v>-608711</v>
      </c>
      <c r="F13" s="306">
        <f t="shared" ref="F13:F22" si="1">IF(C13=0,0,E13/C13)</f>
        <v>-5.7254407766668847E-2</v>
      </c>
    </row>
    <row r="14" spans="1:8" ht="24" customHeight="1" x14ac:dyDescent="0.2">
      <c r="A14" s="304">
        <v>2</v>
      </c>
      <c r="B14" s="305" t="s">
        <v>17</v>
      </c>
      <c r="C14" s="22">
        <v>42693844</v>
      </c>
      <c r="D14" s="22">
        <v>33424704</v>
      </c>
      <c r="E14" s="22">
        <f t="shared" si="0"/>
        <v>-9269140</v>
      </c>
      <c r="F14" s="306">
        <f t="shared" si="1"/>
        <v>-0.2171071782620464</v>
      </c>
    </row>
    <row r="15" spans="1:8" ht="35.1" customHeight="1" x14ac:dyDescent="0.2">
      <c r="A15" s="304">
        <v>3</v>
      </c>
      <c r="B15" s="305" t="s">
        <v>18</v>
      </c>
      <c r="C15" s="22">
        <v>13110545</v>
      </c>
      <c r="D15" s="22">
        <v>14743574</v>
      </c>
      <c r="E15" s="22">
        <f t="shared" si="0"/>
        <v>1633029</v>
      </c>
      <c r="F15" s="306">
        <f t="shared" si="1"/>
        <v>0.12455843750202604</v>
      </c>
    </row>
    <row r="16" spans="1:8" ht="35.1" customHeight="1" x14ac:dyDescent="0.2">
      <c r="A16" s="304">
        <v>4</v>
      </c>
      <c r="B16" s="305" t="s">
        <v>19</v>
      </c>
      <c r="C16" s="22">
        <v>700398</v>
      </c>
      <c r="D16" s="22">
        <v>710605</v>
      </c>
      <c r="E16" s="22">
        <f t="shared" si="0"/>
        <v>10207</v>
      </c>
      <c r="F16" s="306">
        <f t="shared" si="1"/>
        <v>1.4573142698865503E-2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1308037</v>
      </c>
      <c r="D19" s="22">
        <v>1328031</v>
      </c>
      <c r="E19" s="22">
        <f t="shared" si="0"/>
        <v>19994</v>
      </c>
      <c r="F19" s="306">
        <f t="shared" si="1"/>
        <v>1.5285500333706157E-2</v>
      </c>
    </row>
    <row r="20" spans="1:11" ht="24" customHeight="1" x14ac:dyDescent="0.2">
      <c r="A20" s="304">
        <v>8</v>
      </c>
      <c r="B20" s="305" t="s">
        <v>23</v>
      </c>
      <c r="C20" s="22">
        <v>2838400</v>
      </c>
      <c r="D20" s="22">
        <v>2696107</v>
      </c>
      <c r="E20" s="22">
        <f t="shared" si="0"/>
        <v>-142293</v>
      </c>
      <c r="F20" s="306">
        <f t="shared" si="1"/>
        <v>-5.0131412063134158E-2</v>
      </c>
    </row>
    <row r="21" spans="1:11" ht="24" customHeight="1" x14ac:dyDescent="0.2">
      <c r="A21" s="304">
        <v>9</v>
      </c>
      <c r="B21" s="305" t="s">
        <v>24</v>
      </c>
      <c r="C21" s="22">
        <v>7736169</v>
      </c>
      <c r="D21" s="22">
        <v>4081521</v>
      </c>
      <c r="E21" s="22">
        <f t="shared" si="0"/>
        <v>-3654648</v>
      </c>
      <c r="F21" s="306">
        <f t="shared" si="1"/>
        <v>-0.47241056910726742</v>
      </c>
    </row>
    <row r="22" spans="1:11" ht="24" customHeight="1" x14ac:dyDescent="0.25">
      <c r="A22" s="307"/>
      <c r="B22" s="308" t="s">
        <v>25</v>
      </c>
      <c r="C22" s="309">
        <f>SUM(C13:C21)</f>
        <v>79019081</v>
      </c>
      <c r="D22" s="309">
        <f>SUM(D13:D21)</f>
        <v>67007519</v>
      </c>
      <c r="E22" s="309">
        <f t="shared" si="0"/>
        <v>-12011562</v>
      </c>
      <c r="F22" s="310">
        <f t="shared" si="1"/>
        <v>-0.15200837377493673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3650093</v>
      </c>
      <c r="D25" s="22">
        <v>3670942</v>
      </c>
      <c r="E25" s="22">
        <f>D25-C25</f>
        <v>20849</v>
      </c>
      <c r="F25" s="306">
        <f>IF(C25=0,0,E25/C25)</f>
        <v>5.7119092582024623E-3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1090073</v>
      </c>
      <c r="D26" s="22">
        <v>1191763</v>
      </c>
      <c r="E26" s="22">
        <f>D26-C26</f>
        <v>101690</v>
      </c>
      <c r="F26" s="306">
        <f>IF(C26=0,0,E26/C26)</f>
        <v>9.3287330298062604E-2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850000</v>
      </c>
      <c r="D27" s="22">
        <v>855461</v>
      </c>
      <c r="E27" s="22">
        <f>D27-C27</f>
        <v>5461</v>
      </c>
      <c r="F27" s="306">
        <f>IF(C27=0,0,E27/C27)</f>
        <v>6.4247058823529409E-3</v>
      </c>
    </row>
    <row r="28" spans="1:11" ht="35.1" customHeight="1" x14ac:dyDescent="0.2">
      <c r="A28" s="304">
        <v>4</v>
      </c>
      <c r="B28" s="305" t="s">
        <v>31</v>
      </c>
      <c r="C28" s="22">
        <v>4288627</v>
      </c>
      <c r="D28" s="22">
        <v>4289166</v>
      </c>
      <c r="E28" s="22">
        <f>D28-C28</f>
        <v>539</v>
      </c>
      <c r="F28" s="306">
        <f>IF(C28=0,0,E28/C28)</f>
        <v>1.256812495001314E-4</v>
      </c>
    </row>
    <row r="29" spans="1:11" ht="35.1" customHeight="1" x14ac:dyDescent="0.25">
      <c r="A29" s="307"/>
      <c r="B29" s="308" t="s">
        <v>32</v>
      </c>
      <c r="C29" s="309">
        <f>SUM(C25:C28)</f>
        <v>9878793</v>
      </c>
      <c r="D29" s="309">
        <f>SUM(D25:D28)</f>
        <v>10007332</v>
      </c>
      <c r="E29" s="309">
        <f>D29-C29</f>
        <v>128539</v>
      </c>
      <c r="F29" s="310">
        <f>IF(C29=0,0,E29/C29)</f>
        <v>1.3011609819134786E-2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2770764</v>
      </c>
      <c r="D32" s="22">
        <v>3413527</v>
      </c>
      <c r="E32" s="22">
        <f>D32-C32</f>
        <v>642763</v>
      </c>
      <c r="F32" s="306">
        <f>IF(C32=0,0,E32/C32)</f>
        <v>0.23198042128452659</v>
      </c>
    </row>
    <row r="33" spans="1:8" ht="24" customHeight="1" x14ac:dyDescent="0.2">
      <c r="A33" s="304">
        <v>7</v>
      </c>
      <c r="B33" s="305" t="s">
        <v>35</v>
      </c>
      <c r="C33" s="22">
        <v>13647118</v>
      </c>
      <c r="D33" s="22">
        <v>15381814</v>
      </c>
      <c r="E33" s="22">
        <f>D33-C33</f>
        <v>1734696</v>
      </c>
      <c r="F33" s="306">
        <f>IF(C33=0,0,E33/C33)</f>
        <v>0.12711079364888617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156495469</v>
      </c>
      <c r="D36" s="22">
        <v>158371244</v>
      </c>
      <c r="E36" s="22">
        <f>D36-C36</f>
        <v>1875775</v>
      </c>
      <c r="F36" s="306">
        <f>IF(C36=0,0,E36/C36)</f>
        <v>1.1986129770952026E-2</v>
      </c>
    </row>
    <row r="37" spans="1:8" ht="24" customHeight="1" x14ac:dyDescent="0.2">
      <c r="A37" s="304">
        <v>2</v>
      </c>
      <c r="B37" s="305" t="s">
        <v>39</v>
      </c>
      <c r="C37" s="22">
        <v>91910289</v>
      </c>
      <c r="D37" s="22">
        <v>98199515</v>
      </c>
      <c r="E37" s="22">
        <f>D37-C37</f>
        <v>6289226</v>
      </c>
      <c r="F37" s="22">
        <f>IF(C37=0,0,E37/C37)</f>
        <v>6.8427877536104798E-2</v>
      </c>
    </row>
    <row r="38" spans="1:8" ht="24" customHeight="1" x14ac:dyDescent="0.25">
      <c r="A38" s="307"/>
      <c r="B38" s="308" t="s">
        <v>40</v>
      </c>
      <c r="C38" s="309">
        <f>C36-C37</f>
        <v>64585180</v>
      </c>
      <c r="D38" s="309">
        <f>D36-D37</f>
        <v>60171729</v>
      </c>
      <c r="E38" s="309">
        <f>D38-C38</f>
        <v>-4413451</v>
      </c>
      <c r="F38" s="310">
        <f>IF(C38=0,0,E38/C38)</f>
        <v>-6.8335351856261758E-2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130530</v>
      </c>
      <c r="D40" s="22">
        <v>210246</v>
      </c>
      <c r="E40" s="22">
        <f>D40-C40</f>
        <v>79716</v>
      </c>
      <c r="F40" s="306">
        <f>IF(C40=0,0,E40/C40)</f>
        <v>0.61071018156745571</v>
      </c>
    </row>
    <row r="41" spans="1:8" ht="24" customHeight="1" x14ac:dyDescent="0.25">
      <c r="A41" s="307"/>
      <c r="B41" s="308" t="s">
        <v>42</v>
      </c>
      <c r="C41" s="309">
        <f>+C38+C40</f>
        <v>64715710</v>
      </c>
      <c r="D41" s="309">
        <f>+D38+D40</f>
        <v>60381975</v>
      </c>
      <c r="E41" s="309">
        <f>D41-C41</f>
        <v>-4333735</v>
      </c>
      <c r="F41" s="310">
        <f>IF(C41=0,0,E41/C41)</f>
        <v>-6.6965733668069155E-2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170031466</v>
      </c>
      <c r="D43" s="309">
        <f>D22+D29+D31+D32+D33+D41</f>
        <v>156192167</v>
      </c>
      <c r="E43" s="309">
        <f>D43-C43</f>
        <v>-13839299</v>
      </c>
      <c r="F43" s="310">
        <f>IF(C43=0,0,E43/C43)</f>
        <v>-8.1392575889453311E-2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30071757</v>
      </c>
      <c r="D49" s="22">
        <v>26566787</v>
      </c>
      <c r="E49" s="22">
        <f t="shared" ref="E49:E56" si="2">D49-C49</f>
        <v>-3504970</v>
      </c>
      <c r="F49" s="306">
        <f t="shared" ref="F49:F56" si="3">IF(C49=0,0,E49/C49)</f>
        <v>-0.1165535488997201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1544848</v>
      </c>
      <c r="D50" s="22">
        <v>1609530</v>
      </c>
      <c r="E50" s="22">
        <f t="shared" si="2"/>
        <v>64682</v>
      </c>
      <c r="F50" s="306">
        <f t="shared" si="3"/>
        <v>4.18694913674355E-2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6510397</v>
      </c>
      <c r="D53" s="22">
        <v>5724617</v>
      </c>
      <c r="E53" s="22">
        <f t="shared" si="2"/>
        <v>-785780</v>
      </c>
      <c r="F53" s="306">
        <f t="shared" si="3"/>
        <v>-0.12069617259899819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3641991</v>
      </c>
      <c r="D55" s="22">
        <v>3205106</v>
      </c>
      <c r="E55" s="22">
        <f t="shared" si="2"/>
        <v>-436885</v>
      </c>
      <c r="F55" s="306">
        <f t="shared" si="3"/>
        <v>-0.11995773740242631</v>
      </c>
    </row>
    <row r="56" spans="1:6" ht="24" customHeight="1" x14ac:dyDescent="0.25">
      <c r="A56" s="307"/>
      <c r="B56" s="308" t="s">
        <v>54</v>
      </c>
      <c r="C56" s="309">
        <f>SUM(C49:C55)</f>
        <v>41768993</v>
      </c>
      <c r="D56" s="309">
        <f>SUM(D49:D55)</f>
        <v>37106040</v>
      </c>
      <c r="E56" s="309">
        <f t="shared" si="2"/>
        <v>-4662953</v>
      </c>
      <c r="F56" s="310">
        <f t="shared" si="3"/>
        <v>-0.1116367109927692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49939639</v>
      </c>
      <c r="D59" s="22">
        <v>46821566</v>
      </c>
      <c r="E59" s="22">
        <f>D59-C59</f>
        <v>-3118073</v>
      </c>
      <c r="F59" s="306">
        <f>IF(C59=0,0,E59/C59)</f>
        <v>-6.2436834995943803E-2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49939639</v>
      </c>
      <c r="D61" s="309">
        <f>SUM(D59:D60)</f>
        <v>46821566</v>
      </c>
      <c r="E61" s="309">
        <f>D61-C61</f>
        <v>-3118073</v>
      </c>
      <c r="F61" s="310">
        <f>IF(C61=0,0,E61/C61)</f>
        <v>-6.2436834995943803E-2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42427930</v>
      </c>
      <c r="D63" s="22">
        <v>30640516</v>
      </c>
      <c r="E63" s="22">
        <f>D63-C63</f>
        <v>-11787414</v>
      </c>
      <c r="F63" s="306">
        <f>IF(C63=0,0,E63/C63)</f>
        <v>-0.27782203845438608</v>
      </c>
    </row>
    <row r="64" spans="1:6" ht="24" customHeight="1" x14ac:dyDescent="0.2">
      <c r="A64" s="304">
        <v>4</v>
      </c>
      <c r="B64" s="305" t="s">
        <v>60</v>
      </c>
      <c r="C64" s="22">
        <v>64707782</v>
      </c>
      <c r="D64" s="22">
        <v>54058542</v>
      </c>
      <c r="E64" s="22">
        <f>D64-C64</f>
        <v>-10649240</v>
      </c>
      <c r="F64" s="306">
        <f>IF(C64=0,0,E64/C64)</f>
        <v>-0.16457433203320121</v>
      </c>
    </row>
    <row r="65" spans="1:6" ht="24" customHeight="1" x14ac:dyDescent="0.25">
      <c r="A65" s="307"/>
      <c r="B65" s="308" t="s">
        <v>61</v>
      </c>
      <c r="C65" s="309">
        <f>SUM(C61:C64)</f>
        <v>157075351</v>
      </c>
      <c r="D65" s="309">
        <f>SUM(D61:D64)</f>
        <v>131520624</v>
      </c>
      <c r="E65" s="309">
        <f>D65-C65</f>
        <v>-25554727</v>
      </c>
      <c r="F65" s="310">
        <f>IF(C65=0,0,E65/C65)</f>
        <v>-0.16269087948751423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1455857</v>
      </c>
      <c r="D67" s="22">
        <v>-565562</v>
      </c>
      <c r="E67" s="22">
        <f>D67-C67</f>
        <v>-2021419</v>
      </c>
      <c r="F67" s="321">
        <f>IF(C67=0,0,E67/C67)</f>
        <v>-1.3884735932169163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-38333914</v>
      </c>
      <c r="D70" s="22">
        <v>-20374016</v>
      </c>
      <c r="E70" s="22">
        <f>D70-C70</f>
        <v>17959898</v>
      </c>
      <c r="F70" s="306">
        <f>IF(C70=0,0,E70/C70)</f>
        <v>-0.46851198132285682</v>
      </c>
    </row>
    <row r="71" spans="1:6" ht="24" customHeight="1" x14ac:dyDescent="0.2">
      <c r="A71" s="304">
        <v>2</v>
      </c>
      <c r="B71" s="305" t="s">
        <v>65</v>
      </c>
      <c r="C71" s="22">
        <v>2254825</v>
      </c>
      <c r="D71" s="22">
        <v>2673878</v>
      </c>
      <c r="E71" s="22">
        <f>D71-C71</f>
        <v>419053</v>
      </c>
      <c r="F71" s="306">
        <f>IF(C71=0,0,E71/C71)</f>
        <v>0.18584723869923386</v>
      </c>
    </row>
    <row r="72" spans="1:6" ht="24" customHeight="1" x14ac:dyDescent="0.2">
      <c r="A72" s="304">
        <v>3</v>
      </c>
      <c r="B72" s="305" t="s">
        <v>66</v>
      </c>
      <c r="C72" s="22">
        <v>5810354</v>
      </c>
      <c r="D72" s="22">
        <v>5831203</v>
      </c>
      <c r="E72" s="22">
        <f>D72-C72</f>
        <v>20849</v>
      </c>
      <c r="F72" s="306">
        <f>IF(C72=0,0,E72/C72)</f>
        <v>3.5882495283419908E-3</v>
      </c>
    </row>
    <row r="73" spans="1:6" ht="24" customHeight="1" x14ac:dyDescent="0.25">
      <c r="A73" s="304"/>
      <c r="B73" s="308" t="s">
        <v>67</v>
      </c>
      <c r="C73" s="309">
        <f>SUM(C70:C72)</f>
        <v>-30268735</v>
      </c>
      <c r="D73" s="309">
        <f>SUM(D70:D72)</f>
        <v>-11868935</v>
      </c>
      <c r="E73" s="309">
        <f>D73-C73</f>
        <v>18399800</v>
      </c>
      <c r="F73" s="310">
        <f>IF(C73=0,0,E73/C73)</f>
        <v>-0.60788136669735293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170031466</v>
      </c>
      <c r="D75" s="309">
        <f>D56+D65+D67+D73</f>
        <v>156192167</v>
      </c>
      <c r="E75" s="309">
        <f>D75-C75</f>
        <v>-13839299</v>
      </c>
      <c r="F75" s="310">
        <f>IF(C75=0,0,E75/C75)</f>
        <v>-8.1392575889453311E-2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423462354</v>
      </c>
      <c r="D11" s="76">
        <v>449887862</v>
      </c>
      <c r="E11" s="76">
        <f t="shared" ref="E11:E20" si="0">D11-C11</f>
        <v>26425508</v>
      </c>
      <c r="F11" s="77">
        <f t="shared" ref="F11:F20" si="1">IF(C11=0,0,E11/C11)</f>
        <v>6.2403440944363141E-2</v>
      </c>
    </row>
    <row r="12" spans="1:7" ht="23.1" customHeight="1" x14ac:dyDescent="0.2">
      <c r="A12" s="74">
        <v>2</v>
      </c>
      <c r="B12" s="75" t="s">
        <v>72</v>
      </c>
      <c r="C12" s="76">
        <v>292696932</v>
      </c>
      <c r="D12" s="76">
        <v>313509312</v>
      </c>
      <c r="E12" s="76">
        <f t="shared" si="0"/>
        <v>20812380</v>
      </c>
      <c r="F12" s="77">
        <f t="shared" si="1"/>
        <v>7.1105562527727484E-2</v>
      </c>
    </row>
    <row r="13" spans="1:7" ht="23.1" customHeight="1" x14ac:dyDescent="0.2">
      <c r="A13" s="74">
        <v>3</v>
      </c>
      <c r="B13" s="75" t="s">
        <v>73</v>
      </c>
      <c r="C13" s="76">
        <v>6785015</v>
      </c>
      <c r="D13" s="76">
        <v>4849739</v>
      </c>
      <c r="E13" s="76">
        <f t="shared" si="0"/>
        <v>-1935276</v>
      </c>
      <c r="F13" s="77">
        <f t="shared" si="1"/>
        <v>-0.28522796191312766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123980407</v>
      </c>
      <c r="D15" s="79">
        <f>D11-D12-D13-D14</f>
        <v>131528811</v>
      </c>
      <c r="E15" s="79">
        <f t="shared" si="0"/>
        <v>7548404</v>
      </c>
      <c r="F15" s="80">
        <f t="shared" si="1"/>
        <v>6.0883845945109698E-2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2517513</v>
      </c>
      <c r="E16" s="76">
        <f t="shared" si="0"/>
        <v>2517513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123980407</v>
      </c>
      <c r="D17" s="79">
        <f>D15-D16</f>
        <v>129011298</v>
      </c>
      <c r="E17" s="79">
        <f t="shared" si="0"/>
        <v>5030891</v>
      </c>
      <c r="F17" s="80">
        <f t="shared" si="1"/>
        <v>4.0578113282044637E-2</v>
      </c>
    </row>
    <row r="18" spans="1:7" ht="23.1" customHeight="1" x14ac:dyDescent="0.2">
      <c r="A18" s="74">
        <v>6</v>
      </c>
      <c r="B18" s="75" t="s">
        <v>78</v>
      </c>
      <c r="C18" s="76">
        <v>22435649</v>
      </c>
      <c r="D18" s="76">
        <v>14910925</v>
      </c>
      <c r="E18" s="76">
        <f t="shared" si="0"/>
        <v>-7524724</v>
      </c>
      <c r="F18" s="77">
        <f t="shared" si="1"/>
        <v>-0.33539141212273377</v>
      </c>
      <c r="G18" s="65"/>
    </row>
    <row r="19" spans="1:7" ht="33" customHeight="1" x14ac:dyDescent="0.2">
      <c r="A19" s="74">
        <v>7</v>
      </c>
      <c r="B19" s="82" t="s">
        <v>79</v>
      </c>
      <c r="C19" s="76">
        <v>993057</v>
      </c>
      <c r="D19" s="76">
        <v>947997</v>
      </c>
      <c r="E19" s="76">
        <f t="shared" si="0"/>
        <v>-45060</v>
      </c>
      <c r="F19" s="77">
        <f t="shared" si="1"/>
        <v>-4.537503889504832E-2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147409113</v>
      </c>
      <c r="D20" s="79">
        <f>SUM(D17:D19)</f>
        <v>144870220</v>
      </c>
      <c r="E20" s="79">
        <f t="shared" si="0"/>
        <v>-2538893</v>
      </c>
      <c r="F20" s="80">
        <f t="shared" si="1"/>
        <v>-1.7223446694235246E-2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59693730</v>
      </c>
      <c r="D23" s="76">
        <v>60690664</v>
      </c>
      <c r="E23" s="76">
        <f t="shared" ref="E23:E32" si="2">D23-C23</f>
        <v>996934</v>
      </c>
      <c r="F23" s="77">
        <f t="shared" ref="F23:F32" si="3">IF(C23=0,0,E23/C23)</f>
        <v>1.6700815981846001E-2</v>
      </c>
    </row>
    <row r="24" spans="1:7" ht="23.1" customHeight="1" x14ac:dyDescent="0.2">
      <c r="A24" s="74">
        <v>2</v>
      </c>
      <c r="B24" s="75" t="s">
        <v>83</v>
      </c>
      <c r="C24" s="76">
        <v>21989371</v>
      </c>
      <c r="D24" s="76">
        <v>21296818</v>
      </c>
      <c r="E24" s="76">
        <f t="shared" si="2"/>
        <v>-692553</v>
      </c>
      <c r="F24" s="77">
        <f t="shared" si="3"/>
        <v>-3.1494898148746502E-2</v>
      </c>
    </row>
    <row r="25" spans="1:7" ht="23.1" customHeight="1" x14ac:dyDescent="0.2">
      <c r="A25" s="74">
        <v>3</v>
      </c>
      <c r="B25" s="75" t="s">
        <v>84</v>
      </c>
      <c r="C25" s="76">
        <v>3068669</v>
      </c>
      <c r="D25" s="76">
        <v>2857151</v>
      </c>
      <c r="E25" s="76">
        <f t="shared" si="2"/>
        <v>-211518</v>
      </c>
      <c r="F25" s="77">
        <f t="shared" si="3"/>
        <v>-6.8928255214231321E-2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19330611</v>
      </c>
      <c r="D26" s="76">
        <v>22587369</v>
      </c>
      <c r="E26" s="76">
        <f t="shared" si="2"/>
        <v>3256758</v>
      </c>
      <c r="F26" s="77">
        <f t="shared" si="3"/>
        <v>0.16847672326549842</v>
      </c>
    </row>
    <row r="27" spans="1:7" ht="23.1" customHeight="1" x14ac:dyDescent="0.2">
      <c r="A27" s="74">
        <v>5</v>
      </c>
      <c r="B27" s="75" t="s">
        <v>86</v>
      </c>
      <c r="C27" s="76">
        <v>6170889</v>
      </c>
      <c r="D27" s="76">
        <v>6572783</v>
      </c>
      <c r="E27" s="76">
        <f t="shared" si="2"/>
        <v>401894</v>
      </c>
      <c r="F27" s="77">
        <f t="shared" si="3"/>
        <v>6.5127407088346592E-2</v>
      </c>
    </row>
    <row r="28" spans="1:7" ht="23.1" customHeight="1" x14ac:dyDescent="0.2">
      <c r="A28" s="74">
        <v>6</v>
      </c>
      <c r="B28" s="75" t="s">
        <v>87</v>
      </c>
      <c r="C28" s="76">
        <v>1156742</v>
      </c>
      <c r="D28" s="76">
        <v>0</v>
      </c>
      <c r="E28" s="76">
        <f t="shared" si="2"/>
        <v>-1156742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2945202</v>
      </c>
      <c r="D29" s="76">
        <v>2923264</v>
      </c>
      <c r="E29" s="76">
        <f t="shared" si="2"/>
        <v>-21938</v>
      </c>
      <c r="F29" s="77">
        <f t="shared" si="3"/>
        <v>-7.4487250789589303E-3</v>
      </c>
    </row>
    <row r="30" spans="1:7" ht="23.1" customHeight="1" x14ac:dyDescent="0.2">
      <c r="A30" s="74">
        <v>8</v>
      </c>
      <c r="B30" s="75" t="s">
        <v>89</v>
      </c>
      <c r="C30" s="76">
        <v>1472966</v>
      </c>
      <c r="D30" s="76">
        <v>3082676</v>
      </c>
      <c r="E30" s="76">
        <f t="shared" si="2"/>
        <v>1609710</v>
      </c>
      <c r="F30" s="77">
        <f t="shared" si="3"/>
        <v>1.09283581562643</v>
      </c>
    </row>
    <row r="31" spans="1:7" ht="23.1" customHeight="1" x14ac:dyDescent="0.2">
      <c r="A31" s="74">
        <v>9</v>
      </c>
      <c r="B31" s="75" t="s">
        <v>90</v>
      </c>
      <c r="C31" s="76">
        <v>38969443</v>
      </c>
      <c r="D31" s="76">
        <v>29344404</v>
      </c>
      <c r="E31" s="76">
        <f t="shared" si="2"/>
        <v>-9625039</v>
      </c>
      <c r="F31" s="77">
        <f t="shared" si="3"/>
        <v>-0.24698939114936799</v>
      </c>
    </row>
    <row r="32" spans="1:7" ht="23.1" customHeight="1" x14ac:dyDescent="0.25">
      <c r="A32" s="71"/>
      <c r="B32" s="78" t="s">
        <v>91</v>
      </c>
      <c r="C32" s="79">
        <f>SUM(C23:C31)</f>
        <v>154797623</v>
      </c>
      <c r="D32" s="79">
        <f>SUM(D23:D31)</f>
        <v>149355129</v>
      </c>
      <c r="E32" s="79">
        <f t="shared" si="2"/>
        <v>-5442494</v>
      </c>
      <c r="F32" s="80">
        <f t="shared" si="3"/>
        <v>-3.5158769847518909E-2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-7388510</v>
      </c>
      <c r="D34" s="79">
        <f>+D20-D32</f>
        <v>-4484909</v>
      </c>
      <c r="E34" s="79">
        <f>D34-C34</f>
        <v>2903601</v>
      </c>
      <c r="F34" s="80">
        <f>IF(C34=0,0,E34/C34)</f>
        <v>-0.39298870814277848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2389209</v>
      </c>
      <c r="D37" s="76">
        <v>2475312</v>
      </c>
      <c r="E37" s="76">
        <f>D37-C37</f>
        <v>86103</v>
      </c>
      <c r="F37" s="77">
        <f>IF(C37=0,0,E37/C37)</f>
        <v>3.6038287148591856E-2</v>
      </c>
    </row>
    <row r="38" spans="1:6" ht="23.1" customHeight="1" x14ac:dyDescent="0.2">
      <c r="A38" s="85">
        <v>2</v>
      </c>
      <c r="B38" s="75" t="s">
        <v>95</v>
      </c>
      <c r="C38" s="76">
        <v>233021</v>
      </c>
      <c r="D38" s="76">
        <v>519852</v>
      </c>
      <c r="E38" s="76">
        <f>D38-C38</f>
        <v>286831</v>
      </c>
      <c r="F38" s="77">
        <f>IF(C38=0,0,E38/C38)</f>
        <v>1.2309233931705725</v>
      </c>
    </row>
    <row r="39" spans="1:6" ht="23.1" customHeight="1" x14ac:dyDescent="0.2">
      <c r="A39" s="85">
        <v>3</v>
      </c>
      <c r="B39" s="75" t="s">
        <v>96</v>
      </c>
      <c r="C39" s="76">
        <v>-955783</v>
      </c>
      <c r="D39" s="76">
        <v>3420415</v>
      </c>
      <c r="E39" s="76">
        <f>D39-C39</f>
        <v>4376198</v>
      </c>
      <c r="F39" s="77">
        <f>IF(C39=0,0,E39/C39)</f>
        <v>-4.5786522673033527</v>
      </c>
    </row>
    <row r="40" spans="1:6" ht="23.1" customHeight="1" x14ac:dyDescent="0.25">
      <c r="A40" s="83"/>
      <c r="B40" s="78" t="s">
        <v>97</v>
      </c>
      <c r="C40" s="79">
        <f>SUM(C37:C39)</f>
        <v>1666447</v>
      </c>
      <c r="D40" s="79">
        <f>SUM(D37:D39)</f>
        <v>6415579</v>
      </c>
      <c r="E40" s="79">
        <f>D40-C40</f>
        <v>4749132</v>
      </c>
      <c r="F40" s="80">
        <f>IF(C40=0,0,E40/C40)</f>
        <v>2.849854810864072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-5722063</v>
      </c>
      <c r="D42" s="79">
        <f>D34+D40</f>
        <v>1930670</v>
      </c>
      <c r="E42" s="79">
        <f>D42-C42</f>
        <v>7652733</v>
      </c>
      <c r="F42" s="80">
        <f>IF(C42=0,0,E42/C42)</f>
        <v>-1.3374080292370076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-645515</v>
      </c>
      <c r="D46" s="76">
        <v>-775571</v>
      </c>
      <c r="E46" s="76">
        <f>D46-C46</f>
        <v>-130056</v>
      </c>
      <c r="F46" s="77">
        <f>IF(C46=0,0,E46/C46)</f>
        <v>0.20147634059626809</v>
      </c>
    </row>
    <row r="47" spans="1:6" ht="23.1" customHeight="1" x14ac:dyDescent="0.25">
      <c r="A47" s="83"/>
      <c r="B47" s="78" t="s">
        <v>102</v>
      </c>
      <c r="C47" s="79">
        <f>SUM(C45:C46)</f>
        <v>-645515</v>
      </c>
      <c r="D47" s="79">
        <f>SUM(D45:D46)</f>
        <v>-775571</v>
      </c>
      <c r="E47" s="79">
        <f>D47-C47</f>
        <v>-130056</v>
      </c>
      <c r="F47" s="80">
        <f>IF(C47=0,0,E47/C47)</f>
        <v>0.20147634059626809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-6367578</v>
      </c>
      <c r="D49" s="79">
        <f>D42+D47</f>
        <v>1155099</v>
      </c>
      <c r="E49" s="79">
        <f>D49-C49</f>
        <v>7522677</v>
      </c>
      <c r="F49" s="80">
        <f>IF(C49=0,0,E49/C49)</f>
        <v>-1.1814031960032527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2014-10-07T12:11:36Z</cp:lastPrinted>
  <dcterms:created xsi:type="dcterms:W3CDTF">2014-10-06T18:23:35Z</dcterms:created>
  <dcterms:modified xsi:type="dcterms:W3CDTF">2014-10-09T17:59:30Z</dcterms:modified>
</cp:coreProperties>
</file>