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  <sheet name="Sheet1" sheetId="20" r:id="rId20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Report_400!$A$10:$G$45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4525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 s="1"/>
  <c r="D238" i="14"/>
  <c r="D237" i="14"/>
  <c r="D230" i="14"/>
  <c r="D229" i="14"/>
  <c r="E229" i="14" s="1"/>
  <c r="F229" i="14" s="1"/>
  <c r="D226" i="14"/>
  <c r="D227" i="14"/>
  <c r="D223" i="14"/>
  <c r="D204" i="14"/>
  <c r="D269" i="14" s="1"/>
  <c r="D203" i="14"/>
  <c r="D283" i="14" s="1"/>
  <c r="D200" i="14"/>
  <c r="D198" i="14"/>
  <c r="D274" i="14" s="1"/>
  <c r="D290" i="14"/>
  <c r="D191" i="14"/>
  <c r="D264" i="14"/>
  <c r="D300" i="14" s="1"/>
  <c r="D189" i="14"/>
  <c r="D278" i="14"/>
  <c r="D188" i="14"/>
  <c r="D180" i="14"/>
  <c r="D181" i="14" s="1"/>
  <c r="E181" i="14" s="1"/>
  <c r="F181" i="14" s="1"/>
  <c r="D179" i="14"/>
  <c r="D171" i="14"/>
  <c r="D170" i="14"/>
  <c r="D165" i="14"/>
  <c r="D164" i="14"/>
  <c r="D158" i="14"/>
  <c r="D159" i="14" s="1"/>
  <c r="D160" i="14" s="1"/>
  <c r="D155" i="14"/>
  <c r="D145" i="14"/>
  <c r="D144" i="14"/>
  <c r="D136" i="14"/>
  <c r="D137" i="14" s="1"/>
  <c r="D135" i="14"/>
  <c r="D130" i="14"/>
  <c r="E130" i="14" s="1"/>
  <c r="F130" i="14" s="1"/>
  <c r="D129" i="14"/>
  <c r="D123" i="14"/>
  <c r="D192" i="14" s="1"/>
  <c r="D193" i="14" s="1"/>
  <c r="D282" i="14" s="1"/>
  <c r="D120" i="14"/>
  <c r="D110" i="14"/>
  <c r="E110" i="14" s="1"/>
  <c r="F110" i="14" s="1"/>
  <c r="D109" i="14"/>
  <c r="D101" i="14"/>
  <c r="D100" i="14"/>
  <c r="D95" i="14"/>
  <c r="D94" i="14"/>
  <c r="D88" i="14"/>
  <c r="D89" i="14"/>
  <c r="D85" i="14"/>
  <c r="D76" i="14"/>
  <c r="D77" i="14" s="1"/>
  <c r="D67" i="14"/>
  <c r="D66" i="14"/>
  <c r="D68" i="14" s="1"/>
  <c r="D59" i="14"/>
  <c r="D60" i="14" s="1"/>
  <c r="D61" i="14" s="1"/>
  <c r="D58" i="14"/>
  <c r="D53" i="14"/>
  <c r="D52" i="14"/>
  <c r="D47" i="14"/>
  <c r="D48" i="14"/>
  <c r="D90" i="14" s="1"/>
  <c r="D44" i="14"/>
  <c r="D36" i="14"/>
  <c r="D35" i="14"/>
  <c r="D30" i="14"/>
  <c r="D31" i="14" s="1"/>
  <c r="D32" i="14" s="1"/>
  <c r="D29" i="14"/>
  <c r="E29" i="14" s="1"/>
  <c r="F29" i="14" s="1"/>
  <c r="D24" i="14"/>
  <c r="D23" i="14"/>
  <c r="D20" i="14"/>
  <c r="D21" i="14" s="1"/>
  <c r="D17" i="14"/>
  <c r="E17" i="14" s="1"/>
  <c r="F17" i="14" s="1"/>
  <c r="E97" i="19"/>
  <c r="D97" i="19"/>
  <c r="C97" i="19"/>
  <c r="E96" i="19"/>
  <c r="D96" i="19"/>
  <c r="D98" i="19" s="1"/>
  <c r="C96" i="19"/>
  <c r="C98" i="19" s="1"/>
  <c r="E92" i="19"/>
  <c r="D92" i="19"/>
  <c r="C92" i="19"/>
  <c r="E91" i="19"/>
  <c r="E93" i="19" s="1"/>
  <c r="D91" i="19"/>
  <c r="D93" i="19" s="1"/>
  <c r="C91" i="19"/>
  <c r="C93" i="19" s="1"/>
  <c r="E87" i="19"/>
  <c r="D87" i="19"/>
  <c r="C87" i="19"/>
  <c r="E86" i="19"/>
  <c r="E88" i="19" s="1"/>
  <c r="D86" i="19"/>
  <c r="C86" i="19"/>
  <c r="C88" i="19" s="1"/>
  <c r="E83" i="19"/>
  <c r="D83" i="19"/>
  <c r="D101" i="19" s="1"/>
  <c r="C83" i="19"/>
  <c r="E76" i="19"/>
  <c r="D76" i="19"/>
  <c r="C76" i="19"/>
  <c r="E75" i="19"/>
  <c r="E77" i="19"/>
  <c r="E108" i="19" s="1"/>
  <c r="D75" i="19"/>
  <c r="D77" i="19" s="1"/>
  <c r="C75" i="19"/>
  <c r="C77" i="19" s="1"/>
  <c r="C108" i="19" s="1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C34" i="19"/>
  <c r="E28" i="19"/>
  <c r="D28" i="19"/>
  <c r="C28" i="19"/>
  <c r="E27" i="19"/>
  <c r="D27" i="19"/>
  <c r="C27" i="19"/>
  <c r="E21" i="19"/>
  <c r="D21" i="19"/>
  <c r="C21" i="19"/>
  <c r="E12" i="19"/>
  <c r="E34" i="19" s="1"/>
  <c r="E33" i="19"/>
  <c r="D12" i="19"/>
  <c r="D22" i="19" s="1"/>
  <c r="D53" i="19" s="1"/>
  <c r="D33" i="19"/>
  <c r="C12" i="19"/>
  <c r="C23" i="19" s="1"/>
  <c r="C22" i="19"/>
  <c r="D21" i="18"/>
  <c r="C21" i="18"/>
  <c r="E21" i="18" s="1"/>
  <c r="F21" i="18" s="1"/>
  <c r="D19" i="18"/>
  <c r="C19" i="18"/>
  <c r="E19" i="18" s="1"/>
  <c r="F19" i="18" s="1"/>
  <c r="E17" i="18"/>
  <c r="F17" i="18" s="1"/>
  <c r="E15" i="18"/>
  <c r="F15" i="18" s="1"/>
  <c r="D45" i="17"/>
  <c r="C45" i="17"/>
  <c r="E45" i="17" s="1"/>
  <c r="D44" i="17"/>
  <c r="C44" i="17"/>
  <c r="E44" i="17" s="1"/>
  <c r="D43" i="17"/>
  <c r="D46" i="17"/>
  <c r="C43" i="17"/>
  <c r="C46" i="17"/>
  <c r="D36" i="17"/>
  <c r="D40" i="17" s="1"/>
  <c r="C36" i="17"/>
  <c r="C40" i="17" s="1"/>
  <c r="E35" i="17"/>
  <c r="F35" i="17" s="1"/>
  <c r="E34" i="17"/>
  <c r="F34" i="17" s="1"/>
  <c r="E33" i="17"/>
  <c r="F33" i="17" s="1"/>
  <c r="E30" i="17"/>
  <c r="F30" i="17" s="1"/>
  <c r="E29" i="17"/>
  <c r="F29" i="17" s="1"/>
  <c r="E28" i="17"/>
  <c r="F28" i="17" s="1"/>
  <c r="E27" i="17"/>
  <c r="F27" i="17" s="1"/>
  <c r="D25" i="17"/>
  <c r="D39" i="17"/>
  <c r="D41" i="17" s="1"/>
  <c r="C25" i="17"/>
  <c r="C39" i="17" s="1"/>
  <c r="F24" i="17"/>
  <c r="E24" i="17"/>
  <c r="F23" i="17"/>
  <c r="E23" i="17"/>
  <c r="F22" i="17"/>
  <c r="E22" i="17"/>
  <c r="E25" i="17"/>
  <c r="F25" i="17" s="1"/>
  <c r="D19" i="17"/>
  <c r="D20" i="17" s="1"/>
  <c r="C19" i="17"/>
  <c r="C20" i="17" s="1"/>
  <c r="E18" i="17"/>
  <c r="F18" i="17" s="1"/>
  <c r="D16" i="17"/>
  <c r="C16" i="17"/>
  <c r="E16" i="17" s="1"/>
  <c r="E15" i="17"/>
  <c r="F15" i="17" s="1"/>
  <c r="E13" i="17"/>
  <c r="F13" i="17" s="1"/>
  <c r="E12" i="17"/>
  <c r="F12" i="17" s="1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49" i="16" s="1"/>
  <c r="C36" i="16"/>
  <c r="C32" i="16"/>
  <c r="C33" i="16" s="1"/>
  <c r="C21" i="16"/>
  <c r="E328" i="15"/>
  <c r="E325" i="15"/>
  <c r="D324" i="15"/>
  <c r="D326" i="15" s="1"/>
  <c r="C324" i="15"/>
  <c r="C326" i="15" s="1"/>
  <c r="C330" i="15" s="1"/>
  <c r="E318" i="15"/>
  <c r="E315" i="15"/>
  <c r="D314" i="15"/>
  <c r="E314" i="15" s="1"/>
  <c r="C314" i="15"/>
  <c r="C316" i="15" s="1"/>
  <c r="C320" i="15" s="1"/>
  <c r="E308" i="15"/>
  <c r="E305" i="15"/>
  <c r="D301" i="15"/>
  <c r="C301" i="15"/>
  <c r="D293" i="15"/>
  <c r="C293" i="15"/>
  <c r="E293" i="15"/>
  <c r="D292" i="15"/>
  <c r="C292" i="15"/>
  <c r="E292" i="15" s="1"/>
  <c r="D291" i="15"/>
  <c r="C291" i="15"/>
  <c r="E291" i="15" s="1"/>
  <c r="D290" i="15"/>
  <c r="C290" i="15"/>
  <c r="D288" i="15"/>
  <c r="E288" i="15" s="1"/>
  <c r="C288" i="15"/>
  <c r="D287" i="15"/>
  <c r="C287" i="15"/>
  <c r="E287" i="15" s="1"/>
  <c r="D282" i="15"/>
  <c r="E282" i="15" s="1"/>
  <c r="C282" i="15"/>
  <c r="D281" i="15"/>
  <c r="C281" i="15"/>
  <c r="E281" i="15" s="1"/>
  <c r="D280" i="15"/>
  <c r="E280" i="15" s="1"/>
  <c r="C280" i="15"/>
  <c r="D279" i="15"/>
  <c r="C279" i="15"/>
  <c r="E279" i="15" s="1"/>
  <c r="D278" i="15"/>
  <c r="E278" i="15"/>
  <c r="C278" i="15"/>
  <c r="D277" i="15"/>
  <c r="C277" i="15"/>
  <c r="E277" i="15"/>
  <c r="D276" i="15"/>
  <c r="E276" i="15"/>
  <c r="C276" i="15"/>
  <c r="E270" i="15"/>
  <c r="D265" i="15"/>
  <c r="C265" i="15"/>
  <c r="C302" i="15" s="1"/>
  <c r="D262" i="15"/>
  <c r="C262" i="15"/>
  <c r="D251" i="15"/>
  <c r="C251" i="15"/>
  <c r="D233" i="15"/>
  <c r="E233" i="15"/>
  <c r="C233" i="15"/>
  <c r="D232" i="15"/>
  <c r="C232" i="15"/>
  <c r="E232" i="15"/>
  <c r="D231" i="15"/>
  <c r="C231" i="15"/>
  <c r="D230" i="15"/>
  <c r="C230" i="15"/>
  <c r="E230" i="15" s="1"/>
  <c r="D228" i="15"/>
  <c r="C228" i="15"/>
  <c r="E228" i="15" s="1"/>
  <c r="D227" i="15"/>
  <c r="E227" i="15" s="1"/>
  <c r="C227" i="15"/>
  <c r="D221" i="15"/>
  <c r="D245" i="15" s="1"/>
  <c r="C221" i="15"/>
  <c r="C245" i="15" s="1"/>
  <c r="D220" i="15"/>
  <c r="D244" i="15" s="1"/>
  <c r="E220" i="15"/>
  <c r="C220" i="15"/>
  <c r="C244" i="15"/>
  <c r="D219" i="15"/>
  <c r="C219" i="15"/>
  <c r="C243" i="15" s="1"/>
  <c r="D218" i="15"/>
  <c r="C218" i="15"/>
  <c r="D216" i="15"/>
  <c r="E216" i="15" s="1"/>
  <c r="C216" i="15"/>
  <c r="C240" i="15" s="1"/>
  <c r="D215" i="15"/>
  <c r="D239" i="15" s="1"/>
  <c r="E239" i="15" s="1"/>
  <c r="C215" i="15"/>
  <c r="E209" i="15"/>
  <c r="E208" i="15"/>
  <c r="E207" i="15"/>
  <c r="E206" i="15"/>
  <c r="D205" i="15"/>
  <c r="D229" i="15" s="1"/>
  <c r="C205" i="15"/>
  <c r="C210" i="15" s="1"/>
  <c r="E204" i="15"/>
  <c r="E203" i="15"/>
  <c r="E197" i="15"/>
  <c r="E196" i="15"/>
  <c r="D195" i="15"/>
  <c r="D260" i="15" s="1"/>
  <c r="C195" i="15"/>
  <c r="C260" i="15" s="1"/>
  <c r="E194" i="15"/>
  <c r="E193" i="15"/>
  <c r="E192" i="15"/>
  <c r="E191" i="15"/>
  <c r="E190" i="15"/>
  <c r="D188" i="15"/>
  <c r="C188" i="15"/>
  <c r="C261" i="15" s="1"/>
  <c r="E186" i="15"/>
  <c r="E185" i="15"/>
  <c r="D179" i="15"/>
  <c r="C179" i="15"/>
  <c r="E179" i="15" s="1"/>
  <c r="D178" i="15"/>
  <c r="C178" i="15"/>
  <c r="D177" i="15"/>
  <c r="C177" i="15"/>
  <c r="E177" i="15" s="1"/>
  <c r="D176" i="15"/>
  <c r="C176" i="15"/>
  <c r="D174" i="15"/>
  <c r="C174" i="15"/>
  <c r="D173" i="15"/>
  <c r="C173" i="15"/>
  <c r="D167" i="15"/>
  <c r="C167" i="15"/>
  <c r="D166" i="15"/>
  <c r="C166" i="15"/>
  <c r="D165" i="15"/>
  <c r="C165" i="15"/>
  <c r="D164" i="15"/>
  <c r="C164" i="15"/>
  <c r="E164" i="15" s="1"/>
  <c r="D162" i="15"/>
  <c r="C162" i="15"/>
  <c r="E162" i="15" s="1"/>
  <c r="D161" i="15"/>
  <c r="C161" i="15"/>
  <c r="E155" i="15"/>
  <c r="E154" i="15"/>
  <c r="E153" i="15"/>
  <c r="E152" i="15"/>
  <c r="D151" i="15"/>
  <c r="D156" i="15" s="1"/>
  <c r="C151" i="15"/>
  <c r="E150" i="15"/>
  <c r="E149" i="15"/>
  <c r="E143" i="15"/>
  <c r="E142" i="15"/>
  <c r="E141" i="15"/>
  <c r="E140" i="15"/>
  <c r="D139" i="15"/>
  <c r="D163" i="15" s="1"/>
  <c r="C139" i="15"/>
  <c r="E138" i="15"/>
  <c r="E137" i="15"/>
  <c r="D75" i="15"/>
  <c r="C75" i="15"/>
  <c r="D74" i="15"/>
  <c r="E74" i="15" s="1"/>
  <c r="C74" i="15"/>
  <c r="D73" i="15"/>
  <c r="C73" i="15"/>
  <c r="D72" i="15"/>
  <c r="E72" i="15" s="1"/>
  <c r="C72" i="15"/>
  <c r="D70" i="15"/>
  <c r="C70" i="15"/>
  <c r="D69" i="15"/>
  <c r="C69" i="15"/>
  <c r="E69" i="15" s="1"/>
  <c r="E64" i="15"/>
  <c r="E63" i="15"/>
  <c r="E62" i="15"/>
  <c r="E61" i="15"/>
  <c r="D60" i="15"/>
  <c r="C60" i="15"/>
  <c r="C71" i="15" s="1"/>
  <c r="C76" i="15" s="1"/>
  <c r="C77" i="15" s="1"/>
  <c r="C121" i="15" s="1"/>
  <c r="E59" i="15"/>
  <c r="E58" i="15"/>
  <c r="D54" i="15"/>
  <c r="C54" i="15"/>
  <c r="C55" i="15" s="1"/>
  <c r="E53" i="15"/>
  <c r="E52" i="15"/>
  <c r="E51" i="15"/>
  <c r="E50" i="15"/>
  <c r="E49" i="15"/>
  <c r="E48" i="15"/>
  <c r="E47" i="15"/>
  <c r="D42" i="15"/>
  <c r="E42" i="15" s="1"/>
  <c r="C42" i="15"/>
  <c r="D41" i="15"/>
  <c r="C41" i="15"/>
  <c r="E41" i="15" s="1"/>
  <c r="D40" i="15"/>
  <c r="E40" i="15" s="1"/>
  <c r="C40" i="15"/>
  <c r="D39" i="15"/>
  <c r="C39" i="15"/>
  <c r="E39" i="15" s="1"/>
  <c r="D38" i="15"/>
  <c r="E38" i="15" s="1"/>
  <c r="C38" i="15"/>
  <c r="D37" i="15"/>
  <c r="C37" i="15"/>
  <c r="C43" i="15" s="1"/>
  <c r="D36" i="15"/>
  <c r="C36" i="15"/>
  <c r="D32" i="15"/>
  <c r="C32" i="15"/>
  <c r="C33" i="15" s="1"/>
  <c r="E31" i="15"/>
  <c r="E30" i="15"/>
  <c r="E29" i="15"/>
  <c r="E28" i="15"/>
  <c r="E27" i="15"/>
  <c r="E26" i="15"/>
  <c r="E25" i="15"/>
  <c r="E21" i="15"/>
  <c r="D21" i="15"/>
  <c r="D22" i="15" s="1"/>
  <c r="D283" i="15"/>
  <c r="C21" i="15"/>
  <c r="E20" i="15"/>
  <c r="E19" i="15"/>
  <c r="E18" i="15"/>
  <c r="E17" i="15"/>
  <c r="E16" i="15"/>
  <c r="E15" i="15"/>
  <c r="E14" i="15"/>
  <c r="E335" i="14"/>
  <c r="F335" i="14" s="1"/>
  <c r="F334" i="14"/>
  <c r="E334" i="14"/>
  <c r="E333" i="14"/>
  <c r="F333" i="14" s="1"/>
  <c r="F332" i="14"/>
  <c r="E332" i="14"/>
  <c r="E331" i="14"/>
  <c r="F331" i="14" s="1"/>
  <c r="E330" i="14"/>
  <c r="F330" i="14" s="1"/>
  <c r="F329" i="14"/>
  <c r="E329" i="14"/>
  <c r="F316" i="14"/>
  <c r="E316" i="14"/>
  <c r="C311" i="14"/>
  <c r="E311" i="14"/>
  <c r="F308" i="14"/>
  <c r="E308" i="14"/>
  <c r="C307" i="14"/>
  <c r="C299" i="14"/>
  <c r="E299" i="14" s="1"/>
  <c r="F299" i="14" s="1"/>
  <c r="C298" i="14"/>
  <c r="C297" i="14"/>
  <c r="E297" i="14" s="1"/>
  <c r="C296" i="14"/>
  <c r="E296" i="14"/>
  <c r="F296" i="14" s="1"/>
  <c r="C295" i="14"/>
  <c r="C294" i="14"/>
  <c r="C250" i="14"/>
  <c r="E249" i="14"/>
  <c r="F249" i="14" s="1"/>
  <c r="F248" i="14"/>
  <c r="E248" i="14"/>
  <c r="E245" i="14"/>
  <c r="F245" i="14" s="1"/>
  <c r="E244" i="14"/>
  <c r="F244" i="14" s="1"/>
  <c r="E243" i="14"/>
  <c r="F243" i="14" s="1"/>
  <c r="C238" i="14"/>
  <c r="C237" i="14"/>
  <c r="E234" i="14"/>
  <c r="F234" i="14"/>
  <c r="E233" i="14"/>
  <c r="F233" i="14" s="1"/>
  <c r="C230" i="14"/>
  <c r="E230" i="14" s="1"/>
  <c r="C229" i="14"/>
  <c r="E228" i="14"/>
  <c r="F228" i="14" s="1"/>
  <c r="C226" i="14"/>
  <c r="C227" i="14" s="1"/>
  <c r="E225" i="14"/>
  <c r="F225" i="14"/>
  <c r="E224" i="14"/>
  <c r="F224" i="14"/>
  <c r="C223" i="14"/>
  <c r="E223" i="14" s="1"/>
  <c r="F223" i="14" s="1"/>
  <c r="F222" i="14"/>
  <c r="E222" i="14"/>
  <c r="F221" i="14"/>
  <c r="E221" i="14"/>
  <c r="C204" i="14"/>
  <c r="C203" i="14"/>
  <c r="C283" i="14" s="1"/>
  <c r="E283" i="14" s="1"/>
  <c r="C198" i="14"/>
  <c r="E198" i="14" s="1"/>
  <c r="C191" i="14"/>
  <c r="C264" i="14" s="1"/>
  <c r="C189" i="14"/>
  <c r="C262" i="14" s="1"/>
  <c r="C188" i="14"/>
  <c r="C277" i="14"/>
  <c r="C180" i="14"/>
  <c r="C179" i="14"/>
  <c r="E179" i="14" s="1"/>
  <c r="C171" i="14"/>
  <c r="C172" i="14" s="1"/>
  <c r="C170" i="14"/>
  <c r="E169" i="14"/>
  <c r="F169" i="14" s="1"/>
  <c r="E168" i="14"/>
  <c r="F168" i="14" s="1"/>
  <c r="C165" i="14"/>
  <c r="C164" i="14"/>
  <c r="E164" i="14" s="1"/>
  <c r="E163" i="14"/>
  <c r="F163" i="14" s="1"/>
  <c r="C158" i="14"/>
  <c r="E157" i="14"/>
  <c r="F157" i="14"/>
  <c r="E156" i="14"/>
  <c r="F156" i="14"/>
  <c r="C155" i="14"/>
  <c r="E155" i="14"/>
  <c r="E154" i="14"/>
  <c r="F154" i="14"/>
  <c r="E153" i="14"/>
  <c r="F153" i="14"/>
  <c r="C145" i="14"/>
  <c r="C144" i="14"/>
  <c r="E144" i="14" s="1"/>
  <c r="C136" i="14"/>
  <c r="C137" i="14" s="1"/>
  <c r="C135" i="14"/>
  <c r="E134" i="14"/>
  <c r="F134" i="14" s="1"/>
  <c r="E133" i="14"/>
  <c r="F133" i="14" s="1"/>
  <c r="C130" i="14"/>
  <c r="C129" i="14"/>
  <c r="E129" i="14" s="1"/>
  <c r="F129" i="14" s="1"/>
  <c r="E128" i="14"/>
  <c r="F128" i="14" s="1"/>
  <c r="C123" i="14"/>
  <c r="C193" i="14" s="1"/>
  <c r="E122" i="14"/>
  <c r="F122" i="14" s="1"/>
  <c r="E121" i="14"/>
  <c r="F121" i="14" s="1"/>
  <c r="C120" i="14"/>
  <c r="E120" i="14" s="1"/>
  <c r="F120" i="14" s="1"/>
  <c r="E119" i="14"/>
  <c r="F119" i="14" s="1"/>
  <c r="E118" i="14"/>
  <c r="F118" i="14" s="1"/>
  <c r="C110" i="14"/>
  <c r="C109" i="14"/>
  <c r="E109" i="14" s="1"/>
  <c r="F109" i="14" s="1"/>
  <c r="C101" i="14"/>
  <c r="C102" i="14" s="1"/>
  <c r="C100" i="14"/>
  <c r="E99" i="14"/>
  <c r="F99" i="14"/>
  <c r="E98" i="14"/>
  <c r="F98" i="14"/>
  <c r="C95" i="14"/>
  <c r="E95" i="14" s="1"/>
  <c r="F95" i="14" s="1"/>
  <c r="C94" i="14"/>
  <c r="E94" i="14" s="1"/>
  <c r="E93" i="14"/>
  <c r="F93" i="14" s="1"/>
  <c r="C89" i="14"/>
  <c r="C88" i="14"/>
  <c r="E88" i="14" s="1"/>
  <c r="F88" i="14" s="1"/>
  <c r="F87" i="14"/>
  <c r="E87" i="14"/>
  <c r="F86" i="14"/>
  <c r="E86" i="14"/>
  <c r="C85" i="14"/>
  <c r="E85" i="14" s="1"/>
  <c r="E84" i="14"/>
  <c r="F84" i="14" s="1"/>
  <c r="E83" i="14"/>
  <c r="F83" i="14" s="1"/>
  <c r="C76" i="14"/>
  <c r="E74" i="14"/>
  <c r="F74" i="14" s="1"/>
  <c r="E73" i="14"/>
  <c r="F73" i="14" s="1"/>
  <c r="C67" i="14"/>
  <c r="C66" i="14"/>
  <c r="E66" i="14" s="1"/>
  <c r="F66" i="14" s="1"/>
  <c r="C59" i="14"/>
  <c r="C58" i="14"/>
  <c r="E58" i="14" s="1"/>
  <c r="E57" i="14"/>
  <c r="F57" i="14" s="1"/>
  <c r="E56" i="14"/>
  <c r="F56" i="14" s="1"/>
  <c r="C53" i="14"/>
  <c r="C52" i="14"/>
  <c r="E51" i="14"/>
  <c r="F51" i="14"/>
  <c r="C47" i="14"/>
  <c r="E46" i="14"/>
  <c r="F46" i="14" s="1"/>
  <c r="E45" i="14"/>
  <c r="F45" i="14" s="1"/>
  <c r="C44" i="14"/>
  <c r="E43" i="14"/>
  <c r="F43" i="14" s="1"/>
  <c r="E42" i="14"/>
  <c r="F42" i="14" s="1"/>
  <c r="C36" i="14"/>
  <c r="E36" i="14" s="1"/>
  <c r="C35" i="14"/>
  <c r="E35" i="14" s="1"/>
  <c r="C30" i="14"/>
  <c r="E30" i="14" s="1"/>
  <c r="C29" i="14"/>
  <c r="E28" i="14"/>
  <c r="F28" i="14"/>
  <c r="E27" i="14"/>
  <c r="F27" i="14"/>
  <c r="C24" i="14"/>
  <c r="C23" i="14"/>
  <c r="E22" i="14"/>
  <c r="F22" i="14" s="1"/>
  <c r="C20" i="14"/>
  <c r="E19" i="14"/>
  <c r="F19" i="14" s="1"/>
  <c r="E18" i="14"/>
  <c r="F18" i="14" s="1"/>
  <c r="C17" i="14"/>
  <c r="E16" i="14"/>
  <c r="F16" i="14" s="1"/>
  <c r="E15" i="14"/>
  <c r="F15" i="14" s="1"/>
  <c r="D22" i="13"/>
  <c r="C22" i="13"/>
  <c r="E21" i="13"/>
  <c r="F21" i="13" s="1"/>
  <c r="E20" i="13"/>
  <c r="F20" i="13" s="1"/>
  <c r="D17" i="13"/>
  <c r="C17" i="13"/>
  <c r="E16" i="13"/>
  <c r="F16" i="13" s="1"/>
  <c r="D13" i="13"/>
  <c r="C13" i="13"/>
  <c r="E12" i="13"/>
  <c r="F12" i="13" s="1"/>
  <c r="D99" i="12"/>
  <c r="C99" i="12"/>
  <c r="E98" i="12"/>
  <c r="F98" i="12" s="1"/>
  <c r="E97" i="12"/>
  <c r="F97" i="12" s="1"/>
  <c r="E96" i="12"/>
  <c r="F96" i="12" s="1"/>
  <c r="D92" i="12"/>
  <c r="E92" i="12" s="1"/>
  <c r="C92" i="12"/>
  <c r="E91" i="12"/>
  <c r="F91" i="12" s="1"/>
  <c r="F90" i="12"/>
  <c r="E90" i="12"/>
  <c r="E89" i="12"/>
  <c r="F89" i="12" s="1"/>
  <c r="E88" i="12"/>
  <c r="F88" i="12" s="1"/>
  <c r="E87" i="12"/>
  <c r="F87" i="12" s="1"/>
  <c r="D84" i="12"/>
  <c r="C84" i="12"/>
  <c r="F83" i="12"/>
  <c r="E83" i="12"/>
  <c r="E82" i="12"/>
  <c r="F82" i="12" s="1"/>
  <c r="E81" i="12"/>
  <c r="F81" i="12" s="1"/>
  <c r="F80" i="12"/>
  <c r="E80" i="12"/>
  <c r="E79" i="12"/>
  <c r="F79" i="12" s="1"/>
  <c r="D75" i="12"/>
  <c r="C75" i="12"/>
  <c r="E74" i="12"/>
  <c r="F74" i="12" s="1"/>
  <c r="E73" i="12"/>
  <c r="F73" i="12" s="1"/>
  <c r="D70" i="12"/>
  <c r="C70" i="12"/>
  <c r="E70" i="12" s="1"/>
  <c r="E69" i="12"/>
  <c r="F69" i="12" s="1"/>
  <c r="E68" i="12"/>
  <c r="F68" i="12" s="1"/>
  <c r="D65" i="12"/>
  <c r="C65" i="12"/>
  <c r="E64" i="12"/>
  <c r="F64" i="12" s="1"/>
  <c r="E63" i="12"/>
  <c r="F63" i="12" s="1"/>
  <c r="D60" i="12"/>
  <c r="C60" i="12"/>
  <c r="F60" i="12" s="1"/>
  <c r="F59" i="12"/>
  <c r="E59" i="12"/>
  <c r="F58" i="12"/>
  <c r="E58" i="12"/>
  <c r="E60" i="12"/>
  <c r="D55" i="12"/>
  <c r="C55" i="12"/>
  <c r="F55" i="12" s="1"/>
  <c r="F54" i="12"/>
  <c r="E54" i="12"/>
  <c r="F53" i="12"/>
  <c r="E53" i="12"/>
  <c r="D50" i="12"/>
  <c r="C50" i="12"/>
  <c r="F50" i="12" s="1"/>
  <c r="F49" i="12"/>
  <c r="E49" i="12"/>
  <c r="F48" i="12"/>
  <c r="E48" i="12"/>
  <c r="D45" i="12"/>
  <c r="E45" i="12" s="1"/>
  <c r="C45" i="12"/>
  <c r="E44" i="12"/>
  <c r="F44" i="12" s="1"/>
  <c r="E43" i="12"/>
  <c r="F43" i="12" s="1"/>
  <c r="D37" i="12"/>
  <c r="C37" i="12"/>
  <c r="F37" i="12"/>
  <c r="F36" i="12"/>
  <c r="E36" i="12"/>
  <c r="F35" i="12"/>
  <c r="E35" i="12"/>
  <c r="F34" i="12"/>
  <c r="E34" i="12"/>
  <c r="F33" i="12"/>
  <c r="E33" i="12"/>
  <c r="D30" i="12"/>
  <c r="C30" i="12"/>
  <c r="F29" i="12"/>
  <c r="E29" i="12"/>
  <c r="F28" i="12"/>
  <c r="E28" i="12"/>
  <c r="E27" i="12"/>
  <c r="F27" i="12" s="1"/>
  <c r="E26" i="12"/>
  <c r="F26" i="12" s="1"/>
  <c r="D23" i="12"/>
  <c r="C23" i="12"/>
  <c r="E23" i="12" s="1"/>
  <c r="F22" i="12"/>
  <c r="E22" i="12"/>
  <c r="E21" i="12"/>
  <c r="F21" i="12" s="1"/>
  <c r="E20" i="12"/>
  <c r="F20" i="12" s="1"/>
  <c r="E19" i="12"/>
  <c r="F19" i="12" s="1"/>
  <c r="D16" i="12"/>
  <c r="C16" i="12"/>
  <c r="F15" i="12"/>
  <c r="E15" i="12"/>
  <c r="E14" i="12"/>
  <c r="F14" i="12" s="1"/>
  <c r="E13" i="12"/>
  <c r="F13" i="12" s="1"/>
  <c r="E12" i="12"/>
  <c r="F12" i="12" s="1"/>
  <c r="G37" i="11"/>
  <c r="F37" i="11"/>
  <c r="G29" i="11"/>
  <c r="F29" i="11"/>
  <c r="G27" i="11"/>
  <c r="F27" i="11"/>
  <c r="G25" i="11"/>
  <c r="F25" i="11"/>
  <c r="G23" i="11"/>
  <c r="F23" i="11"/>
  <c r="G21" i="11"/>
  <c r="F21" i="11"/>
  <c r="G19" i="11"/>
  <c r="F19" i="11"/>
  <c r="E17" i="11"/>
  <c r="E31" i="11"/>
  <c r="D17" i="11"/>
  <c r="D33" i="11" s="1"/>
  <c r="D36" i="11" s="1"/>
  <c r="D38" i="11" s="1"/>
  <c r="D40" i="11" s="1"/>
  <c r="C17" i="11"/>
  <c r="C33" i="11" s="1"/>
  <c r="C36" i="11" s="1"/>
  <c r="C38" i="11" s="1"/>
  <c r="C40" i="11" s="1"/>
  <c r="G16" i="11"/>
  <c r="F16" i="11"/>
  <c r="G15" i="11"/>
  <c r="F15" i="11"/>
  <c r="G13" i="11"/>
  <c r="F13" i="11"/>
  <c r="G11" i="11"/>
  <c r="F11" i="11"/>
  <c r="E79" i="10"/>
  <c r="E80" i="10"/>
  <c r="D79" i="10"/>
  <c r="C79" i="10"/>
  <c r="E78" i="10"/>
  <c r="D78" i="10"/>
  <c r="D80" i="10" s="1"/>
  <c r="D77" i="10" s="1"/>
  <c r="C78" i="10"/>
  <c r="E77" i="10"/>
  <c r="E73" i="10"/>
  <c r="E75" i="10" s="1"/>
  <c r="D73" i="10"/>
  <c r="D75" i="10" s="1"/>
  <c r="C73" i="10"/>
  <c r="C75" i="10"/>
  <c r="E71" i="10"/>
  <c r="D71" i="10"/>
  <c r="C71" i="10"/>
  <c r="E66" i="10"/>
  <c r="D66" i="10"/>
  <c r="D65" i="10"/>
  <c r="C66" i="10"/>
  <c r="E65" i="10"/>
  <c r="C65" i="10"/>
  <c r="E60" i="10"/>
  <c r="D60" i="10"/>
  <c r="C60" i="10"/>
  <c r="E58" i="10"/>
  <c r="D58" i="10"/>
  <c r="C58" i="10"/>
  <c r="E55" i="10"/>
  <c r="D55" i="10"/>
  <c r="C55" i="10"/>
  <c r="C50" i="10" s="1"/>
  <c r="E54" i="10"/>
  <c r="D54" i="10"/>
  <c r="C54" i="10"/>
  <c r="E50" i="10"/>
  <c r="E46" i="10"/>
  <c r="D46" i="10"/>
  <c r="D59" i="10" s="1"/>
  <c r="D61" i="10" s="1"/>
  <c r="C46" i="10"/>
  <c r="E45" i="10"/>
  <c r="D45" i="10"/>
  <c r="C45" i="10"/>
  <c r="E38" i="10"/>
  <c r="D38" i="10"/>
  <c r="C38" i="10"/>
  <c r="E33" i="10"/>
  <c r="E34" i="10"/>
  <c r="D33" i="10"/>
  <c r="D34" i="10" s="1"/>
  <c r="E26" i="10"/>
  <c r="D26" i="10"/>
  <c r="C26" i="10"/>
  <c r="E13" i="10"/>
  <c r="D13" i="10"/>
  <c r="D25" i="10" s="1"/>
  <c r="D27" i="10" s="1"/>
  <c r="D21" i="10" s="1"/>
  <c r="C13" i="10"/>
  <c r="D46" i="9"/>
  <c r="C46" i="9"/>
  <c r="E45" i="9"/>
  <c r="F45" i="9" s="1"/>
  <c r="F44" i="9"/>
  <c r="E44" i="9"/>
  <c r="D39" i="9"/>
  <c r="C39" i="9"/>
  <c r="E38" i="9"/>
  <c r="F38" i="9" s="1"/>
  <c r="E37" i="9"/>
  <c r="F37" i="9" s="1"/>
  <c r="E36" i="9"/>
  <c r="F36" i="9" s="1"/>
  <c r="D31" i="9"/>
  <c r="C31" i="9"/>
  <c r="E30" i="9"/>
  <c r="F30" i="9" s="1"/>
  <c r="E29" i="9"/>
  <c r="F29" i="9" s="1"/>
  <c r="E28" i="9"/>
  <c r="F28" i="9" s="1"/>
  <c r="E27" i="9"/>
  <c r="F27" i="9" s="1"/>
  <c r="E26" i="9"/>
  <c r="F26" i="9" s="1"/>
  <c r="E25" i="9"/>
  <c r="F25" i="9" s="1"/>
  <c r="E24" i="9"/>
  <c r="F24" i="9" s="1"/>
  <c r="E23" i="9"/>
  <c r="F23" i="9" s="1"/>
  <c r="E22" i="9"/>
  <c r="F22" i="9" s="1"/>
  <c r="E18" i="9"/>
  <c r="F18" i="9" s="1"/>
  <c r="E17" i="9"/>
  <c r="F17" i="9" s="1"/>
  <c r="D16" i="9"/>
  <c r="D19" i="9" s="1"/>
  <c r="C16" i="9"/>
  <c r="C19" i="9" s="1"/>
  <c r="E19" i="9" s="1"/>
  <c r="F19" i="9" s="1"/>
  <c r="F15" i="9"/>
  <c r="E15" i="9"/>
  <c r="E14" i="9"/>
  <c r="F14" i="9" s="1"/>
  <c r="E13" i="9"/>
  <c r="F13" i="9" s="1"/>
  <c r="E12" i="9"/>
  <c r="F12" i="9" s="1"/>
  <c r="D73" i="8"/>
  <c r="C73" i="8"/>
  <c r="E73" i="8"/>
  <c r="E72" i="8"/>
  <c r="F72" i="8"/>
  <c r="E71" i="8"/>
  <c r="F71" i="8"/>
  <c r="E70" i="8"/>
  <c r="F70" i="8"/>
  <c r="E67" i="8"/>
  <c r="F67" i="8"/>
  <c r="E64" i="8"/>
  <c r="F64" i="8" s="1"/>
  <c r="E63" i="8"/>
  <c r="F63" i="8" s="1"/>
  <c r="D61" i="8"/>
  <c r="D65" i="8"/>
  <c r="E65" i="8" s="1"/>
  <c r="C61" i="8"/>
  <c r="C65" i="8" s="1"/>
  <c r="F60" i="8"/>
  <c r="E60" i="8"/>
  <c r="E59" i="8"/>
  <c r="F59" i="8" s="1"/>
  <c r="D56" i="8"/>
  <c r="C56" i="8"/>
  <c r="E55" i="8"/>
  <c r="F55" i="8" s="1"/>
  <c r="F54" i="8"/>
  <c r="E54" i="8"/>
  <c r="E53" i="8"/>
  <c r="F53" i="8" s="1"/>
  <c r="F52" i="8"/>
  <c r="E52" i="8"/>
  <c r="F51" i="8"/>
  <c r="E51" i="8"/>
  <c r="F50" i="8"/>
  <c r="E50" i="8"/>
  <c r="A50" i="8"/>
  <c r="A51" i="8" s="1"/>
  <c r="A52" i="8" s="1"/>
  <c r="A53" i="8" s="1"/>
  <c r="A54" i="8" s="1"/>
  <c r="A55" i="8" s="1"/>
  <c r="E49" i="8"/>
  <c r="F49" i="8" s="1"/>
  <c r="E40" i="8"/>
  <c r="F40" i="8" s="1"/>
  <c r="E38" i="8"/>
  <c r="D38" i="8"/>
  <c r="D41" i="8"/>
  <c r="C38" i="8"/>
  <c r="E37" i="8"/>
  <c r="F37" i="8" s="1"/>
  <c r="E36" i="8"/>
  <c r="F36" i="8" s="1"/>
  <c r="E33" i="8"/>
  <c r="F33" i="8" s="1"/>
  <c r="E32" i="8"/>
  <c r="F32" i="8" s="1"/>
  <c r="F31" i="8"/>
  <c r="E31" i="8"/>
  <c r="D29" i="8"/>
  <c r="C29" i="8"/>
  <c r="E28" i="8"/>
  <c r="F28" i="8" s="1"/>
  <c r="F27" i="8"/>
  <c r="E27" i="8"/>
  <c r="E26" i="8"/>
  <c r="F26" i="8" s="1"/>
  <c r="E25" i="8"/>
  <c r="F25" i="8" s="1"/>
  <c r="D22" i="8"/>
  <c r="C22" i="8"/>
  <c r="E21" i="8"/>
  <c r="F21" i="8" s="1"/>
  <c r="F20" i="8"/>
  <c r="E20" i="8"/>
  <c r="F19" i="8"/>
  <c r="E19" i="8"/>
  <c r="E18" i="8"/>
  <c r="F18" i="8" s="1"/>
  <c r="F17" i="8"/>
  <c r="E17" i="8"/>
  <c r="E16" i="8"/>
  <c r="F16" i="8" s="1"/>
  <c r="E15" i="8"/>
  <c r="F15" i="8" s="1"/>
  <c r="E14" i="8"/>
  <c r="F14" i="8" s="1"/>
  <c r="E13" i="8"/>
  <c r="F13" i="8" s="1"/>
  <c r="D120" i="7"/>
  <c r="E120" i="7" s="1"/>
  <c r="C120" i="7"/>
  <c r="D119" i="7"/>
  <c r="C119" i="7"/>
  <c r="D118" i="7"/>
  <c r="E118" i="7" s="1"/>
  <c r="C118" i="7"/>
  <c r="D117" i="7"/>
  <c r="C117" i="7"/>
  <c r="D116" i="7"/>
  <c r="E116" i="7" s="1"/>
  <c r="C116" i="7"/>
  <c r="D115" i="7"/>
  <c r="C115" i="7"/>
  <c r="D114" i="7"/>
  <c r="C114" i="7"/>
  <c r="D113" i="7"/>
  <c r="C113" i="7"/>
  <c r="C122" i="7" s="1"/>
  <c r="D112" i="7"/>
  <c r="D121" i="7" s="1"/>
  <c r="E121" i="7" s="1"/>
  <c r="C112" i="7"/>
  <c r="C121" i="7" s="1"/>
  <c r="D108" i="7"/>
  <c r="C108" i="7"/>
  <c r="D107" i="7"/>
  <c r="E107" i="7" s="1"/>
  <c r="C107" i="7"/>
  <c r="E106" i="7"/>
  <c r="F106" i="7" s="1"/>
  <c r="E105" i="7"/>
  <c r="F105" i="7" s="1"/>
  <c r="E104" i="7"/>
  <c r="F104" i="7" s="1"/>
  <c r="E103" i="7"/>
  <c r="F103" i="7" s="1"/>
  <c r="E102" i="7"/>
  <c r="F102" i="7"/>
  <c r="E101" i="7"/>
  <c r="F101" i="7"/>
  <c r="E100" i="7"/>
  <c r="F100" i="7"/>
  <c r="E99" i="7"/>
  <c r="F99" i="7" s="1"/>
  <c r="E98" i="7"/>
  <c r="F98" i="7" s="1"/>
  <c r="D96" i="7"/>
  <c r="C96" i="7"/>
  <c r="D95" i="7"/>
  <c r="C95" i="7"/>
  <c r="E95" i="7"/>
  <c r="E94" i="7"/>
  <c r="F94" i="7"/>
  <c r="E93" i="7"/>
  <c r="F93" i="7"/>
  <c r="E92" i="7"/>
  <c r="F92" i="7" s="1"/>
  <c r="E91" i="7"/>
  <c r="F91" i="7" s="1"/>
  <c r="E90" i="7"/>
  <c r="F90" i="7" s="1"/>
  <c r="E89" i="7"/>
  <c r="F89" i="7" s="1"/>
  <c r="E88" i="7"/>
  <c r="F88" i="7" s="1"/>
  <c r="E87" i="7"/>
  <c r="F87" i="7"/>
  <c r="E86" i="7"/>
  <c r="F86" i="7"/>
  <c r="D84" i="7"/>
  <c r="E84" i="7"/>
  <c r="C84" i="7"/>
  <c r="F84" i="7"/>
  <c r="D83" i="7"/>
  <c r="C83" i="7"/>
  <c r="F83" i="7" s="1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E72" i="7" s="1"/>
  <c r="C72" i="7"/>
  <c r="F72" i="7"/>
  <c r="D71" i="7"/>
  <c r="C71" i="7"/>
  <c r="F71" i="7" s="1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E60" i="7" s="1"/>
  <c r="C60" i="7"/>
  <c r="F60" i="7" s="1"/>
  <c r="D59" i="7"/>
  <c r="E59" i="7" s="1"/>
  <c r="C59" i="7"/>
  <c r="F59" i="7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D48" i="7"/>
  <c r="C48" i="7"/>
  <c r="E48" i="7" s="1"/>
  <c r="D47" i="7"/>
  <c r="C47" i="7"/>
  <c r="E47" i="7" s="1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/>
  <c r="C36" i="7"/>
  <c r="D35" i="7"/>
  <c r="C35" i="7"/>
  <c r="E34" i="7"/>
  <c r="F34" i="7" s="1"/>
  <c r="E33" i="7"/>
  <c r="F33" i="7" s="1"/>
  <c r="E32" i="7"/>
  <c r="F32" i="7" s="1"/>
  <c r="E31" i="7"/>
  <c r="F31" i="7" s="1"/>
  <c r="E30" i="7"/>
  <c r="F30" i="7" s="1"/>
  <c r="F29" i="7"/>
  <c r="E29" i="7"/>
  <c r="E28" i="7"/>
  <c r="F28" i="7" s="1"/>
  <c r="E27" i="7"/>
  <c r="F27" i="7" s="1"/>
  <c r="E26" i="7"/>
  <c r="F26" i="7" s="1"/>
  <c r="D24" i="7"/>
  <c r="C24" i="7"/>
  <c r="D23" i="7"/>
  <c r="C23" i="7"/>
  <c r="E22" i="7"/>
  <c r="F22" i="7" s="1"/>
  <c r="E21" i="7"/>
  <c r="F21" i="7" s="1"/>
  <c r="E20" i="7"/>
  <c r="F20" i="7" s="1"/>
  <c r="E19" i="7"/>
  <c r="F19" i="7" s="1"/>
  <c r="F18" i="7"/>
  <c r="E18" i="7"/>
  <c r="E17" i="7"/>
  <c r="F17" i="7" s="1"/>
  <c r="E16" i="7"/>
  <c r="F16" i="7" s="1"/>
  <c r="E15" i="7"/>
  <c r="F15" i="7" s="1"/>
  <c r="E14" i="7"/>
  <c r="F14" i="7" s="1"/>
  <c r="D206" i="6"/>
  <c r="C206" i="6"/>
  <c r="F206" i="6" s="1"/>
  <c r="D205" i="6"/>
  <c r="C205" i="6"/>
  <c r="D204" i="6"/>
  <c r="C204" i="6"/>
  <c r="E204" i="6" s="1"/>
  <c r="D203" i="6"/>
  <c r="C203" i="6"/>
  <c r="D202" i="6"/>
  <c r="C202" i="6"/>
  <c r="D201" i="6"/>
  <c r="C201" i="6"/>
  <c r="E201" i="6" s="1"/>
  <c r="D200" i="6"/>
  <c r="C200" i="6"/>
  <c r="E200" i="6" s="1"/>
  <c r="D199" i="6"/>
  <c r="D208" i="6" s="1"/>
  <c r="C199" i="6"/>
  <c r="C208" i="6" s="1"/>
  <c r="D198" i="6"/>
  <c r="D207" i="6" s="1"/>
  <c r="C198" i="6"/>
  <c r="E198" i="6" s="1"/>
  <c r="D193" i="6"/>
  <c r="C193" i="6"/>
  <c r="D192" i="6"/>
  <c r="C192" i="6"/>
  <c r="E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D180" i="6"/>
  <c r="C180" i="6"/>
  <c r="F180" i="6" s="1"/>
  <c r="D179" i="6"/>
  <c r="E179" i="6" s="1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C167" i="6"/>
  <c r="E167" i="6" s="1"/>
  <c r="D166" i="6"/>
  <c r="C166" i="6"/>
  <c r="E166" i="6" s="1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 s="1"/>
  <c r="C154" i="6"/>
  <c r="F154" i="6" s="1"/>
  <c r="D153" i="6"/>
  <c r="E153" i="6" s="1"/>
  <c r="C153" i="6"/>
  <c r="F153" i="6" s="1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E141" i="6"/>
  <c r="D140" i="6"/>
  <c r="C140" i="6"/>
  <c r="E140" i="6" s="1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C128" i="6"/>
  <c r="D127" i="6"/>
  <c r="C127" i="6"/>
  <c r="E126" i="6"/>
  <c r="F126" i="6" s="1"/>
  <c r="E125" i="6"/>
  <c r="F125" i="6" s="1"/>
  <c r="E124" i="6"/>
  <c r="F124" i="6" s="1"/>
  <c r="E123" i="6"/>
  <c r="F123" i="6" s="1"/>
  <c r="E122" i="6"/>
  <c r="F122" i="6" s="1"/>
  <c r="E121" i="6"/>
  <c r="F121" i="6" s="1"/>
  <c r="E120" i="6"/>
  <c r="F120" i="6" s="1"/>
  <c r="E119" i="6"/>
  <c r="F119" i="6" s="1"/>
  <c r="E118" i="6"/>
  <c r="F118" i="6" s="1"/>
  <c r="D115" i="6"/>
  <c r="C115" i="6"/>
  <c r="E115" i="6"/>
  <c r="D114" i="6"/>
  <c r="C114" i="6"/>
  <c r="E114" i="6" s="1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D102" i="6"/>
  <c r="C102" i="6"/>
  <c r="D101" i="6"/>
  <c r="C101" i="6"/>
  <c r="E100" i="6"/>
  <c r="F100" i="6" s="1"/>
  <c r="E99" i="6"/>
  <c r="F99" i="6" s="1"/>
  <c r="E98" i="6"/>
  <c r="F98" i="6"/>
  <c r="E97" i="6"/>
  <c r="F97" i="6"/>
  <c r="E96" i="6"/>
  <c r="F96" i="6"/>
  <c r="E95" i="6"/>
  <c r="F95" i="6"/>
  <c r="E94" i="6"/>
  <c r="F94" i="6"/>
  <c r="E93" i="6"/>
  <c r="F93" i="6"/>
  <c r="E92" i="6"/>
  <c r="F92" i="6"/>
  <c r="D89" i="6"/>
  <c r="C89" i="6"/>
  <c r="E89" i="6" s="1"/>
  <c r="D88" i="6"/>
  <c r="C88" i="6"/>
  <c r="E88" i="6" s="1"/>
  <c r="E87" i="6"/>
  <c r="F87" i="6" s="1"/>
  <c r="E86" i="6"/>
  <c r="F86" i="6" s="1"/>
  <c r="E85" i="6"/>
  <c r="F85" i="6" s="1"/>
  <c r="E84" i="6"/>
  <c r="F84" i="6" s="1"/>
  <c r="E83" i="6"/>
  <c r="F83" i="6" s="1"/>
  <c r="E82" i="6"/>
  <c r="F82" i="6" s="1"/>
  <c r="E81" i="6"/>
  <c r="F81" i="6" s="1"/>
  <c r="E80" i="6"/>
  <c r="F80" i="6" s="1"/>
  <c r="E79" i="6"/>
  <c r="F79" i="6" s="1"/>
  <c r="D76" i="6"/>
  <c r="E76" i="6" s="1"/>
  <c r="C76" i="6"/>
  <c r="F76" i="6"/>
  <c r="D75" i="6"/>
  <c r="C75" i="6"/>
  <c r="F75" i="6" s="1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D63" i="6"/>
  <c r="C63" i="6"/>
  <c r="D62" i="6"/>
  <c r="C62" i="6"/>
  <c r="E61" i="6"/>
  <c r="F61" i="6" s="1"/>
  <c r="E60" i="6"/>
  <c r="F60" i="6" s="1"/>
  <c r="E59" i="6"/>
  <c r="F59" i="6" s="1"/>
  <c r="E58" i="6"/>
  <c r="F58" i="6" s="1"/>
  <c r="E57" i="6"/>
  <c r="F57" i="6" s="1"/>
  <c r="E56" i="6"/>
  <c r="F56" i="6" s="1"/>
  <c r="E55" i="6"/>
  <c r="F55" i="6" s="1"/>
  <c r="E54" i="6"/>
  <c r="F54" i="6" s="1"/>
  <c r="E53" i="6"/>
  <c r="F53" i="6" s="1"/>
  <c r="D50" i="6"/>
  <c r="C50" i="6"/>
  <c r="D49" i="6"/>
  <c r="C49" i="6"/>
  <c r="E48" i="6"/>
  <c r="F48" i="6" s="1"/>
  <c r="E47" i="6"/>
  <c r="F47" i="6" s="1"/>
  <c r="E46" i="6"/>
  <c r="F46" i="6" s="1"/>
  <c r="E45" i="6"/>
  <c r="F45" i="6" s="1"/>
  <c r="E44" i="6"/>
  <c r="F44" i="6" s="1"/>
  <c r="E43" i="6"/>
  <c r="F43" i="6" s="1"/>
  <c r="E42" i="6"/>
  <c r="F42" i="6" s="1"/>
  <c r="E41" i="6"/>
  <c r="F41" i="6" s="1"/>
  <c r="E40" i="6"/>
  <c r="F40" i="6" s="1"/>
  <c r="D37" i="6"/>
  <c r="E37" i="6" s="1"/>
  <c r="C37" i="6"/>
  <c r="F37" i="6"/>
  <c r="D36" i="6"/>
  <c r="C36" i="6"/>
  <c r="F36" i="6" s="1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C24" i="6"/>
  <c r="D23" i="6"/>
  <c r="C23" i="6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5" i="6"/>
  <c r="F15" i="6" s="1"/>
  <c r="E14" i="6"/>
  <c r="F14" i="6" s="1"/>
  <c r="E191" i="5"/>
  <c r="D191" i="5"/>
  <c r="C191" i="5"/>
  <c r="E176" i="5"/>
  <c r="D176" i="5"/>
  <c r="C176" i="5"/>
  <c r="E164" i="5"/>
  <c r="E160" i="5" s="1"/>
  <c r="D164" i="5"/>
  <c r="C164" i="5"/>
  <c r="C160" i="5" s="1"/>
  <c r="E162" i="5"/>
  <c r="D162" i="5"/>
  <c r="C162" i="5"/>
  <c r="E161" i="5"/>
  <c r="D161" i="5"/>
  <c r="C161" i="5"/>
  <c r="D160" i="5"/>
  <c r="D166" i="5"/>
  <c r="E147" i="5"/>
  <c r="E143" i="5"/>
  <c r="E149" i="5" s="1"/>
  <c r="D147" i="5"/>
  <c r="C147" i="5"/>
  <c r="C143" i="5" s="1"/>
  <c r="C149" i="5" s="1"/>
  <c r="E145" i="5"/>
  <c r="D145" i="5"/>
  <c r="C145" i="5"/>
  <c r="E144" i="5"/>
  <c r="D144" i="5"/>
  <c r="C144" i="5"/>
  <c r="D143" i="5"/>
  <c r="D149" i="5" s="1"/>
  <c r="E126" i="5"/>
  <c r="D126" i="5"/>
  <c r="C126" i="5"/>
  <c r="E119" i="5"/>
  <c r="D119" i="5"/>
  <c r="C119" i="5"/>
  <c r="E108" i="5"/>
  <c r="D108" i="5"/>
  <c r="C108" i="5"/>
  <c r="E107" i="5"/>
  <c r="E109" i="5" s="1"/>
  <c r="E106" i="5" s="1"/>
  <c r="D107" i="5"/>
  <c r="C107" i="5"/>
  <c r="C109" i="5" s="1"/>
  <c r="C106" i="5" s="1"/>
  <c r="D104" i="5"/>
  <c r="E102" i="5"/>
  <c r="E104" i="5"/>
  <c r="D102" i="5"/>
  <c r="C102" i="5"/>
  <c r="C104" i="5" s="1"/>
  <c r="E100" i="5"/>
  <c r="D100" i="5"/>
  <c r="C100" i="5"/>
  <c r="E95" i="5"/>
  <c r="E94" i="5" s="1"/>
  <c r="D95" i="5"/>
  <c r="D94" i="5" s="1"/>
  <c r="C95" i="5"/>
  <c r="C94" i="5" s="1"/>
  <c r="E89" i="5"/>
  <c r="D89" i="5"/>
  <c r="C89" i="5"/>
  <c r="E87" i="5"/>
  <c r="D87" i="5"/>
  <c r="C87" i="5"/>
  <c r="E84" i="5"/>
  <c r="D84" i="5"/>
  <c r="C84" i="5"/>
  <c r="C79" i="5"/>
  <c r="E83" i="5"/>
  <c r="D83" i="5"/>
  <c r="D79" i="5" s="1"/>
  <c r="C83" i="5"/>
  <c r="E79" i="5"/>
  <c r="E75" i="5"/>
  <c r="E88" i="5"/>
  <c r="E90" i="5" s="1"/>
  <c r="E86" i="5" s="1"/>
  <c r="D75" i="5"/>
  <c r="D88" i="5" s="1"/>
  <c r="C75" i="5"/>
  <c r="C77" i="5" s="1"/>
  <c r="C71" i="5" s="1"/>
  <c r="E74" i="5"/>
  <c r="D74" i="5"/>
  <c r="C74" i="5"/>
  <c r="E67" i="5"/>
  <c r="D67" i="5"/>
  <c r="C67" i="5"/>
  <c r="E38" i="5"/>
  <c r="E53" i="5" s="1"/>
  <c r="E57" i="5"/>
  <c r="E62" i="5" s="1"/>
  <c r="D38" i="5"/>
  <c r="D53" i="5" s="1"/>
  <c r="C38" i="5"/>
  <c r="C49" i="5" s="1"/>
  <c r="E33" i="5"/>
  <c r="E34" i="5" s="1"/>
  <c r="D33" i="5"/>
  <c r="D34" i="5" s="1"/>
  <c r="E26" i="5"/>
  <c r="D26" i="5"/>
  <c r="C26" i="5"/>
  <c r="E13" i="5"/>
  <c r="E25" i="5" s="1"/>
  <c r="D13" i="5"/>
  <c r="D25" i="5" s="1"/>
  <c r="D27" i="5" s="1"/>
  <c r="D21" i="5" s="1"/>
  <c r="C13" i="5"/>
  <c r="C15" i="5" s="1"/>
  <c r="C24" i="5" s="1"/>
  <c r="E174" i="4"/>
  <c r="F174" i="4" s="1"/>
  <c r="D171" i="4"/>
  <c r="C171" i="4"/>
  <c r="E170" i="4"/>
  <c r="F170" i="4" s="1"/>
  <c r="E169" i="4"/>
  <c r="F169" i="4" s="1"/>
  <c r="F168" i="4"/>
  <c r="E168" i="4"/>
  <c r="E167" i="4"/>
  <c r="F167" i="4" s="1"/>
  <c r="F166" i="4"/>
  <c r="E166" i="4"/>
  <c r="F165" i="4"/>
  <c r="E165" i="4"/>
  <c r="E164" i="4"/>
  <c r="F164" i="4" s="1"/>
  <c r="E163" i="4"/>
  <c r="F163" i="4" s="1"/>
  <c r="F162" i="4"/>
  <c r="E162" i="4"/>
  <c r="E161" i="4"/>
  <c r="F161" i="4" s="1"/>
  <c r="F160" i="4"/>
  <c r="E160" i="4"/>
  <c r="E159" i="4"/>
  <c r="F159" i="4" s="1"/>
  <c r="E158" i="4"/>
  <c r="F158" i="4" s="1"/>
  <c r="D155" i="4"/>
  <c r="C155" i="4"/>
  <c r="E154" i="4"/>
  <c r="F154" i="4" s="1"/>
  <c r="F153" i="4"/>
  <c r="E153" i="4"/>
  <c r="E152" i="4"/>
  <c r="F152" i="4" s="1"/>
  <c r="F151" i="4"/>
  <c r="E151" i="4"/>
  <c r="F150" i="4"/>
  <c r="E150" i="4"/>
  <c r="E149" i="4"/>
  <c r="F149" i="4" s="1"/>
  <c r="E148" i="4"/>
  <c r="F148" i="4" s="1"/>
  <c r="F147" i="4"/>
  <c r="E147" i="4"/>
  <c r="E146" i="4"/>
  <c r="F146" i="4" s="1"/>
  <c r="E145" i="4"/>
  <c r="F145" i="4" s="1"/>
  <c r="E144" i="4"/>
  <c r="F144" i="4" s="1"/>
  <c r="F143" i="4"/>
  <c r="E143" i="4"/>
  <c r="E142" i="4"/>
  <c r="F142" i="4" s="1"/>
  <c r="F141" i="4"/>
  <c r="E141" i="4"/>
  <c r="E140" i="4"/>
  <c r="F140" i="4" s="1"/>
  <c r="E139" i="4"/>
  <c r="F139" i="4" s="1"/>
  <c r="E138" i="4"/>
  <c r="F138" i="4" s="1"/>
  <c r="F137" i="4"/>
  <c r="E137" i="4"/>
  <c r="E136" i="4"/>
  <c r="F136" i="4" s="1"/>
  <c r="E135" i="4"/>
  <c r="F135" i="4" s="1"/>
  <c r="E134" i="4"/>
  <c r="F134" i="4" s="1"/>
  <c r="F133" i="4"/>
  <c r="E133" i="4"/>
  <c r="E132" i="4"/>
  <c r="F132" i="4" s="1"/>
  <c r="F131" i="4"/>
  <c r="E131" i="4"/>
  <c r="E130" i="4"/>
  <c r="F130" i="4" s="1"/>
  <c r="E129" i="4"/>
  <c r="F129" i="4" s="1"/>
  <c r="E128" i="4"/>
  <c r="F128" i="4" s="1"/>
  <c r="E127" i="4"/>
  <c r="F127" i="4" s="1"/>
  <c r="E126" i="4"/>
  <c r="F126" i="4" s="1"/>
  <c r="E125" i="4"/>
  <c r="F125" i="4" s="1"/>
  <c r="E124" i="4"/>
  <c r="F124" i="4" s="1"/>
  <c r="E123" i="4"/>
  <c r="F123" i="4" s="1"/>
  <c r="E122" i="4"/>
  <c r="F122" i="4" s="1"/>
  <c r="E121" i="4"/>
  <c r="F121" i="4" s="1"/>
  <c r="D118" i="4"/>
  <c r="E118" i="4" s="1"/>
  <c r="F118" i="4" s="1"/>
  <c r="C118" i="4"/>
  <c r="E117" i="4"/>
  <c r="F117" i="4" s="1"/>
  <c r="F116" i="4"/>
  <c r="E116" i="4"/>
  <c r="E115" i="4"/>
  <c r="F115" i="4" s="1"/>
  <c r="E114" i="4"/>
  <c r="F114" i="4" s="1"/>
  <c r="E113" i="4"/>
  <c r="F113" i="4" s="1"/>
  <c r="E112" i="4"/>
  <c r="F112" i="4" s="1"/>
  <c r="D109" i="4"/>
  <c r="C109" i="4"/>
  <c r="E108" i="4"/>
  <c r="F108" i="4" s="1"/>
  <c r="E107" i="4"/>
  <c r="F107" i="4" s="1"/>
  <c r="E106" i="4"/>
  <c r="F106" i="4" s="1"/>
  <c r="E105" i="4"/>
  <c r="F105" i="4" s="1"/>
  <c r="E104" i="4"/>
  <c r="F104" i="4" s="1"/>
  <c r="E103" i="4"/>
  <c r="F103" i="4" s="1"/>
  <c r="E102" i="4"/>
  <c r="F102" i="4" s="1"/>
  <c r="E101" i="4"/>
  <c r="F101" i="4" s="1"/>
  <c r="E100" i="4"/>
  <c r="F100" i="4" s="1"/>
  <c r="E99" i="4"/>
  <c r="F99" i="4" s="1"/>
  <c r="E98" i="4"/>
  <c r="F98" i="4" s="1"/>
  <c r="E97" i="4"/>
  <c r="F97" i="4" s="1"/>
  <c r="E96" i="4"/>
  <c r="F96" i="4" s="1"/>
  <c r="E95" i="4"/>
  <c r="F95" i="4" s="1"/>
  <c r="E94" i="4"/>
  <c r="F94" i="4" s="1"/>
  <c r="E93" i="4"/>
  <c r="F93" i="4" s="1"/>
  <c r="E92" i="4"/>
  <c r="F92" i="4" s="1"/>
  <c r="E91" i="4"/>
  <c r="F91" i="4" s="1"/>
  <c r="F81" i="4"/>
  <c r="E81" i="4"/>
  <c r="D78" i="4"/>
  <c r="E78" i="4" s="1"/>
  <c r="F78" i="4" s="1"/>
  <c r="C78" i="4"/>
  <c r="E77" i="4"/>
  <c r="F77" i="4" s="1"/>
  <c r="E76" i="4"/>
  <c r="F76" i="4" s="1"/>
  <c r="E75" i="4"/>
  <c r="F75" i="4" s="1"/>
  <c r="E74" i="4"/>
  <c r="F74" i="4" s="1"/>
  <c r="E73" i="4"/>
  <c r="F73" i="4" s="1"/>
  <c r="E72" i="4"/>
  <c r="F72" i="4" s="1"/>
  <c r="F71" i="4"/>
  <c r="E71" i="4"/>
  <c r="E70" i="4"/>
  <c r="F70" i="4" s="1"/>
  <c r="E69" i="4"/>
  <c r="F69" i="4" s="1"/>
  <c r="E68" i="4"/>
  <c r="F68" i="4" s="1"/>
  <c r="E67" i="4"/>
  <c r="F67" i="4" s="1"/>
  <c r="E66" i="4"/>
  <c r="F66" i="4" s="1"/>
  <c r="E65" i="4"/>
  <c r="F65" i="4" s="1"/>
  <c r="E64" i="4"/>
  <c r="F64" i="4" s="1"/>
  <c r="E63" i="4"/>
  <c r="F63" i="4" s="1"/>
  <c r="E62" i="4"/>
  <c r="F62" i="4" s="1"/>
  <c r="D59" i="4"/>
  <c r="E59" i="4" s="1"/>
  <c r="F59" i="4" s="1"/>
  <c r="C59" i="4"/>
  <c r="F58" i="4"/>
  <c r="E58" i="4"/>
  <c r="E57" i="4"/>
  <c r="F57" i="4" s="1"/>
  <c r="E56" i="4"/>
  <c r="F56" i="4" s="1"/>
  <c r="E55" i="4"/>
  <c r="F55" i="4" s="1"/>
  <c r="E54" i="4"/>
  <c r="F54" i="4" s="1"/>
  <c r="E53" i="4"/>
  <c r="F53" i="4" s="1"/>
  <c r="E50" i="4"/>
  <c r="F50" i="4" s="1"/>
  <c r="E47" i="4"/>
  <c r="F47" i="4" s="1"/>
  <c r="E44" i="4"/>
  <c r="F44" i="4" s="1"/>
  <c r="D41" i="4"/>
  <c r="E41" i="4" s="1"/>
  <c r="F41" i="4" s="1"/>
  <c r="C41" i="4"/>
  <c r="F40" i="4"/>
  <c r="E40" i="4"/>
  <c r="E39" i="4"/>
  <c r="F39" i="4" s="1"/>
  <c r="E38" i="4"/>
  <c r="F38" i="4" s="1"/>
  <c r="D35" i="4"/>
  <c r="C35" i="4"/>
  <c r="E34" i="4"/>
  <c r="F34" i="4" s="1"/>
  <c r="E33" i="4"/>
  <c r="F33" i="4" s="1"/>
  <c r="D30" i="4"/>
  <c r="C30" i="4"/>
  <c r="F29" i="4"/>
  <c r="E29" i="4"/>
  <c r="E28" i="4"/>
  <c r="F28" i="4" s="1"/>
  <c r="E27" i="4"/>
  <c r="F27" i="4" s="1"/>
  <c r="D24" i="4"/>
  <c r="D83" i="4" s="1"/>
  <c r="C24" i="4"/>
  <c r="E23" i="4"/>
  <c r="F23" i="4" s="1"/>
  <c r="E22" i="4"/>
  <c r="F22" i="4" s="1"/>
  <c r="E21" i="4"/>
  <c r="F21" i="4" s="1"/>
  <c r="D18" i="4"/>
  <c r="C18" i="4"/>
  <c r="E17" i="4"/>
  <c r="F17" i="4" s="1"/>
  <c r="E16" i="4"/>
  <c r="F16" i="4" s="1"/>
  <c r="E15" i="4"/>
  <c r="F15" i="4" s="1"/>
  <c r="D179" i="3"/>
  <c r="E179" i="3" s="1"/>
  <c r="F179" i="3" s="1"/>
  <c r="C179" i="3"/>
  <c r="F178" i="3"/>
  <c r="E178" i="3"/>
  <c r="E177" i="3"/>
  <c r="F177" i="3" s="1"/>
  <c r="E176" i="3"/>
  <c r="F176" i="3" s="1"/>
  <c r="E175" i="3"/>
  <c r="F175" i="3" s="1"/>
  <c r="E174" i="3"/>
  <c r="F174" i="3" s="1"/>
  <c r="E173" i="3"/>
  <c r="F173" i="3" s="1"/>
  <c r="E172" i="3"/>
  <c r="F172" i="3" s="1"/>
  <c r="E171" i="3"/>
  <c r="F171" i="3" s="1"/>
  <c r="E170" i="3"/>
  <c r="F170" i="3" s="1"/>
  <c r="E169" i="3"/>
  <c r="F169" i="3" s="1"/>
  <c r="E168" i="3"/>
  <c r="F168" i="3" s="1"/>
  <c r="D166" i="3"/>
  <c r="C166" i="3"/>
  <c r="F165" i="3"/>
  <c r="E165" i="3"/>
  <c r="E164" i="3"/>
  <c r="F164" i="3" s="1"/>
  <c r="E163" i="3"/>
  <c r="F163" i="3" s="1"/>
  <c r="E162" i="3"/>
  <c r="F162" i="3" s="1"/>
  <c r="E161" i="3"/>
  <c r="F161" i="3" s="1"/>
  <c r="E160" i="3"/>
  <c r="F160" i="3" s="1"/>
  <c r="E159" i="3"/>
  <c r="F159" i="3" s="1"/>
  <c r="E158" i="3"/>
  <c r="F158" i="3" s="1"/>
  <c r="E157" i="3"/>
  <c r="F157" i="3" s="1"/>
  <c r="E156" i="3"/>
  <c r="F156" i="3" s="1"/>
  <c r="E155" i="3"/>
  <c r="F155" i="3" s="1"/>
  <c r="D153" i="3"/>
  <c r="C153" i="3"/>
  <c r="F152" i="3"/>
  <c r="E152" i="3"/>
  <c r="E151" i="3"/>
  <c r="F151" i="3" s="1"/>
  <c r="E150" i="3"/>
  <c r="F150" i="3" s="1"/>
  <c r="E149" i="3"/>
  <c r="F149" i="3" s="1"/>
  <c r="E148" i="3"/>
  <c r="F148" i="3" s="1"/>
  <c r="E147" i="3"/>
  <c r="F147" i="3" s="1"/>
  <c r="E146" i="3"/>
  <c r="F146" i="3" s="1"/>
  <c r="E145" i="3"/>
  <c r="F145" i="3" s="1"/>
  <c r="E144" i="3"/>
  <c r="F144" i="3" s="1"/>
  <c r="E143" i="3"/>
  <c r="F143" i="3" s="1"/>
  <c r="E142" i="3"/>
  <c r="F142" i="3" s="1"/>
  <c r="D137" i="3"/>
  <c r="C137" i="3"/>
  <c r="F136" i="3"/>
  <c r="E136" i="3"/>
  <c r="E135" i="3"/>
  <c r="F135" i="3" s="1"/>
  <c r="E134" i="3"/>
  <c r="F134" i="3" s="1"/>
  <c r="E133" i="3"/>
  <c r="F133" i="3" s="1"/>
  <c r="E132" i="3"/>
  <c r="F132" i="3" s="1"/>
  <c r="E131" i="3"/>
  <c r="F131" i="3" s="1"/>
  <c r="E130" i="3"/>
  <c r="F130" i="3" s="1"/>
  <c r="E129" i="3"/>
  <c r="F129" i="3" s="1"/>
  <c r="E128" i="3"/>
  <c r="F128" i="3" s="1"/>
  <c r="E127" i="3"/>
  <c r="F127" i="3" s="1"/>
  <c r="E126" i="3"/>
  <c r="F126" i="3" s="1"/>
  <c r="D124" i="3"/>
  <c r="C124" i="3"/>
  <c r="E124" i="3"/>
  <c r="F123" i="3"/>
  <c r="E123" i="3"/>
  <c r="E122" i="3"/>
  <c r="F122" i="3"/>
  <c r="E121" i="3"/>
  <c r="F121" i="3"/>
  <c r="E120" i="3"/>
  <c r="F120" i="3"/>
  <c r="E119" i="3"/>
  <c r="F119" i="3"/>
  <c r="E118" i="3"/>
  <c r="F118" i="3"/>
  <c r="E117" i="3"/>
  <c r="F117" i="3"/>
  <c r="E116" i="3"/>
  <c r="F116" i="3"/>
  <c r="E115" i="3"/>
  <c r="F115" i="3"/>
  <c r="E114" i="3"/>
  <c r="F114" i="3"/>
  <c r="E113" i="3"/>
  <c r="F113" i="3"/>
  <c r="D111" i="3"/>
  <c r="C111" i="3"/>
  <c r="F110" i="3"/>
  <c r="E110" i="3"/>
  <c r="E109" i="3"/>
  <c r="F109" i="3"/>
  <c r="E108" i="3"/>
  <c r="F108" i="3"/>
  <c r="E107" i="3"/>
  <c r="F107" i="3"/>
  <c r="E106" i="3"/>
  <c r="F106" i="3"/>
  <c r="E105" i="3"/>
  <c r="F105" i="3"/>
  <c r="E104" i="3"/>
  <c r="F104" i="3"/>
  <c r="E103" i="3"/>
  <c r="F103" i="3"/>
  <c r="E102" i="3"/>
  <c r="F102" i="3"/>
  <c r="E101" i="3"/>
  <c r="F101" i="3"/>
  <c r="E100" i="3"/>
  <c r="F100" i="3"/>
  <c r="D94" i="3"/>
  <c r="C94" i="3"/>
  <c r="F94" i="3" s="1"/>
  <c r="D93" i="3"/>
  <c r="C93" i="3"/>
  <c r="E93" i="3" s="1"/>
  <c r="F93" i="3" s="1"/>
  <c r="D92" i="3"/>
  <c r="C92" i="3"/>
  <c r="E92" i="3" s="1"/>
  <c r="F92" i="3" s="1"/>
  <c r="D91" i="3"/>
  <c r="C91" i="3"/>
  <c r="E91" i="3" s="1"/>
  <c r="F91" i="3" s="1"/>
  <c r="D90" i="3"/>
  <c r="C90" i="3"/>
  <c r="E90" i="3" s="1"/>
  <c r="F90" i="3" s="1"/>
  <c r="D89" i="3"/>
  <c r="C89" i="3"/>
  <c r="E89" i="3" s="1"/>
  <c r="F89" i="3" s="1"/>
  <c r="D88" i="3"/>
  <c r="C88" i="3"/>
  <c r="D87" i="3"/>
  <c r="C87" i="3"/>
  <c r="E87" i="3" s="1"/>
  <c r="F87" i="3" s="1"/>
  <c r="D86" i="3"/>
  <c r="C86" i="3"/>
  <c r="D85" i="3"/>
  <c r="C85" i="3"/>
  <c r="E85" i="3" s="1"/>
  <c r="F85" i="3" s="1"/>
  <c r="D84" i="3"/>
  <c r="D95" i="3" s="1"/>
  <c r="C84" i="3"/>
  <c r="C95" i="3" s="1"/>
  <c r="E95" i="3" s="1"/>
  <c r="F95" i="3" s="1"/>
  <c r="D81" i="3"/>
  <c r="C81" i="3"/>
  <c r="E81" i="3" s="1"/>
  <c r="F80" i="3"/>
  <c r="E80" i="3"/>
  <c r="E79" i="3"/>
  <c r="F79" i="3" s="1"/>
  <c r="E78" i="3"/>
  <c r="F78" i="3" s="1"/>
  <c r="E77" i="3"/>
  <c r="F77" i="3" s="1"/>
  <c r="E76" i="3"/>
  <c r="F76" i="3" s="1"/>
  <c r="E75" i="3"/>
  <c r="F75" i="3" s="1"/>
  <c r="E74" i="3"/>
  <c r="F74" i="3" s="1"/>
  <c r="E73" i="3"/>
  <c r="F73" i="3" s="1"/>
  <c r="E72" i="3"/>
  <c r="F72" i="3" s="1"/>
  <c r="E71" i="3"/>
  <c r="F71" i="3" s="1"/>
  <c r="E70" i="3"/>
  <c r="F70" i="3" s="1"/>
  <c r="D68" i="3"/>
  <c r="C68" i="3"/>
  <c r="F67" i="3"/>
  <c r="E67" i="3"/>
  <c r="E66" i="3"/>
  <c r="F66" i="3" s="1"/>
  <c r="E65" i="3"/>
  <c r="F65" i="3" s="1"/>
  <c r="E64" i="3"/>
  <c r="F64" i="3" s="1"/>
  <c r="E63" i="3"/>
  <c r="F63" i="3" s="1"/>
  <c r="E62" i="3"/>
  <c r="F62" i="3" s="1"/>
  <c r="E61" i="3"/>
  <c r="F61" i="3" s="1"/>
  <c r="E60" i="3"/>
  <c r="F60" i="3" s="1"/>
  <c r="E59" i="3"/>
  <c r="F59" i="3" s="1"/>
  <c r="E58" i="3"/>
  <c r="F58" i="3" s="1"/>
  <c r="E57" i="3"/>
  <c r="F57" i="3" s="1"/>
  <c r="D51" i="3"/>
  <c r="C51" i="3"/>
  <c r="F51" i="3" s="1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D52" i="3" s="1"/>
  <c r="C41" i="3"/>
  <c r="F41" i="3" s="1"/>
  <c r="D38" i="3"/>
  <c r="C38" i="3"/>
  <c r="E38" i="3" s="1"/>
  <c r="F37" i="3"/>
  <c r="E37" i="3"/>
  <c r="E36" i="3"/>
  <c r="F36" i="3" s="1"/>
  <c r="E35" i="3"/>
  <c r="F35" i="3" s="1"/>
  <c r="E34" i="3"/>
  <c r="F34" i="3" s="1"/>
  <c r="E33" i="3"/>
  <c r="F33" i="3" s="1"/>
  <c r="E32" i="3"/>
  <c r="F32" i="3" s="1"/>
  <c r="E31" i="3"/>
  <c r="F31" i="3" s="1"/>
  <c r="E30" i="3"/>
  <c r="F30" i="3" s="1"/>
  <c r="E29" i="3"/>
  <c r="F29" i="3" s="1"/>
  <c r="E28" i="3"/>
  <c r="F28" i="3" s="1"/>
  <c r="E27" i="3"/>
  <c r="F27" i="3" s="1"/>
  <c r="D25" i="3"/>
  <c r="E25" i="3" s="1"/>
  <c r="F25" i="3" s="1"/>
  <c r="C25" i="3"/>
  <c r="F24" i="3"/>
  <c r="E24" i="3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49" i="2"/>
  <c r="F49" i="2" s="1"/>
  <c r="D46" i="2"/>
  <c r="E46" i="2" s="1"/>
  <c r="F46" i="2" s="1"/>
  <c r="C46" i="2"/>
  <c r="E45" i="2"/>
  <c r="F45" i="2" s="1"/>
  <c r="F44" i="2"/>
  <c r="E44" i="2"/>
  <c r="D39" i="2"/>
  <c r="C39" i="2"/>
  <c r="F38" i="2"/>
  <c r="E38" i="2"/>
  <c r="F37" i="2"/>
  <c r="E37" i="2"/>
  <c r="E36" i="2"/>
  <c r="F36" i="2"/>
  <c r="D31" i="2"/>
  <c r="C31" i="2"/>
  <c r="E30" i="2"/>
  <c r="F30" i="2"/>
  <c r="E29" i="2"/>
  <c r="F29" i="2"/>
  <c r="E28" i="2"/>
  <c r="F28" i="2"/>
  <c r="E27" i="2"/>
  <c r="F27" i="2"/>
  <c r="E26" i="2"/>
  <c r="F26" i="2"/>
  <c r="E25" i="2"/>
  <c r="F25" i="2"/>
  <c r="E24" i="2"/>
  <c r="F24" i="2"/>
  <c r="E23" i="2"/>
  <c r="F23" i="2"/>
  <c r="E22" i="2"/>
  <c r="F22" i="2"/>
  <c r="E18" i="2"/>
  <c r="F18" i="2"/>
  <c r="E17" i="2"/>
  <c r="F17" i="2"/>
  <c r="D16" i="2"/>
  <c r="C16" i="2"/>
  <c r="F15" i="2"/>
  <c r="E15" i="2"/>
  <c r="E14" i="2"/>
  <c r="F14" i="2"/>
  <c r="E13" i="2"/>
  <c r="F13" i="2"/>
  <c r="E12" i="2"/>
  <c r="F12" i="2"/>
  <c r="D73" i="1"/>
  <c r="C73" i="1"/>
  <c r="E72" i="1"/>
  <c r="F72" i="1"/>
  <c r="E71" i="1"/>
  <c r="F71" i="1"/>
  <c r="E70" i="1"/>
  <c r="F70" i="1"/>
  <c r="F67" i="1"/>
  <c r="E67" i="1"/>
  <c r="E64" i="1"/>
  <c r="F64" i="1"/>
  <c r="E63" i="1"/>
  <c r="F63" i="1"/>
  <c r="D61" i="1"/>
  <c r="C61" i="1"/>
  <c r="F60" i="1"/>
  <c r="E60" i="1"/>
  <c r="E59" i="1"/>
  <c r="F59" i="1" s="1"/>
  <c r="D56" i="1"/>
  <c r="C56" i="1"/>
  <c r="E55" i="1"/>
  <c r="F55" i="1" s="1"/>
  <c r="F54" i="1"/>
  <c r="E54" i="1"/>
  <c r="E53" i="1"/>
  <c r="F53" i="1" s="1"/>
  <c r="F52" i="1"/>
  <c r="E52" i="1"/>
  <c r="F51" i="1"/>
  <c r="E51" i="1"/>
  <c r="F50" i="1"/>
  <c r="E50" i="1"/>
  <c r="A50" i="1"/>
  <c r="A51" i="1" s="1"/>
  <c r="A52" i="1" s="1"/>
  <c r="A53" i="1" s="1"/>
  <c r="A54" i="1" s="1"/>
  <c r="A55" i="1" s="1"/>
  <c r="E49" i="1"/>
  <c r="F49" i="1" s="1"/>
  <c r="E40" i="1"/>
  <c r="F40" i="1" s="1"/>
  <c r="D38" i="1"/>
  <c r="D41" i="1" s="1"/>
  <c r="C38" i="1"/>
  <c r="E37" i="1"/>
  <c r="F37" i="1"/>
  <c r="E36" i="1"/>
  <c r="F36" i="1"/>
  <c r="E33" i="1"/>
  <c r="F33" i="1"/>
  <c r="E32" i="1"/>
  <c r="F32" i="1"/>
  <c r="F31" i="1"/>
  <c r="E31" i="1"/>
  <c r="D29" i="1"/>
  <c r="C29" i="1"/>
  <c r="E28" i="1"/>
  <c r="F28" i="1"/>
  <c r="F27" i="1"/>
  <c r="E27" i="1"/>
  <c r="E26" i="1"/>
  <c r="F26" i="1"/>
  <c r="E25" i="1"/>
  <c r="F25" i="1"/>
  <c r="D22" i="1"/>
  <c r="C22" i="1"/>
  <c r="E21" i="1"/>
  <c r="F21" i="1" s="1"/>
  <c r="F20" i="1"/>
  <c r="E20" i="1"/>
  <c r="F19" i="1"/>
  <c r="E19" i="1"/>
  <c r="E18" i="1"/>
  <c r="F18" i="1" s="1"/>
  <c r="F17" i="1"/>
  <c r="E17" i="1"/>
  <c r="E16" i="1"/>
  <c r="F16" i="1" s="1"/>
  <c r="E15" i="1"/>
  <c r="F15" i="1" s="1"/>
  <c r="E14" i="1"/>
  <c r="F14" i="1" s="1"/>
  <c r="E13" i="1"/>
  <c r="F13" i="1" s="1"/>
  <c r="F58" i="14"/>
  <c r="D146" i="14"/>
  <c r="D280" i="14"/>
  <c r="D37" i="14"/>
  <c r="D124" i="14"/>
  <c r="D126" i="14" s="1"/>
  <c r="D127" i="14" s="1"/>
  <c r="D214" i="14"/>
  <c r="D262" i="14"/>
  <c r="E262" i="14" s="1"/>
  <c r="F262" i="14" s="1"/>
  <c r="E139" i="5"/>
  <c r="E208" i="6"/>
  <c r="C17" i="5"/>
  <c r="D139" i="5"/>
  <c r="D138" i="5"/>
  <c r="D140" i="5"/>
  <c r="C33" i="9"/>
  <c r="C140" i="5"/>
  <c r="D154" i="5"/>
  <c r="C15" i="10"/>
  <c r="C17" i="10" s="1"/>
  <c r="C28" i="10" s="1"/>
  <c r="C25" i="10"/>
  <c r="C27" i="10" s="1"/>
  <c r="E38" i="1"/>
  <c r="F38" i="1" s="1"/>
  <c r="C41" i="1"/>
  <c r="C65" i="1"/>
  <c r="C75" i="1" s="1"/>
  <c r="C19" i="2"/>
  <c r="C33" i="2" s="1"/>
  <c r="C41" i="2" s="1"/>
  <c r="C48" i="2" s="1"/>
  <c r="E31" i="2"/>
  <c r="F31" i="2" s="1"/>
  <c r="E41" i="3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84" i="3"/>
  <c r="F84" i="3" s="1"/>
  <c r="E86" i="3"/>
  <c r="F86" i="3" s="1"/>
  <c r="E88" i="3"/>
  <c r="F88" i="3" s="1"/>
  <c r="E153" i="3"/>
  <c r="F153" i="3" s="1"/>
  <c r="E24" i="4"/>
  <c r="F24" i="4" s="1"/>
  <c r="E109" i="4"/>
  <c r="F109" i="4" s="1"/>
  <c r="E155" i="4"/>
  <c r="F155" i="4" s="1"/>
  <c r="D57" i="5"/>
  <c r="D62" i="5" s="1"/>
  <c r="E36" i="6"/>
  <c r="E63" i="6"/>
  <c r="F63" i="6" s="1"/>
  <c r="E15" i="5"/>
  <c r="C25" i="5"/>
  <c r="D43" i="5"/>
  <c r="C57" i="5"/>
  <c r="C62" i="5"/>
  <c r="E77" i="5"/>
  <c r="E71" i="5"/>
  <c r="C88" i="5"/>
  <c r="C90" i="5"/>
  <c r="C86" i="5" s="1"/>
  <c r="F107" i="7"/>
  <c r="E112" i="7"/>
  <c r="F118" i="7"/>
  <c r="C75" i="8"/>
  <c r="G17" i="11"/>
  <c r="F33" i="11"/>
  <c r="F36" i="11" s="1"/>
  <c r="F38" i="11" s="1"/>
  <c r="F40" i="11" s="1"/>
  <c r="E75" i="12"/>
  <c r="C59" i="10"/>
  <c r="C61" i="10" s="1"/>
  <c r="C57" i="10" s="1"/>
  <c r="C48" i="10"/>
  <c r="C42" i="10" s="1"/>
  <c r="E113" i="7"/>
  <c r="F65" i="8"/>
  <c r="E37" i="12"/>
  <c r="E50" i="12"/>
  <c r="E25" i="10"/>
  <c r="E27" i="10" s="1"/>
  <c r="E15" i="10"/>
  <c r="C52" i="3"/>
  <c r="E52" i="3" s="1"/>
  <c r="F52" i="3" s="1"/>
  <c r="C83" i="4"/>
  <c r="C176" i="4"/>
  <c r="F38" i="3"/>
  <c r="F124" i="3"/>
  <c r="F88" i="6"/>
  <c r="F89" i="6"/>
  <c r="F114" i="6"/>
  <c r="F115" i="6"/>
  <c r="F140" i="6"/>
  <c r="F141" i="6"/>
  <c r="F167" i="6"/>
  <c r="F192" i="6"/>
  <c r="F193" i="6"/>
  <c r="F200" i="6"/>
  <c r="F36" i="7"/>
  <c r="F47" i="7"/>
  <c r="F48" i="7"/>
  <c r="F95" i="7"/>
  <c r="F112" i="7"/>
  <c r="D122" i="7"/>
  <c r="E122" i="7" s="1"/>
  <c r="F122" i="7" s="1"/>
  <c r="F116" i="7"/>
  <c r="F120" i="7"/>
  <c r="D43" i="8"/>
  <c r="E43" i="8" s="1"/>
  <c r="F38" i="8"/>
  <c r="C41" i="8"/>
  <c r="C43" i="8" s="1"/>
  <c r="E56" i="8"/>
  <c r="F56" i="8" s="1"/>
  <c r="C80" i="10"/>
  <c r="C77" i="10" s="1"/>
  <c r="F45" i="12"/>
  <c r="E55" i="12"/>
  <c r="E65" i="12"/>
  <c r="F65" i="12" s="1"/>
  <c r="F75" i="12"/>
  <c r="E84" i="12"/>
  <c r="F84" i="12"/>
  <c r="E22" i="13"/>
  <c r="F22" i="13"/>
  <c r="E48" i="10"/>
  <c r="E42" i="10" s="1"/>
  <c r="E59" i="10"/>
  <c r="E61" i="10" s="1"/>
  <c r="E57" i="10" s="1"/>
  <c r="F17" i="11"/>
  <c r="C31" i="11"/>
  <c r="C125" i="15"/>
  <c r="C114" i="15"/>
  <c r="C127" i="15"/>
  <c r="C112" i="15"/>
  <c r="C126" i="15"/>
  <c r="C124" i="15"/>
  <c r="C122" i="15"/>
  <c r="C111" i="15"/>
  <c r="E202" i="6"/>
  <c r="F202" i="6" s="1"/>
  <c r="E206" i="6"/>
  <c r="E35" i="7"/>
  <c r="F35" i="7" s="1"/>
  <c r="E108" i="7"/>
  <c r="F108" i="7" s="1"/>
  <c r="F113" i="7"/>
  <c r="E115" i="7"/>
  <c r="F115" i="7" s="1"/>
  <c r="E119" i="7"/>
  <c r="F119" i="7"/>
  <c r="F121" i="7"/>
  <c r="F73" i="8"/>
  <c r="E16" i="9"/>
  <c r="F16" i="9"/>
  <c r="E31" i="9"/>
  <c r="F31" i="9"/>
  <c r="E39" i="9"/>
  <c r="F39" i="9"/>
  <c r="E46" i="9"/>
  <c r="F46" i="9"/>
  <c r="E33" i="11"/>
  <c r="F23" i="12"/>
  <c r="F70" i="12"/>
  <c r="F92" i="12"/>
  <c r="E99" i="12"/>
  <c r="F99" i="12" s="1"/>
  <c r="E13" i="13"/>
  <c r="F13" i="13" s="1"/>
  <c r="E17" i="13"/>
  <c r="F17" i="13" s="1"/>
  <c r="C146" i="14"/>
  <c r="F144" i="14"/>
  <c r="C22" i="15"/>
  <c r="C284" i="15" s="1"/>
  <c r="D33" i="15"/>
  <c r="E33" i="15" s="1"/>
  <c r="E32" i="15"/>
  <c r="E251" i="15"/>
  <c r="E264" i="14"/>
  <c r="F264" i="14" s="1"/>
  <c r="E24" i="14"/>
  <c r="F24" i="14" s="1"/>
  <c r="C31" i="14"/>
  <c r="F31" i="14" s="1"/>
  <c r="F35" i="14"/>
  <c r="E44" i="14"/>
  <c r="F44" i="14" s="1"/>
  <c r="E53" i="14"/>
  <c r="F53" i="14" s="1"/>
  <c r="C60" i="14"/>
  <c r="C61" i="14" s="1"/>
  <c r="E67" i="14"/>
  <c r="F67" i="14" s="1"/>
  <c r="E89" i="14"/>
  <c r="F89" i="14" s="1"/>
  <c r="E100" i="14"/>
  <c r="F100" i="14" s="1"/>
  <c r="C103" i="14"/>
  <c r="E135" i="14"/>
  <c r="F135" i="14" s="1"/>
  <c r="F164" i="14"/>
  <c r="E188" i="14"/>
  <c r="E191" i="14"/>
  <c r="E193" i="14"/>
  <c r="F193" i="14" s="1"/>
  <c r="F198" i="14"/>
  <c r="F230" i="14"/>
  <c r="C254" i="14"/>
  <c r="C266" i="14"/>
  <c r="C265" i="14" s="1"/>
  <c r="F283" i="14"/>
  <c r="F297" i="14"/>
  <c r="F311" i="14"/>
  <c r="C41" i="17"/>
  <c r="C287" i="14"/>
  <c r="D55" i="15"/>
  <c r="D284" i="15" s="1"/>
  <c r="E54" i="15"/>
  <c r="C163" i="15"/>
  <c r="E163" i="15" s="1"/>
  <c r="C156" i="15"/>
  <c r="E156" i="15" s="1"/>
  <c r="D189" i="15"/>
  <c r="D261" i="15"/>
  <c r="E261" i="15" s="1"/>
  <c r="E188" i="15"/>
  <c r="D210" i="15"/>
  <c r="D234" i="15" s="1"/>
  <c r="E218" i="15"/>
  <c r="D217" i="15"/>
  <c r="D330" i="15"/>
  <c r="E330" i="15" s="1"/>
  <c r="E326" i="15"/>
  <c r="E39" i="17"/>
  <c r="C45" i="19"/>
  <c r="C39" i="19"/>
  <c r="C35" i="19"/>
  <c r="C29" i="19"/>
  <c r="C112" i="19" s="1"/>
  <c r="C53" i="19"/>
  <c r="D109" i="19"/>
  <c r="D108" i="19"/>
  <c r="F30" i="14"/>
  <c r="F36" i="14"/>
  <c r="F85" i="14"/>
  <c r="F94" i="14"/>
  <c r="C138" i="14"/>
  <c r="F179" i="14"/>
  <c r="C181" i="14"/>
  <c r="F191" i="14"/>
  <c r="C200" i="14"/>
  <c r="C205" i="14"/>
  <c r="C214" i="14"/>
  <c r="C304" i="14" s="1"/>
  <c r="C239" i="14"/>
  <c r="C280" i="14"/>
  <c r="E280" i="14" s="1"/>
  <c r="F280" i="14" s="1"/>
  <c r="C290" i="14"/>
  <c r="C44" i="15"/>
  <c r="C98" i="15" s="1"/>
  <c r="E221" i="15"/>
  <c r="D157" i="15"/>
  <c r="D254" i="14"/>
  <c r="E214" i="14"/>
  <c r="C68" i="14"/>
  <c r="C111" i="14"/>
  <c r="C124" i="14"/>
  <c r="C194" i="14"/>
  <c r="C284" i="14"/>
  <c r="C239" i="15"/>
  <c r="E290" i="14"/>
  <c r="F290" i="14" s="1"/>
  <c r="C207" i="14"/>
  <c r="C208" i="14" s="1"/>
  <c r="C210" i="14" s="1"/>
  <c r="C285" i="14"/>
  <c r="C269" i="14"/>
  <c r="D71" i="15"/>
  <c r="E71" i="15" s="1"/>
  <c r="D65" i="15"/>
  <c r="D66" i="15" s="1"/>
  <c r="D289" i="15"/>
  <c r="D144" i="15"/>
  <c r="D145" i="15" s="1"/>
  <c r="D169" i="15" s="1"/>
  <c r="E139" i="15"/>
  <c r="E231" i="15"/>
  <c r="E260" i="15"/>
  <c r="E109" i="19"/>
  <c r="D194" i="14"/>
  <c r="D195" i="14" s="1"/>
  <c r="F155" i="14"/>
  <c r="F188" i="14"/>
  <c r="C190" i="14"/>
  <c r="C192" i="14"/>
  <c r="C199" i="14"/>
  <c r="C206" i="14"/>
  <c r="C215" i="14"/>
  <c r="C261" i="14"/>
  <c r="E261" i="14" s="1"/>
  <c r="F261" i="14" s="1"/>
  <c r="C274" i="14"/>
  <c r="C300" i="14"/>
  <c r="E151" i="15"/>
  <c r="E195" i="15"/>
  <c r="E215" i="15"/>
  <c r="C253" i="15"/>
  <c r="D240" i="15"/>
  <c r="D253" i="15" s="1"/>
  <c r="E253" i="15" s="1"/>
  <c r="D242" i="15"/>
  <c r="E244" i="15"/>
  <c r="C252" i="15"/>
  <c r="C254" i="15" s="1"/>
  <c r="C303" i="15"/>
  <c r="C306" i="15" s="1"/>
  <c r="C310" i="15" s="1"/>
  <c r="C22" i="16"/>
  <c r="C33" i="19"/>
  <c r="D34" i="19"/>
  <c r="C109" i="19"/>
  <c r="D125" i="14"/>
  <c r="D161" i="14"/>
  <c r="D162" i="14" s="1"/>
  <c r="D267" i="14"/>
  <c r="D277" i="14"/>
  <c r="D287" i="14" s="1"/>
  <c r="D29" i="19"/>
  <c r="D47" i="19" s="1"/>
  <c r="D39" i="19"/>
  <c r="D206" i="14"/>
  <c r="E206" i="14" s="1"/>
  <c r="C222" i="15"/>
  <c r="E324" i="15"/>
  <c r="E43" i="17"/>
  <c r="D23" i="19"/>
  <c r="D40" i="19" s="1"/>
  <c r="D49" i="14"/>
  <c r="D91" i="14"/>
  <c r="D92" i="14" s="1"/>
  <c r="D199" i="14"/>
  <c r="E199" i="14" s="1"/>
  <c r="F199" i="14" s="1"/>
  <c r="D215" i="14"/>
  <c r="D255" i="14" s="1"/>
  <c r="D261" i="14"/>
  <c r="C30" i="19"/>
  <c r="C48" i="19" s="1"/>
  <c r="C36" i="19"/>
  <c r="C40" i="19"/>
  <c r="D190" i="14"/>
  <c r="E190" i="14"/>
  <c r="D55" i="19"/>
  <c r="E68" i="14"/>
  <c r="F68" i="14" s="1"/>
  <c r="D36" i="19"/>
  <c r="E240" i="15"/>
  <c r="C37" i="19"/>
  <c r="D241" i="15"/>
  <c r="E60" i="14"/>
  <c r="F60" i="14" s="1"/>
  <c r="F190" i="14"/>
  <c r="G31" i="11"/>
  <c r="E194" i="14"/>
  <c r="F194" i="14" s="1"/>
  <c r="C87" i="15"/>
  <c r="C89" i="15"/>
  <c r="C95" i="15"/>
  <c r="C88" i="15"/>
  <c r="E146" i="14"/>
  <c r="F146" i="14" s="1"/>
  <c r="E24" i="5"/>
  <c r="E17" i="5"/>
  <c r="C112" i="5"/>
  <c r="C111" i="5" s="1"/>
  <c r="C28" i="5"/>
  <c r="C99" i="5" s="1"/>
  <c r="C101" i="5" s="1"/>
  <c r="C98" i="5" s="1"/>
  <c r="D50" i="14"/>
  <c r="D268" i="14"/>
  <c r="D271" i="14"/>
  <c r="D263" i="14"/>
  <c r="E192" i="14"/>
  <c r="C56" i="19"/>
  <c r="D270" i="14"/>
  <c r="E274" i="14"/>
  <c r="F274" i="14"/>
  <c r="E269" i="14"/>
  <c r="F269" i="14" s="1"/>
  <c r="E254" i="14"/>
  <c r="F254" i="14" s="1"/>
  <c r="E210" i="15"/>
  <c r="E21" i="10"/>
  <c r="C24" i="10"/>
  <c r="C41" i="9"/>
  <c r="C272" i="14"/>
  <c r="C43" i="1"/>
  <c r="E46" i="17"/>
  <c r="F46" i="17" s="1"/>
  <c r="F43" i="17"/>
  <c r="E277" i="14"/>
  <c r="F277" i="14" s="1"/>
  <c r="D180" i="15"/>
  <c r="C216" i="14"/>
  <c r="E31" i="14"/>
  <c r="C32" i="14"/>
  <c r="C105" i="14" s="1"/>
  <c r="C106" i="14" s="1"/>
  <c r="E36" i="11"/>
  <c r="E38" i="11" s="1"/>
  <c r="E40" i="11" s="1"/>
  <c r="G33" i="11"/>
  <c r="G36" i="11" s="1"/>
  <c r="G38" i="11" s="1"/>
  <c r="G40" i="11" s="1"/>
  <c r="E17" i="10"/>
  <c r="E28" i="10"/>
  <c r="E70" i="10" s="1"/>
  <c r="E72" i="10" s="1"/>
  <c r="E69" i="10" s="1"/>
  <c r="E24" i="10"/>
  <c r="C21" i="10"/>
  <c r="C223" i="15"/>
  <c r="E83" i="4"/>
  <c r="F83" i="4" s="1"/>
  <c r="C48" i="9"/>
  <c r="E22" i="10"/>
  <c r="E32" i="14"/>
  <c r="F32" i="14" s="1"/>
  <c r="E287" i="14"/>
  <c r="D304" i="14"/>
  <c r="E112" i="5"/>
  <c r="E111" i="5" s="1"/>
  <c r="E28" i="5"/>
  <c r="E99" i="5"/>
  <c r="E101" i="5" s="1"/>
  <c r="E98" i="5" s="1"/>
  <c r="E39" i="2" l="1"/>
  <c r="F39" i="2" s="1"/>
  <c r="C128" i="15"/>
  <c r="C129" i="15"/>
  <c r="E282" i="14"/>
  <c r="F205" i="14"/>
  <c r="C139" i="14"/>
  <c r="C209" i="14"/>
  <c r="C70" i="10"/>
  <c r="C72" i="10" s="1"/>
  <c r="C69" i="10" s="1"/>
  <c r="C22" i="10"/>
  <c r="E300" i="14"/>
  <c r="F300" i="14" s="1"/>
  <c r="E284" i="15"/>
  <c r="C137" i="5"/>
  <c r="C136" i="5"/>
  <c r="C135" i="5"/>
  <c r="E136" i="5"/>
  <c r="E135" i="5"/>
  <c r="E137" i="5"/>
  <c r="D156" i="5"/>
  <c r="D155" i="5"/>
  <c r="D157" i="5"/>
  <c r="C166" i="5"/>
  <c r="E166" i="5"/>
  <c r="F208" i="6"/>
  <c r="D102" i="14"/>
  <c r="D103" i="14" s="1"/>
  <c r="E101" i="14"/>
  <c r="F101" i="14" s="1"/>
  <c r="D207" i="14"/>
  <c r="D172" i="14"/>
  <c r="D173" i="14" s="1"/>
  <c r="E171" i="14"/>
  <c r="F171" i="14" s="1"/>
  <c r="D239" i="14"/>
  <c r="E239" i="14" s="1"/>
  <c r="F239" i="14" s="1"/>
  <c r="E237" i="14"/>
  <c r="F237" i="14" s="1"/>
  <c r="D168" i="15"/>
  <c r="D279" i="14"/>
  <c r="E41" i="8"/>
  <c r="F41" i="8" s="1"/>
  <c r="D211" i="15"/>
  <c r="D235" i="15" s="1"/>
  <c r="E124" i="14"/>
  <c r="F124" i="14" s="1"/>
  <c r="C38" i="19"/>
  <c r="C157" i="15"/>
  <c r="E157" i="15" s="1"/>
  <c r="C263" i="14"/>
  <c r="C101" i="15"/>
  <c r="C97" i="15"/>
  <c r="C100" i="15"/>
  <c r="C258" i="15"/>
  <c r="F39" i="17"/>
  <c r="C55" i="19"/>
  <c r="C286" i="14"/>
  <c r="D111" i="19"/>
  <c r="D46" i="19"/>
  <c r="E215" i="14"/>
  <c r="F215" i="14" s="1"/>
  <c r="D37" i="19"/>
  <c r="D205" i="14"/>
  <c r="E205" i="14" s="1"/>
  <c r="C111" i="19"/>
  <c r="E19" i="17"/>
  <c r="F19" i="17" s="1"/>
  <c r="D45" i="19"/>
  <c r="D35" i="19"/>
  <c r="D285" i="14"/>
  <c r="D138" i="14"/>
  <c r="D110" i="19"/>
  <c r="D102" i="19"/>
  <c r="D103" i="19" s="1"/>
  <c r="D266" i="14"/>
  <c r="E266" i="14" s="1"/>
  <c r="F266" i="14" s="1"/>
  <c r="D62" i="14"/>
  <c r="D63" i="14" s="1"/>
  <c r="D70" i="14" s="1"/>
  <c r="D175" i="15"/>
  <c r="E60" i="15"/>
  <c r="E204" i="14"/>
  <c r="F204" i="14" s="1"/>
  <c r="E137" i="14"/>
  <c r="F137" i="14" s="1"/>
  <c r="D272" i="14"/>
  <c r="D43" i="15"/>
  <c r="E200" i="14"/>
  <c r="F200" i="14" s="1"/>
  <c r="C110" i="19"/>
  <c r="E205" i="15"/>
  <c r="E55" i="15"/>
  <c r="E22" i="15"/>
  <c r="D281" i="14"/>
  <c r="D222" i="15"/>
  <c r="E123" i="14"/>
  <c r="F123" i="14" s="1"/>
  <c r="C283" i="15"/>
  <c r="E283" i="15" s="1"/>
  <c r="F204" i="6"/>
  <c r="E199" i="6"/>
  <c r="F199" i="6" s="1"/>
  <c r="C113" i="15"/>
  <c r="C115" i="15"/>
  <c r="C109" i="15"/>
  <c r="C123" i="15"/>
  <c r="C110" i="15"/>
  <c r="C116" i="15" s="1"/>
  <c r="C117" i="15" s="1"/>
  <c r="C131" i="15" s="1"/>
  <c r="C207" i="6"/>
  <c r="E207" i="6" s="1"/>
  <c r="F207" i="6" s="1"/>
  <c r="F201" i="6"/>
  <c r="F198" i="6"/>
  <c r="F166" i="6"/>
  <c r="F81" i="3"/>
  <c r="C27" i="5"/>
  <c r="C21" i="5" s="1"/>
  <c r="E94" i="3"/>
  <c r="E51" i="3"/>
  <c r="D153" i="5"/>
  <c r="D152" i="5"/>
  <c r="D158" i="5" s="1"/>
  <c r="C139" i="5"/>
  <c r="C138" i="5"/>
  <c r="E138" i="5"/>
  <c r="E140" i="5"/>
  <c r="D176" i="4"/>
  <c r="E176" i="4" s="1"/>
  <c r="F176" i="4" s="1"/>
  <c r="E27" i="5"/>
  <c r="D136" i="5"/>
  <c r="D135" i="5"/>
  <c r="D141" i="5" s="1"/>
  <c r="D137" i="5"/>
  <c r="C21" i="14"/>
  <c r="C282" i="14"/>
  <c r="E22" i="1"/>
  <c r="E29" i="1"/>
  <c r="F29" i="1" s="1"/>
  <c r="E41" i="1"/>
  <c r="F41" i="1" s="1"/>
  <c r="E56" i="1"/>
  <c r="E61" i="1"/>
  <c r="F61" i="1" s="1"/>
  <c r="E73" i="1"/>
  <c r="F73" i="1" s="1"/>
  <c r="E111" i="3"/>
  <c r="F111" i="3" s="1"/>
  <c r="D15" i="5"/>
  <c r="D90" i="5"/>
  <c r="D86" i="5" s="1"/>
  <c r="D109" i="5"/>
  <c r="D106" i="5" s="1"/>
  <c r="E62" i="6"/>
  <c r="F62" i="6" s="1"/>
  <c r="E75" i="6"/>
  <c r="E180" i="6"/>
  <c r="E193" i="6"/>
  <c r="E203" i="6"/>
  <c r="F203" i="6" s="1"/>
  <c r="E205" i="6"/>
  <c r="F205" i="6" s="1"/>
  <c r="E23" i="7"/>
  <c r="F23" i="7" s="1"/>
  <c r="E24" i="7"/>
  <c r="D75" i="8"/>
  <c r="E75" i="8" s="1"/>
  <c r="F75" i="8" s="1"/>
  <c r="D33" i="9"/>
  <c r="C48" i="14"/>
  <c r="E47" i="14"/>
  <c r="F47" i="14" s="1"/>
  <c r="E158" i="14"/>
  <c r="F158" i="14" s="1"/>
  <c r="E71" i="7"/>
  <c r="E83" i="7"/>
  <c r="E96" i="7"/>
  <c r="F96" i="7" s="1"/>
  <c r="E114" i="7"/>
  <c r="F114" i="7" s="1"/>
  <c r="E117" i="7"/>
  <c r="F117" i="7" s="1"/>
  <c r="E22" i="8"/>
  <c r="F22" i="8" s="1"/>
  <c r="E29" i="8"/>
  <c r="F29" i="8" s="1"/>
  <c r="D57" i="10"/>
  <c r="D50" i="10"/>
  <c r="E16" i="12"/>
  <c r="F16" i="12" s="1"/>
  <c r="E30" i="12"/>
  <c r="F30" i="12" s="1"/>
  <c r="E76" i="14"/>
  <c r="F76" i="14" s="1"/>
  <c r="C77" i="14"/>
  <c r="E77" i="14" s="1"/>
  <c r="E102" i="14"/>
  <c r="F102" i="14" s="1"/>
  <c r="E165" i="14"/>
  <c r="E227" i="14"/>
  <c r="F227" i="14" s="1"/>
  <c r="C259" i="15"/>
  <c r="C263" i="15" s="1"/>
  <c r="E70" i="15"/>
  <c r="E161" i="15"/>
  <c r="C242" i="15"/>
  <c r="E242" i="15" s="1"/>
  <c r="C217" i="15"/>
  <c r="E102" i="19"/>
  <c r="E101" i="19"/>
  <c r="D88" i="19"/>
  <c r="E294" i="14"/>
  <c r="F294" i="14" s="1"/>
  <c r="E59" i="14"/>
  <c r="F59" i="14" s="1"/>
  <c r="E145" i="14"/>
  <c r="F145" i="14" s="1"/>
  <c r="E180" i="14"/>
  <c r="F180" i="14" s="1"/>
  <c r="E298" i="14"/>
  <c r="F298" i="14" s="1"/>
  <c r="E307" i="14"/>
  <c r="F307" i="14" s="1"/>
  <c r="E36" i="15"/>
  <c r="E73" i="15"/>
  <c r="E75" i="15"/>
  <c r="C175" i="15"/>
  <c r="E165" i="15"/>
  <c r="E166" i="15"/>
  <c r="E167" i="15"/>
  <c r="E173" i="15"/>
  <c r="E174" i="15"/>
  <c r="E176" i="15"/>
  <c r="E178" i="15"/>
  <c r="E219" i="15"/>
  <c r="E245" i="15"/>
  <c r="E262" i="15"/>
  <c r="E265" i="15"/>
  <c r="E290" i="15"/>
  <c r="E301" i="15"/>
  <c r="C37" i="16"/>
  <c r="C38" i="16" s="1"/>
  <c r="C127" i="16" s="1"/>
  <c r="C129" i="16" s="1"/>
  <c r="C133" i="16" s="1"/>
  <c r="E20" i="17"/>
  <c r="F20" i="17" s="1"/>
  <c r="E40" i="17"/>
  <c r="F40" i="17" s="1"/>
  <c r="C102" i="19"/>
  <c r="E98" i="19"/>
  <c r="D111" i="14"/>
  <c r="E111" i="14" s="1"/>
  <c r="F111" i="14" s="1"/>
  <c r="D295" i="15"/>
  <c r="E272" i="14"/>
  <c r="F272" i="14" s="1"/>
  <c r="C22" i="5"/>
  <c r="C20" i="10"/>
  <c r="E304" i="14"/>
  <c r="F304" i="14" s="1"/>
  <c r="F206" i="14"/>
  <c r="F192" i="14"/>
  <c r="D181" i="15"/>
  <c r="F43" i="8"/>
  <c r="E20" i="10"/>
  <c r="F22" i="1"/>
  <c r="D43" i="1"/>
  <c r="E43" i="1" s="1"/>
  <c r="F43" i="1" s="1"/>
  <c r="F56" i="1"/>
  <c r="D65" i="1"/>
  <c r="E16" i="2"/>
  <c r="D19" i="2"/>
  <c r="D273" i="14"/>
  <c r="F287" i="14"/>
  <c r="C62" i="14"/>
  <c r="C140" i="14"/>
  <c r="E61" i="14"/>
  <c r="F61" i="14" s="1"/>
  <c r="C104" i="14"/>
  <c r="F214" i="14"/>
  <c r="D284" i="14"/>
  <c r="E284" i="14" s="1"/>
  <c r="F284" i="14" s="1"/>
  <c r="D294" i="15"/>
  <c r="D76" i="15"/>
  <c r="D246" i="15"/>
  <c r="C113" i="19"/>
  <c r="C99" i="15"/>
  <c r="C84" i="15"/>
  <c r="C86" i="15"/>
  <c r="C85" i="15"/>
  <c r="C96" i="15"/>
  <c r="C83" i="15"/>
  <c r="D196" i="14"/>
  <c r="D216" i="14"/>
  <c r="E216" i="14" s="1"/>
  <c r="F216" i="14" s="1"/>
  <c r="C47" i="19"/>
  <c r="D54" i="19"/>
  <c r="D30" i="19"/>
  <c r="D112" i="19"/>
  <c r="F16" i="2"/>
  <c r="E68" i="3"/>
  <c r="F68" i="3" s="1"/>
  <c r="E137" i="3"/>
  <c r="F137" i="3" s="1"/>
  <c r="E166" i="3"/>
  <c r="F166" i="3" s="1"/>
  <c r="E18" i="4"/>
  <c r="F18" i="4" s="1"/>
  <c r="E30" i="4"/>
  <c r="F30" i="4" s="1"/>
  <c r="E35" i="4"/>
  <c r="F35" i="4" s="1"/>
  <c r="E171" i="4"/>
  <c r="F171" i="4" s="1"/>
  <c r="C43" i="5"/>
  <c r="D49" i="5"/>
  <c r="C53" i="5"/>
  <c r="E23" i="6"/>
  <c r="F23" i="6" s="1"/>
  <c r="E24" i="6"/>
  <c r="F24" i="6" s="1"/>
  <c r="E49" i="6"/>
  <c r="F49" i="6" s="1"/>
  <c r="E50" i="6"/>
  <c r="F50" i="6" s="1"/>
  <c r="E101" i="6"/>
  <c r="F101" i="6" s="1"/>
  <c r="E43" i="5"/>
  <c r="E49" i="5"/>
  <c r="D77" i="5"/>
  <c r="D71" i="5" s="1"/>
  <c r="E102" i="6"/>
  <c r="F102" i="6" s="1"/>
  <c r="F24" i="7"/>
  <c r="E172" i="14"/>
  <c r="F172" i="14" s="1"/>
  <c r="C173" i="14"/>
  <c r="E127" i="6"/>
  <c r="F127" i="6" s="1"/>
  <c r="E128" i="6"/>
  <c r="F128" i="6" s="1"/>
  <c r="E61" i="8"/>
  <c r="F61" i="8" s="1"/>
  <c r="D48" i="10"/>
  <c r="D42" i="10" s="1"/>
  <c r="D31" i="11"/>
  <c r="F31" i="11" s="1"/>
  <c r="E23" i="14"/>
  <c r="F23" i="14" s="1"/>
  <c r="E52" i="14"/>
  <c r="F52" i="14" s="1"/>
  <c r="E136" i="14"/>
  <c r="E170" i="14"/>
  <c r="F170" i="14" s="1"/>
  <c r="E189" i="14"/>
  <c r="F189" i="14" s="1"/>
  <c r="E203" i="14"/>
  <c r="F203" i="14" s="1"/>
  <c r="E238" i="14"/>
  <c r="F238" i="14" s="1"/>
  <c r="E250" i="14"/>
  <c r="F250" i="14" s="1"/>
  <c r="C278" i="14"/>
  <c r="C234" i="15"/>
  <c r="E234" i="15" s="1"/>
  <c r="C211" i="15"/>
  <c r="C65" i="16"/>
  <c r="C114" i="16" s="1"/>
  <c r="C116" i="16" s="1"/>
  <c r="C119" i="16" s="1"/>
  <c r="C123" i="16" s="1"/>
  <c r="D15" i="10"/>
  <c r="E20" i="14"/>
  <c r="F20" i="14" s="1"/>
  <c r="C37" i="14"/>
  <c r="F136" i="14"/>
  <c r="C159" i="14"/>
  <c r="F165" i="14"/>
  <c r="C267" i="14"/>
  <c r="C255" i="14"/>
  <c r="E226" i="14"/>
  <c r="F226" i="14" s="1"/>
  <c r="C306" i="14"/>
  <c r="E295" i="14"/>
  <c r="F295" i="14" s="1"/>
  <c r="C54" i="19"/>
  <c r="C46" i="19"/>
  <c r="E37" i="15"/>
  <c r="C189" i="15"/>
  <c r="E189" i="15" s="1"/>
  <c r="D243" i="15"/>
  <c r="C289" i="15"/>
  <c r="E289" i="15" s="1"/>
  <c r="C64" i="16"/>
  <c r="F16" i="17"/>
  <c r="E36" i="17"/>
  <c r="F36" i="17" s="1"/>
  <c r="F44" i="17"/>
  <c r="F45" i="17"/>
  <c r="E22" i="19"/>
  <c r="E23" i="19"/>
  <c r="C101" i="19"/>
  <c r="C103" i="19" s="1"/>
  <c r="C65" i="15"/>
  <c r="C144" i="15"/>
  <c r="C229" i="15"/>
  <c r="E229" i="15" s="1"/>
  <c r="D302" i="15"/>
  <c r="D316" i="15"/>
  <c r="E48" i="14" l="1"/>
  <c r="C195" i="14"/>
  <c r="F48" i="14"/>
  <c r="C90" i="14"/>
  <c r="E90" i="14" s="1"/>
  <c r="F90" i="14" s="1"/>
  <c r="C125" i="14"/>
  <c r="C49" i="14"/>
  <c r="C91" i="14"/>
  <c r="C196" i="14"/>
  <c r="E21" i="14"/>
  <c r="F21" i="14"/>
  <c r="E20" i="5"/>
  <c r="E21" i="5"/>
  <c r="E22" i="5"/>
  <c r="E43" i="15"/>
  <c r="D44" i="15"/>
  <c r="E138" i="14"/>
  <c r="F138" i="14" s="1"/>
  <c r="D139" i="14"/>
  <c r="E139" i="14" s="1"/>
  <c r="F139" i="14" s="1"/>
  <c r="D208" i="14"/>
  <c r="E207" i="14"/>
  <c r="F207" i="14" s="1"/>
  <c r="D105" i="14"/>
  <c r="E103" i="14"/>
  <c r="F103" i="14" s="1"/>
  <c r="E153" i="5"/>
  <c r="E152" i="5"/>
  <c r="E154" i="5"/>
  <c r="E156" i="5"/>
  <c r="E157" i="5"/>
  <c r="E155" i="5"/>
  <c r="E141" i="5"/>
  <c r="C141" i="5"/>
  <c r="E41" i="17"/>
  <c r="F41" i="17" s="1"/>
  <c r="D140" i="14"/>
  <c r="D141" i="14" s="1"/>
  <c r="C102" i="15"/>
  <c r="C103" i="15" s="1"/>
  <c r="C20" i="5"/>
  <c r="E103" i="19"/>
  <c r="C241" i="15"/>
  <c r="E241" i="15" s="1"/>
  <c r="E217" i="15"/>
  <c r="D41" i="9"/>
  <c r="E33" i="9"/>
  <c r="F33" i="9" s="1"/>
  <c r="D24" i="5"/>
  <c r="D20" i="5" s="1"/>
  <c r="D17" i="5"/>
  <c r="F282" i="14"/>
  <c r="C281" i="14"/>
  <c r="D223" i="15"/>
  <c r="E222" i="15"/>
  <c r="E175" i="15"/>
  <c r="D286" i="14"/>
  <c r="E286" i="14" s="1"/>
  <c r="F286" i="14" s="1"/>
  <c r="E285" i="14"/>
  <c r="F285" i="14" s="1"/>
  <c r="D288" i="14"/>
  <c r="C264" i="15"/>
  <c r="C266" i="15" s="1"/>
  <c r="C267" i="15" s="1"/>
  <c r="E263" i="14"/>
  <c r="F263" i="14" s="1"/>
  <c r="D265" i="14"/>
  <c r="E265" i="14" s="1"/>
  <c r="F265" i="14" s="1"/>
  <c r="D174" i="14"/>
  <c r="D175" i="14"/>
  <c r="D176" i="14" s="1"/>
  <c r="C154" i="5"/>
  <c r="C153" i="5"/>
  <c r="C152" i="5"/>
  <c r="C157" i="5"/>
  <c r="C155" i="5"/>
  <c r="C156" i="5"/>
  <c r="C126" i="14"/>
  <c r="D104" i="14"/>
  <c r="E104" i="14" s="1"/>
  <c r="F104" i="14" s="1"/>
  <c r="D320" i="15"/>
  <c r="E320" i="15" s="1"/>
  <c r="E316" i="15"/>
  <c r="E306" i="14"/>
  <c r="E267" i="14"/>
  <c r="C270" i="14"/>
  <c r="F267" i="14"/>
  <c r="C90" i="15"/>
  <c r="C91" i="15" s="1"/>
  <c r="C105" i="15" s="1"/>
  <c r="C271" i="14"/>
  <c r="C63" i="14"/>
  <c r="E62" i="14"/>
  <c r="F62" i="14" s="1"/>
  <c r="D33" i="2"/>
  <c r="E19" i="2"/>
  <c r="F19" i="2" s="1"/>
  <c r="D75" i="1"/>
  <c r="E75" i="1" s="1"/>
  <c r="F75" i="1" s="1"/>
  <c r="E65" i="1"/>
  <c r="F65" i="1" s="1"/>
  <c r="C66" i="15"/>
  <c r="E65" i="15"/>
  <c r="E35" i="19"/>
  <c r="E45" i="19"/>
  <c r="E53" i="19"/>
  <c r="E110" i="19"/>
  <c r="E29" i="19"/>
  <c r="E39" i="19"/>
  <c r="E302" i="15"/>
  <c r="D303" i="15"/>
  <c r="C145" i="15"/>
  <c r="C168" i="15"/>
  <c r="E168" i="15" s="1"/>
  <c r="C180" i="15"/>
  <c r="E180" i="15" s="1"/>
  <c r="E144" i="15"/>
  <c r="C294" i="15"/>
  <c r="E294" i="15" s="1"/>
  <c r="E54" i="19"/>
  <c r="E30" i="19"/>
  <c r="E36" i="19"/>
  <c r="E40" i="19"/>
  <c r="E46" i="19"/>
  <c r="E111" i="19"/>
  <c r="E243" i="15"/>
  <c r="D252" i="15"/>
  <c r="E159" i="14"/>
  <c r="F159" i="14" s="1"/>
  <c r="C160" i="14"/>
  <c r="E37" i="14"/>
  <c r="F37" i="14" s="1"/>
  <c r="D24" i="10"/>
  <c r="D20" i="10" s="1"/>
  <c r="D17" i="10"/>
  <c r="D28" i="10" s="1"/>
  <c r="C235" i="15"/>
  <c r="E235" i="15" s="1"/>
  <c r="E211" i="15"/>
  <c r="C279" i="14"/>
  <c r="E278" i="14"/>
  <c r="F278" i="14" s="1"/>
  <c r="C288" i="14"/>
  <c r="E173" i="14"/>
  <c r="F173" i="14" s="1"/>
  <c r="C175" i="14"/>
  <c r="C161" i="14"/>
  <c r="E140" i="14"/>
  <c r="D113" i="19"/>
  <c r="D48" i="19"/>
  <c r="D38" i="19"/>
  <c r="D56" i="19"/>
  <c r="D197" i="14"/>
  <c r="E196" i="14"/>
  <c r="F196" i="14" s="1"/>
  <c r="C268" i="14"/>
  <c r="D77" i="15"/>
  <c r="E76" i="15"/>
  <c r="C268" i="15"/>
  <c r="C271" i="15" s="1"/>
  <c r="C269" i="15"/>
  <c r="C141" i="14"/>
  <c r="F140" i="14"/>
  <c r="D259" i="15"/>
  <c r="E255" i="14"/>
  <c r="F255" i="14" s="1"/>
  <c r="C246" i="15"/>
  <c r="E246" i="15" s="1"/>
  <c r="C174" i="14"/>
  <c r="D183" i="14" l="1"/>
  <c r="D323" i="14"/>
  <c r="D289" i="14"/>
  <c r="D291" i="14"/>
  <c r="D305" i="14" s="1"/>
  <c r="D309" i="14" s="1"/>
  <c r="D310" i="14" s="1"/>
  <c r="D312" i="14" s="1"/>
  <c r="D313" i="14" s="1"/>
  <c r="D112" i="5"/>
  <c r="D111" i="5" s="1"/>
  <c r="D28" i="5"/>
  <c r="E158" i="5"/>
  <c r="D88" i="15"/>
  <c r="E88" i="15" s="1"/>
  <c r="D99" i="15"/>
  <c r="E99" i="15" s="1"/>
  <c r="D258" i="15"/>
  <c r="E258" i="15" s="1"/>
  <c r="D95" i="15"/>
  <c r="E95" i="15" s="1"/>
  <c r="E44" i="15"/>
  <c r="D85" i="15"/>
  <c r="E85" i="15" s="1"/>
  <c r="D96" i="15"/>
  <c r="D98" i="15"/>
  <c r="E98" i="15" s="1"/>
  <c r="D100" i="15"/>
  <c r="E100" i="15" s="1"/>
  <c r="D86" i="15"/>
  <c r="E86" i="15" s="1"/>
  <c r="D101" i="15"/>
  <c r="E101" i="15" s="1"/>
  <c r="D87" i="15"/>
  <c r="E87" i="15" s="1"/>
  <c r="D89" i="15"/>
  <c r="E89" i="15" s="1"/>
  <c r="D83" i="15"/>
  <c r="D97" i="15"/>
  <c r="E97" i="15" s="1"/>
  <c r="D84" i="15"/>
  <c r="E281" i="14"/>
  <c r="F281" i="14" s="1"/>
  <c r="C50" i="14"/>
  <c r="E49" i="14"/>
  <c r="F49" i="14" s="1"/>
  <c r="E195" i="14"/>
  <c r="F195" i="14" s="1"/>
  <c r="C127" i="14"/>
  <c r="E126" i="14"/>
  <c r="F126" i="14"/>
  <c r="C158" i="5"/>
  <c r="E223" i="15"/>
  <c r="D247" i="15"/>
  <c r="D48" i="9"/>
  <c r="E48" i="9" s="1"/>
  <c r="F48" i="9" s="1"/>
  <c r="E41" i="9"/>
  <c r="F41" i="9" s="1"/>
  <c r="E105" i="14"/>
  <c r="F105" i="14" s="1"/>
  <c r="D106" i="14"/>
  <c r="E208" i="14"/>
  <c r="F208" i="14" s="1"/>
  <c r="D209" i="14"/>
  <c r="E209" i="14" s="1"/>
  <c r="F209" i="14" s="1"/>
  <c r="D210" i="14"/>
  <c r="C92" i="14"/>
  <c r="E91" i="14"/>
  <c r="F91" i="14" s="1"/>
  <c r="E125" i="14"/>
  <c r="F125" i="14"/>
  <c r="E174" i="14"/>
  <c r="F174" i="14" s="1"/>
  <c r="D126" i="15"/>
  <c r="E126" i="15" s="1"/>
  <c r="D122" i="15"/>
  <c r="D125" i="15"/>
  <c r="E125" i="15" s="1"/>
  <c r="D114" i="15"/>
  <c r="E114" i="15" s="1"/>
  <c r="D123" i="15"/>
  <c r="E123" i="15" s="1"/>
  <c r="D112" i="15"/>
  <c r="E112" i="15" s="1"/>
  <c r="D121" i="15"/>
  <c r="D127" i="15"/>
  <c r="E127" i="15" s="1"/>
  <c r="E77" i="15"/>
  <c r="D111" i="15"/>
  <c r="E111" i="15" s="1"/>
  <c r="D113" i="15"/>
  <c r="E113" i="15" s="1"/>
  <c r="D110" i="15"/>
  <c r="D115" i="15"/>
  <c r="E115" i="15" s="1"/>
  <c r="D124" i="15"/>
  <c r="E124" i="15" s="1"/>
  <c r="D109" i="15"/>
  <c r="D263" i="15"/>
  <c r="E259" i="15"/>
  <c r="C322" i="14"/>
  <c r="C148" i="14"/>
  <c r="E268" i="14"/>
  <c r="F268" i="14" s="1"/>
  <c r="E141" i="14"/>
  <c r="F141" i="14" s="1"/>
  <c r="D322" i="14"/>
  <c r="D148" i="14"/>
  <c r="E148" i="14" s="1"/>
  <c r="C176" i="14"/>
  <c r="E175" i="14"/>
  <c r="F175" i="14" s="1"/>
  <c r="E279" i="14"/>
  <c r="F279" i="14" s="1"/>
  <c r="D254" i="15"/>
  <c r="E254" i="15" s="1"/>
  <c r="E252" i="15"/>
  <c r="E38" i="19"/>
  <c r="E56" i="19"/>
  <c r="E48" i="19"/>
  <c r="E113" i="19"/>
  <c r="C169" i="15"/>
  <c r="E169" i="15" s="1"/>
  <c r="C181" i="15"/>
  <c r="E181" i="15" s="1"/>
  <c r="E145" i="15"/>
  <c r="C273" i="14"/>
  <c r="E271" i="14"/>
  <c r="F271" i="14" s="1"/>
  <c r="F270" i="14"/>
  <c r="E270" i="14"/>
  <c r="C162" i="14"/>
  <c r="E161" i="14"/>
  <c r="F161" i="14" s="1"/>
  <c r="E288" i="14"/>
  <c r="F288" i="14" s="1"/>
  <c r="C289" i="14"/>
  <c r="C291" i="14"/>
  <c r="D22" i="10"/>
  <c r="D70" i="10"/>
  <c r="D72" i="10" s="1"/>
  <c r="D69" i="10" s="1"/>
  <c r="E160" i="14"/>
  <c r="F160" i="14"/>
  <c r="E303" i="15"/>
  <c r="D306" i="15"/>
  <c r="E47" i="19"/>
  <c r="E112" i="19"/>
  <c r="E55" i="19"/>
  <c r="E37" i="19"/>
  <c r="E66" i="15"/>
  <c r="C295" i="15"/>
  <c r="E295" i="15" s="1"/>
  <c r="C247" i="15"/>
  <c r="E247" i="15" s="1"/>
  <c r="E33" i="2"/>
  <c r="F33" i="2" s="1"/>
  <c r="D41" i="2"/>
  <c r="C70" i="14"/>
  <c r="E63" i="14"/>
  <c r="F63" i="14" s="1"/>
  <c r="D211" i="14" l="1"/>
  <c r="E210" i="14"/>
  <c r="F210" i="14" s="1"/>
  <c r="E127" i="14"/>
  <c r="F127" i="14"/>
  <c r="E50" i="14"/>
  <c r="F50" i="14" s="1"/>
  <c r="D90" i="15"/>
  <c r="E90" i="15" s="1"/>
  <c r="E84" i="15"/>
  <c r="D91" i="15"/>
  <c r="E83" i="15"/>
  <c r="D314" i="14"/>
  <c r="D256" i="14"/>
  <c r="D257" i="14" s="1"/>
  <c r="D251" i="14"/>
  <c r="D315" i="14"/>
  <c r="C113" i="14"/>
  <c r="E92" i="14"/>
  <c r="F92" i="14" s="1"/>
  <c r="C324" i="14"/>
  <c r="F324" i="14" s="1"/>
  <c r="D324" i="14"/>
  <c r="E324" i="14" s="1"/>
  <c r="E106" i="14"/>
  <c r="F106" i="14" s="1"/>
  <c r="D113" i="14"/>
  <c r="D102" i="15"/>
  <c r="E96" i="15"/>
  <c r="D99" i="5"/>
  <c r="D101" i="5" s="1"/>
  <c r="D98" i="5" s="1"/>
  <c r="D22" i="5"/>
  <c r="D310" i="15"/>
  <c r="E310" i="15" s="1"/>
  <c r="E306" i="15"/>
  <c r="C305" i="14"/>
  <c r="E291" i="14"/>
  <c r="F291" i="14" s="1"/>
  <c r="E70" i="14"/>
  <c r="F70" i="14" s="1"/>
  <c r="E41" i="2"/>
  <c r="F41" i="2" s="1"/>
  <c r="D48" i="2"/>
  <c r="E48" i="2" s="1"/>
  <c r="F48" i="2" s="1"/>
  <c r="E289" i="14"/>
  <c r="F289" i="14" s="1"/>
  <c r="E273" i="14"/>
  <c r="F273" i="14" s="1"/>
  <c r="E176" i="14"/>
  <c r="F176" i="14" s="1"/>
  <c r="E322" i="14"/>
  <c r="D325" i="14"/>
  <c r="C211" i="14"/>
  <c r="E263" i="15"/>
  <c r="D264" i="15"/>
  <c r="E110" i="15"/>
  <c r="D116" i="15"/>
  <c r="E116" i="15" s="1"/>
  <c r="D128" i="15"/>
  <c r="E128" i="15" s="1"/>
  <c r="E122" i="15"/>
  <c r="C323" i="14"/>
  <c r="E162" i="14"/>
  <c r="F162" i="14" s="1"/>
  <c r="C183" i="14"/>
  <c r="C197" i="14"/>
  <c r="F148" i="14"/>
  <c r="F322" i="14"/>
  <c r="C325" i="14"/>
  <c r="E109" i="15"/>
  <c r="D117" i="15"/>
  <c r="E121" i="15"/>
  <c r="E325" i="14" l="1"/>
  <c r="E102" i="15"/>
  <c r="D103" i="15"/>
  <c r="E103" i="15" s="1"/>
  <c r="E113" i="14"/>
  <c r="F113" i="14"/>
  <c r="D318" i="14"/>
  <c r="E91" i="15"/>
  <c r="D105" i="15"/>
  <c r="E105" i="15" s="1"/>
  <c r="F197" i="14"/>
  <c r="E197" i="14"/>
  <c r="D129" i="15"/>
  <c r="E129" i="15" s="1"/>
  <c r="E117" i="15"/>
  <c r="F325" i="14"/>
  <c r="E183" i="14"/>
  <c r="F183" i="14" s="1"/>
  <c r="E323" i="14"/>
  <c r="F323" i="14" s="1"/>
  <c r="E264" i="15"/>
  <c r="D266" i="15"/>
  <c r="E211" i="14"/>
  <c r="F211" i="14" s="1"/>
  <c r="C309" i="14"/>
  <c r="E305" i="14"/>
  <c r="F305" i="14" s="1"/>
  <c r="E266" i="15" l="1"/>
  <c r="D267" i="15"/>
  <c r="D131" i="15"/>
  <c r="E131" i="15" s="1"/>
  <c r="C310" i="14"/>
  <c r="E309" i="14"/>
  <c r="F309" i="14" s="1"/>
  <c r="C312" i="14" l="1"/>
  <c r="E310" i="14"/>
  <c r="F310" i="14" s="1"/>
  <c r="E267" i="15"/>
  <c r="D268" i="15"/>
  <c r="D269" i="15"/>
  <c r="E269" i="15" s="1"/>
  <c r="D271" i="15" l="1"/>
  <c r="E271" i="15" s="1"/>
  <c r="E268" i="15"/>
  <c r="C313" i="14"/>
  <c r="E312" i="14"/>
  <c r="F312" i="14" s="1"/>
  <c r="C251" i="14" l="1"/>
  <c r="C256" i="14"/>
  <c r="C315" i="14"/>
  <c r="E313" i="14"/>
  <c r="F313" i="14" s="1"/>
  <c r="C314" i="14"/>
  <c r="F251" i="14" l="1"/>
  <c r="E251" i="14"/>
  <c r="C318" i="14"/>
  <c r="E314" i="14"/>
  <c r="F314" i="14" s="1"/>
  <c r="E315" i="14"/>
  <c r="F315" i="14" s="1"/>
  <c r="C257" i="14"/>
  <c r="F256" i="14"/>
  <c r="E256" i="14"/>
  <c r="F318" i="14" l="1"/>
  <c r="E318" i="14"/>
  <c r="F257" i="14"/>
  <c r="E257" i="14"/>
</calcChain>
</file>

<file path=xl/sharedStrings.xml><?xml version="1.0" encoding="utf-8"?>
<sst xmlns="http://schemas.openxmlformats.org/spreadsheetml/2006/main" count="2301" uniqueCount="977">
  <si>
    <t>GRIFFIN HOSPITAL</t>
  </si>
  <si>
    <t>TWELVE MONTHS ACTUAL FILING</t>
  </si>
  <si>
    <t xml:space="preserve">      FISCAL YEAR 2010</t>
  </si>
  <si>
    <t>REPORT 100 - HOSPITAL BALANCE SHEET INFORMATION</t>
  </si>
  <si>
    <t xml:space="preserve">      FY 2009</t>
  </si>
  <si>
    <t xml:space="preserve">      FY 2010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</si>
  <si>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</si>
  <si>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</si>
  <si>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</si>
  <si>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</si>
  <si>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</si>
  <si>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</si>
  <si>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</si>
  <si>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</si>
  <si>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</si>
  <si>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</si>
  <si>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</si>
  <si>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</si>
  <si>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</si>
  <si>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</si>
  <si>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</si>
  <si>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</si>
  <si>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</si>
  <si>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</si>
  <si>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</si>
  <si>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</si>
  <si>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</si>
  <si>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</si>
  <si>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</si>
  <si>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</si>
  <si>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</si>
  <si>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</si>
  <si>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</si>
  <si>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</si>
  <si>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</si>
  <si>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</si>
  <si>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</si>
  <si>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</si>
  <si>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</si>
  <si>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</si>
  <si>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</si>
  <si>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</si>
  <si>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</si>
  <si>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</si>
  <si>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</si>
  <si>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</si>
  <si>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</si>
  <si>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</si>
  <si>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</si>
  <si>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</si>
  <si>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</si>
  <si>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</si>
  <si>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</si>
  <si>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</si>
  <si>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</si>
  <si>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</si>
  <si>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</si>
  <si>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</si>
  <si>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</si>
  <si>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</si>
  <si>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</si>
  <si>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</si>
  <si>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</si>
  <si>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</si>
  <si>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</si>
  <si>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</si>
  <si>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</si>
  <si>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</si>
  <si>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</si>
  <si>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</si>
  <si>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</si>
  <si>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</si>
  <si>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</si>
  <si>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</si>
  <si>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</si>
  <si>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</si>
  <si>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</si>
  <si>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</si>
  <si>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</si>
  <si>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</si>
  <si>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</si>
  <si>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</si>
  <si>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</si>
  <si>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</si>
  <si>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</si>
  <si>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</si>
  <si>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</si>
  <si>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</si>
  <si>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</si>
  <si>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</si>
  <si>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</si>
  <si>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</si>
  <si>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</si>
  <si>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</si>
  <si>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</si>
  <si>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</si>
  <si>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</si>
  <si>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</si>
  <si>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</si>
  <si>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</si>
  <si>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</si>
  <si>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</si>
  <si>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</si>
  <si>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</si>
  <si>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</si>
  <si>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2009                ACTUAL     </t>
  </si>
  <si>
    <t xml:space="preserve">      FY 2010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</si>
  <si>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</si>
  <si>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</si>
  <si>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</si>
  <si>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</si>
  <si>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</si>
  <si>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</si>
  <si>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</si>
  <si>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</si>
  <si>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</si>
  <si>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</si>
  <si>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</si>
  <si>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</si>
  <si>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</si>
  <si>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</si>
  <si>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</si>
  <si>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</si>
  <si>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</si>
  <si>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</si>
  <si>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</si>
  <si>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</si>
  <si>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</si>
  <si>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</si>
  <si>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</si>
  <si>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</si>
  <si>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</si>
  <si>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</si>
  <si>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</si>
  <si>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</si>
  <si>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</si>
  <si>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</si>
  <si>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</si>
  <si>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</si>
  <si>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</si>
  <si>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</si>
  <si>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</si>
  <si>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</si>
  <si>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</si>
  <si>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</si>
  <si>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</si>
  <si>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</si>
  <si>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</si>
  <si>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</si>
  <si>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</si>
  <si>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</si>
  <si>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</si>
  <si>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</si>
  <si>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</si>
  <si>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</si>
  <si>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</si>
  <si>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</si>
  <si>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</si>
  <si>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</si>
  <si>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</si>
  <si>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</si>
  <si>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</si>
  <si>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</si>
  <si>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</si>
  <si>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</si>
  <si>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</si>
  <si>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</si>
  <si>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</si>
  <si>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</si>
  <si>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</si>
  <si>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</si>
  <si>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</si>
  <si>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</si>
  <si>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</si>
  <si>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</si>
  <si>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</si>
  <si>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</si>
  <si>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</si>
  <si>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</si>
  <si>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</si>
  <si>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</si>
  <si>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</si>
  <si>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</si>
  <si>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</si>
  <si>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</si>
  <si>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</si>
  <si>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</si>
  <si>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</si>
  <si>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</si>
  <si>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</si>
  <si>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</si>
  <si>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</si>
  <si>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</si>
  <si>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</si>
  <si>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</si>
  <si>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</si>
  <si>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</si>
  <si>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</si>
  <si>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</si>
  <si>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</si>
  <si>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</si>
  <si>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</si>
  <si>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</si>
  <si>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</si>
  <si>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</si>
  <si>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</si>
  <si>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</si>
  <si>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</si>
  <si>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</si>
  <si>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</si>
  <si>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</si>
  <si>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</si>
  <si>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</si>
  <si>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</si>
  <si>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</si>
  <si>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</si>
  <si>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</si>
  <si>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</si>
  <si>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</si>
  <si>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</si>
  <si>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</si>
  <si>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</si>
  <si>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</si>
  <si>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</si>
  <si>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</si>
  <si>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</si>
  <si>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</si>
  <si>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</si>
  <si>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</si>
  <si>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</si>
  <si>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</si>
  <si>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</si>
  <si>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</si>
  <si>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</si>
  <si>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</si>
  <si>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</si>
  <si>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</si>
  <si>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</si>
  <si>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</si>
  <si>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</si>
  <si>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</si>
  <si>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</si>
  <si>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</si>
  <si>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</si>
  <si>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</si>
  <si>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</si>
  <si>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</si>
  <si>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</si>
  <si>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</si>
  <si>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</si>
  <si>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</si>
  <si>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</si>
  <si>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</si>
  <si>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</si>
  <si>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</si>
  <si>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</si>
  <si>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</si>
  <si>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</si>
  <si>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</si>
  <si>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</si>
  <si>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</si>
  <si>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</si>
  <si>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</si>
  <si>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</si>
  <si>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</si>
  <si>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</si>
  <si>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</si>
  <si>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</si>
  <si>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</si>
  <si>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</si>
  <si>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</si>
  <si>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</si>
  <si>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</si>
  <si>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</si>
  <si>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</si>
  <si>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</si>
  <si>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</si>
  <si>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</si>
  <si>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</si>
  <si>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</si>
  <si>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</si>
  <si>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</si>
  <si>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</si>
  <si>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</si>
  <si>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</si>
  <si>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</si>
  <si>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</si>
  <si>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</si>
  <si>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</si>
  <si>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</si>
  <si>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</si>
  <si>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</si>
  <si>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</si>
  <si>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</si>
  <si>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</si>
  <si>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</si>
  <si>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</si>
  <si>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</si>
  <si>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</si>
  <si>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</si>
  <si>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</si>
  <si>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</si>
  <si>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</si>
  <si>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</si>
  <si>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</si>
  <si>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</si>
  <si>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</si>
  <si>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2008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</si>
  <si>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</si>
  <si>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</si>
  <si>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</si>
  <si>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</si>
  <si>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</si>
  <si>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</si>
  <si>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</si>
  <si>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</si>
  <si>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</si>
  <si>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</si>
  <si>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</si>
  <si>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</si>
  <si>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</si>
  <si>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</si>
  <si>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</si>
  <si>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</si>
  <si>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</si>
  <si>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</si>
  <si>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</si>
  <si>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</si>
  <si>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</si>
  <si>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</si>
  <si>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</si>
  <si>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</si>
  <si>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</si>
  <si>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</si>
  <si>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</si>
  <si>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</si>
  <si>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</si>
  <si>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</si>
  <si>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</si>
  <si>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</si>
  <si>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</si>
  <si>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</si>
  <si>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</si>
  <si>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</si>
  <si>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</si>
  <si>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</si>
  <si>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</si>
  <si>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</si>
  <si>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</si>
  <si>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</si>
  <si>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</si>
  <si>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</si>
  <si>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</si>
  <si>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</si>
  <si>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</si>
  <si>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</si>
  <si>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</si>
  <si>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</si>
  <si>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</si>
  <si>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</si>
  <si>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</si>
  <si>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</si>
  <si>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</si>
  <si>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</si>
  <si>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</si>
  <si>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</si>
  <si>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</si>
  <si>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</si>
  <si>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</si>
  <si>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</si>
  <si>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</si>
  <si>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</si>
  <si>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</si>
  <si>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</si>
  <si>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</si>
  <si>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</si>
  <si>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</si>
  <si>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</si>
  <si>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</si>
  <si>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</si>
  <si>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</si>
  <si>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</si>
  <si>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</si>
  <si>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</si>
  <si>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</si>
  <si>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</si>
  <si>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</si>
  <si>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</si>
  <si>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</si>
  <si>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</si>
  <si>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</si>
  <si>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</si>
  <si>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</si>
  <si>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</si>
  <si>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</si>
  <si>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</si>
  <si>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</si>
  <si>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</si>
  <si>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</si>
  <si>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</si>
  <si>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</si>
  <si>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</si>
  <si>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</si>
  <si>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</si>
  <si>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</si>
  <si>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</si>
  <si>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</si>
  <si>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</si>
  <si>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</si>
  <si>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</si>
  <si>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</si>
  <si>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</si>
  <si>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</si>
  <si>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</si>
  <si>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</si>
  <si>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</si>
  <si>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</si>
  <si>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</si>
  <si>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</si>
  <si>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</si>
  <si>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</si>
  <si>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</si>
  <si>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</si>
  <si>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</si>
  <si>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</si>
  <si>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</si>
  <si>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</si>
  <si>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</si>
  <si>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</si>
  <si>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</si>
  <si>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2009 ACTUAL     </t>
  </si>
  <si>
    <t xml:space="preserve">      FY 2010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</si>
  <si>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</si>
  <si>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</si>
  <si>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</si>
  <si>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</si>
  <si>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</si>
  <si>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</si>
  <si>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</si>
  <si>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</si>
  <si>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</si>
  <si>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</si>
  <si>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</si>
  <si>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</si>
  <si>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</si>
  <si>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</si>
  <si>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</si>
  <si>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</si>
  <si>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</si>
  <si>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</si>
  <si>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</si>
  <si>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</si>
  <si>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</si>
  <si>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</si>
  <si>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</si>
  <si>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</si>
  <si>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</si>
  <si>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</si>
  <si>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</si>
  <si>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</si>
  <si>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</si>
  <si>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</si>
  <si>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</si>
  <si>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</si>
  <si>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</si>
  <si>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</si>
  <si>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</si>
  <si>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</si>
  <si>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</si>
  <si>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</si>
  <si>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</si>
  <si>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</si>
  <si>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</si>
  <si>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</si>
  <si>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</si>
  <si>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</si>
  <si>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</si>
  <si>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</si>
  <si>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</si>
  <si>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GRIFFIN HEALTH SERVICES CORPORATION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</si>
  <si>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</si>
  <si>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</si>
  <si>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</si>
  <si>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</si>
  <si>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</si>
  <si>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</si>
  <si>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</si>
  <si>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</si>
  <si>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</si>
  <si>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</si>
  <si>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</si>
  <si>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</si>
  <si>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</si>
  <si>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</si>
  <si>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</si>
  <si>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OCCUPANCY</t>
  </si>
  <si>
    <t>PATIENT</t>
  </si>
  <si>
    <t>STAFFED</t>
  </si>
  <si>
    <t>AVAILABLE</t>
  </si>
  <si>
    <t>OF STAFFED</t>
  </si>
  <si>
    <t>OF AVAILABLE</t>
  </si>
  <si>
    <t>DAYS</t>
  </si>
  <si>
    <t>BEDS (A)</t>
  </si>
  <si>
    <t>BEDS</t>
  </si>
  <si>
    <t/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</si>
  <si>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</si>
  <si>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</si>
  <si>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</si>
  <si>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</si>
  <si>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</si>
  <si>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</si>
  <si>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</si>
  <si>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</si>
  <si>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</si>
  <si>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</si>
  <si>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</si>
  <si>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</si>
  <si>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</si>
  <si>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</si>
  <si>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</si>
  <si>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</si>
  <si>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</si>
  <si>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</si>
  <si>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</si>
  <si>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</si>
  <si>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</si>
  <si>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</si>
  <si>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</si>
  <si>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</si>
  <si>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</si>
  <si>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</si>
  <si>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</si>
  <si>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</si>
  <si>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</si>
  <si>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</si>
  <si>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</si>
  <si>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</si>
  <si>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</si>
  <si>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</si>
  <si>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</si>
  <si>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</si>
  <si>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</si>
  <si>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</si>
  <si>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</si>
  <si>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</si>
  <si>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</si>
  <si>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</si>
  <si>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</si>
  <si>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</si>
  <si>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</si>
  <si>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</si>
  <si>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</si>
  <si>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</si>
  <si>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</si>
  <si>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</si>
  <si>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</si>
  <si>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</si>
  <si>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</si>
  <si>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</si>
  <si>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</si>
  <si>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</si>
  <si>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</si>
  <si>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</si>
  <si>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</si>
  <si>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</si>
  <si>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</si>
  <si>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</si>
  <si>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</si>
  <si>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</si>
  <si>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</si>
  <si>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</si>
  <si>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</si>
  <si>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</si>
  <si>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</si>
  <si>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</si>
  <si>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</si>
  <si>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</si>
  <si>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</si>
  <si>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</si>
  <si>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</si>
  <si>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</si>
  <si>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</si>
  <si>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</si>
  <si>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</si>
  <si>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</si>
  <si>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</si>
  <si>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</si>
  <si>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</si>
  <si>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</si>
  <si>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</si>
  <si>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</si>
  <si>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2010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</si>
  <si>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</si>
  <si>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</si>
  <si>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</si>
  <si>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</si>
  <si>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2009</t>
  </si>
  <si>
    <t xml:space="preserve">         FY 2010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</si>
  <si>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</si>
  <si>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</si>
  <si>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</si>
  <si>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</si>
  <si>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</si>
  <si>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</si>
  <si>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</si>
  <si>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</si>
  <si>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</si>
  <si>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</si>
  <si>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</si>
  <si>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</si>
  <si>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</si>
  <si>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</si>
  <si>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</si>
  <si>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</si>
  <si>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</si>
  <si>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</si>
  <si>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</si>
  <si>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</si>
  <si>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</si>
  <si>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</si>
  <si>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</si>
  <si>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</si>
  <si>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</si>
  <si>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</si>
  <si>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</si>
  <si>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</si>
  <si>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</si>
  <si>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</si>
  <si>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</si>
  <si>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</si>
  <si>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</si>
  <si>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</si>
  <si>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</si>
  <si>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</si>
  <si>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</si>
  <si>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</si>
  <si>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</si>
  <si>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</si>
  <si>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</si>
  <si>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</si>
  <si>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</si>
  <si>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</si>
  <si>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</si>
  <si>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</si>
  <si>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</si>
  <si>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</si>
  <si>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</si>
  <si>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</si>
  <si>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</si>
  <si>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</si>
  <si>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</si>
  <si>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</si>
  <si>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</si>
  <si>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</si>
  <si>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</si>
  <si>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</si>
  <si>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</si>
  <si>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</si>
  <si>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</si>
  <si>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</si>
  <si>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</si>
  <si>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</si>
  <si>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</si>
  <si>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</si>
  <si>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</si>
  <si>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</si>
  <si>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</si>
  <si>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</si>
  <si>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</si>
  <si>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</si>
  <si>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</si>
  <si>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</si>
  <si>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</si>
  <si>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</si>
  <si>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</si>
  <si>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</si>
  <si>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</si>
  <si>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</si>
  <si>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</si>
  <si>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</si>
  <si>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</si>
  <si>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</si>
  <si>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</si>
  <si>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</si>
  <si>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</si>
  <si>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</si>
  <si>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</si>
  <si>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</si>
  <si>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</si>
  <si>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</si>
  <si>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</si>
  <si>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</si>
  <si>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</si>
  <si>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</si>
  <si>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</si>
  <si>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</si>
  <si>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</si>
  <si>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</si>
  <si>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</si>
  <si>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</si>
  <si>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</si>
  <si>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</si>
  <si>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</si>
  <si>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</si>
  <si>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</si>
  <si>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</si>
  <si>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</si>
  <si>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</si>
  <si>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</si>
  <si>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</si>
  <si>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</si>
  <si>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</si>
  <si>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</si>
  <si>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</si>
  <si>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</si>
  <si>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</si>
  <si>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</si>
  <si>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</si>
  <si>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</si>
  <si>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</si>
  <si>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</si>
  <si>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</si>
  <si>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</si>
  <si>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</si>
  <si>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</si>
  <si>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</si>
  <si>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</si>
  <si>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</si>
  <si>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</si>
  <si>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</si>
  <si>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</si>
  <si>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</si>
  <si>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</si>
  <si>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</si>
  <si>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</si>
  <si>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</si>
  <si>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</si>
  <si>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</si>
  <si>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</si>
  <si>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</si>
  <si>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2009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</si>
  <si>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</si>
  <si>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</si>
  <si>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</si>
  <si>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</si>
  <si>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</si>
  <si>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</si>
  <si>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</si>
  <si>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</si>
  <si>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</si>
  <si>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</si>
  <si>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</si>
  <si>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</si>
  <si>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</si>
  <si>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</si>
  <si>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</si>
  <si>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</si>
  <si>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</si>
  <si>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</si>
  <si>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</si>
  <si>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</si>
  <si>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</si>
  <si>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</si>
  <si>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</si>
  <si>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</si>
  <si>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</si>
  <si>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</si>
  <si>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</si>
  <si>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</si>
  <si>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</si>
  <si>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</si>
  <si>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</si>
  <si>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</si>
  <si>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</si>
  <si>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</si>
  <si>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</si>
  <si>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</si>
  <si>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</si>
  <si>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</si>
  <si>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</si>
  <si>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</si>
  <si>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</si>
  <si>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</si>
  <si>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</si>
  <si>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</si>
  <si>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</si>
  <si>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</si>
  <si>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</si>
  <si>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</si>
  <si>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</si>
  <si>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</si>
  <si>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</si>
  <si>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</si>
  <si>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</si>
  <si>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</si>
  <si>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</si>
  <si>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</si>
  <si>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</si>
  <si>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</si>
  <si>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</si>
  <si>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</si>
  <si>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</si>
  <si>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</si>
  <si>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</si>
  <si>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</si>
  <si>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</si>
  <si>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</si>
  <si>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</si>
  <si>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</si>
  <si>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</si>
  <si>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</si>
  <si>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</si>
  <si>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</si>
  <si>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</si>
  <si>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</si>
  <si>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</si>
  <si>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</si>
  <si>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</si>
  <si>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</si>
  <si>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</si>
  <si>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</si>
  <si>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</si>
  <si>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</si>
  <si>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</si>
  <si>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</si>
  <si>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</si>
  <si>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</si>
  <si>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</si>
  <si>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</si>
  <si>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</si>
  <si>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</si>
  <si>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</si>
  <si>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</si>
  <si>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</si>
  <si>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</si>
  <si>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</si>
  <si>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</si>
  <si>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</si>
  <si>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</si>
  <si>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</si>
  <si>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2010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</si>
  <si>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</si>
  <si>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</si>
  <si>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</si>
  <si>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</si>
  <si>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</si>
  <si>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</si>
  <si>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</si>
  <si>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</si>
  <si>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</si>
  <si>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</si>
  <si>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</si>
  <si>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</si>
  <si>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</si>
  <si>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</si>
  <si>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</si>
  <si>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</si>
  <si>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</si>
  <si>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</si>
  <si>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</si>
  <si>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</si>
  <si>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</si>
  <si>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</si>
  <si>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</si>
  <si>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</si>
  <si>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</si>
  <si>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</si>
  <si>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</si>
  <si>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</si>
  <si>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</si>
  <si>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</si>
  <si>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</si>
  <si>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</si>
  <si>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</si>
  <si>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</si>
  <si>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</si>
  <si>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</si>
  <si>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</si>
  <si>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</si>
  <si>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</si>
  <si>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</si>
  <si>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</si>
  <si>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</si>
  <si>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</si>
  <si>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</si>
  <si>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</si>
  <si>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</si>
  <si>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</si>
  <si>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</si>
  <si>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</si>
  <si>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</si>
  <si>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</si>
  <si>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</si>
  <si>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</si>
  <si>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</si>
  <si>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</si>
  <si>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2008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</si>
  <si>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</si>
  <si>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2010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</si>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</sst>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1" fillId="0" borderId="19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4" fontId="10" fillId="0" borderId="12" xfId="0" applyNumberFormat="1" applyFont="1" applyBorder="1" applyAlignment="1"/>
    <xf numFmtId="164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4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4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4" fontId="15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2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4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4" fontId="6" fillId="0" borderId="2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0" xfId="0" applyNumberFormat="1" applyFont="1" applyFill="1" applyBorder="1" applyAlignment="1">
      <alignment horizontal="left"/>
    </xf>
    <xf numFmtId="164" fontId="6" fillId="33" borderId="9" xfId="0" applyNumberFormat="1" applyFont="1" applyFill="1" applyBorder="1" applyAlignment="1">
      <alignment horizontal="center" wrapText="1"/>
    </xf>
    <xf numFmtId="164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4" fontId="12" fillId="0" borderId="12" xfId="0" applyNumberFormat="1" applyFont="1" applyBorder="1" applyAlignment="1"/>
    <xf numFmtId="164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2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2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7" fillId="0" borderId="12" xfId="0" applyNumberFormat="1" applyFont="1" applyBorder="1" applyAlignment="1"/>
    <xf numFmtId="164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4" fontId="8" fillId="0" borderId="12" xfId="0" applyNumberFormat="1" applyFont="1" applyBorder="1" applyAlignment="1"/>
    <xf numFmtId="166" fontId="8" fillId="0" borderId="12" xfId="0" applyNumberFormat="1" applyFont="1" applyBorder="1" applyAlignment="1">
      <alignment horizontal="right"/>
    </xf>
    <xf numFmtId="166" fontId="8" fillId="0" borderId="12" xfId="28" applyNumberFormat="1" applyFont="1" applyBorder="1" applyAlignment="1">
      <alignment horizontal="right"/>
    </xf>
    <xf numFmtId="166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2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4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4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66" fontId="13" fillId="0" borderId="12" xfId="0" applyNumberFormat="1" applyFont="1" applyBorder="1" applyAlignment="1">
      <alignment vertical="top"/>
    </xf>
    <xf numFmtId="171" fontId="13" fillId="0" borderId="12" xfId="28" applyNumberFormat="1" applyFont="1" applyBorder="1" applyAlignment="1">
      <alignment vertical="top"/>
    </xf>
    <xf numFmtId="166" fontId="19" fillId="0" borderId="12" xfId="0" applyNumberFormat="1" applyFont="1" applyBorder="1" applyAlignment="1">
      <alignment vertical="top"/>
    </xf>
    <xf numFmtId="171" fontId="19" fillId="0" borderId="12" xfId="28" applyNumberFormat="1" applyFont="1" applyBorder="1" applyAlignment="1">
      <alignment vertical="top"/>
    </xf>
    <xf numFmtId="171" fontId="13" fillId="0" borderId="12" xfId="0" applyNumberFormat="1" applyFont="1" applyBorder="1" applyAlignment="1">
      <alignment vertical="top"/>
    </xf>
    <xf numFmtId="181" fontId="13" fillId="0" borderId="12" xfId="0" applyNumberFormat="1" applyFont="1" applyBorder="1" applyAlignment="1">
      <alignment horizontal="right" vertical="top"/>
    </xf>
    <xf numFmtId="168" fontId="13" fillId="0" borderId="12" xfId="28" applyNumberFormat="1" applyFont="1" applyBorder="1" applyAlignment="1">
      <alignment vertical="top"/>
    </xf>
    <xf numFmtId="181" fontId="19" fillId="0" borderId="12" xfId="0" applyNumberFormat="1" applyFont="1" applyBorder="1" applyAlignment="1">
      <alignment horizontal="right" vertical="top"/>
    </xf>
    <xf numFmtId="168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0" fontId="13" fillId="0" borderId="12" xfId="28" applyNumberFormat="1" applyFont="1" applyBorder="1" applyProtection="1">
      <protection locked="0"/>
    </xf>
    <xf numFmtId="170" fontId="13" fillId="0" borderId="12" xfId="0" applyNumberFormat="1" applyFont="1" applyBorder="1" applyProtection="1">
      <protection locked="0"/>
    </xf>
    <xf numFmtId="170" fontId="19" fillId="0" borderId="12" xfId="28" applyNumberFormat="1" applyFont="1" applyBorder="1" applyProtection="1">
      <protection locked="0"/>
    </xf>
    <xf numFmtId="170" fontId="19" fillId="0" borderId="12" xfId="0" applyNumberFormat="1" applyFont="1" applyBorder="1" applyProtection="1">
      <protection locked="0"/>
    </xf>
    <xf numFmtId="182" fontId="13" fillId="0" borderId="12" xfId="0" applyNumberFormat="1" applyFont="1" applyBorder="1" applyProtection="1">
      <protection locked="0"/>
    </xf>
    <xf numFmtId="182" fontId="19" fillId="0" borderId="12" xfId="0" applyNumberFormat="1" applyFont="1" applyBorder="1" applyProtection="1">
      <protection locked="0"/>
    </xf>
    <xf numFmtId="183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4" fontId="13" fillId="0" borderId="12" xfId="28" applyNumberFormat="1" applyFont="1" applyBorder="1" applyProtection="1">
      <protection locked="0"/>
    </xf>
    <xf numFmtId="185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86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4" fontId="1" fillId="33" borderId="9" xfId="0" applyNumberFormat="1" applyFont="1" applyFill="1" applyBorder="1" applyAlignment="1"/>
    <xf numFmtId="164" fontId="1" fillId="33" borderId="11" xfId="0" applyNumberFormat="1" applyFont="1" applyFill="1" applyBorder="1" applyAlignment="1"/>
    <xf numFmtId="164" fontId="1" fillId="33" borderId="10" xfId="0" applyNumberFormat="1" applyFont="1" applyFill="1" applyBorder="1" applyAlignment="1"/>
    <xf numFmtId="164" fontId="1" fillId="0" borderId="1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4" xfId="0" applyNumberFormat="1" applyFont="1" applyFill="1" applyBorder="1" applyAlignment="1">
      <alignment horizontal="center" wrapText="1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8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14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9" xfId="0" applyNumberFormat="1" applyFont="1" applyBorder="1" applyAlignment="1"/>
    <xf numFmtId="164" fontId="10" fillId="0" borderId="31" xfId="0" applyNumberFormat="1" applyFont="1" applyBorder="1" applyAlignment="1"/>
    <xf numFmtId="164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3879223</v>
      </c>
      <c r="D13" s="23">
        <v>3905172</v>
      </c>
      <c r="E13" s="23">
        <f t="shared" ref="E13:E22" si="0">D13-C13</f>
        <v>25949</v>
      </c>
      <c r="F13" s="24">
        <f t="shared" ref="F13:F22" si="1">IF(C13=0,0,E13/C13)</f>
        <v>6.6892261671989469E-3</v>
      </c>
    </row>
    <row r="14" spans="1:8" ht="24" customHeight="1" x14ac:dyDescent="0.2">
      <c r="A14" s="21">
        <v>2</v>
      </c>
      <c r="B14" s="22" t="s">
        <v>17</v>
      </c>
      <c r="C14" s="23">
        <v>8704501</v>
      </c>
      <c r="D14" s="23">
        <v>9660079</v>
      </c>
      <c r="E14" s="23">
        <f t="shared" si="0"/>
        <v>955578</v>
      </c>
      <c r="F14" s="24">
        <f t="shared" si="1"/>
        <v>0.10977975647311661</v>
      </c>
    </row>
    <row r="15" spans="1:8" ht="30" customHeight="1" x14ac:dyDescent="0.2">
      <c r="A15" s="21">
        <v>3</v>
      </c>
      <c r="B15" s="22" t="s">
        <v>18</v>
      </c>
      <c r="C15" s="23">
        <v>17001631</v>
      </c>
      <c r="D15" s="23">
        <v>15222331</v>
      </c>
      <c r="E15" s="23">
        <f t="shared" si="0"/>
        <v>-1779300</v>
      </c>
      <c r="F15" s="24">
        <f t="shared" si="1"/>
        <v>-0.10465466519065142</v>
      </c>
    </row>
    <row r="16" spans="1:8" ht="24" customHeight="1" x14ac:dyDescent="0.2">
      <c r="A16" s="21">
        <v>4</v>
      </c>
      <c r="B16" s="22" t="s">
        <v>19</v>
      </c>
      <c r="C16" s="23">
        <v>617399</v>
      </c>
      <c r="D16" s="23">
        <v>522512</v>
      </c>
      <c r="E16" s="23">
        <f t="shared" si="0"/>
        <v>-94887</v>
      </c>
      <c r="F16" s="24">
        <f t="shared" si="1"/>
        <v>-0.15368829557547065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196080</v>
      </c>
      <c r="D18" s="23">
        <v>0</v>
      </c>
      <c r="E18" s="23">
        <f t="shared" si="0"/>
        <v>-196080</v>
      </c>
      <c r="F18" s="24">
        <f t="shared" si="1"/>
        <v>-1</v>
      </c>
    </row>
    <row r="19" spans="1:11" ht="24" customHeight="1" x14ac:dyDescent="0.2">
      <c r="A19" s="21">
        <v>7</v>
      </c>
      <c r="B19" s="22" t="s">
        <v>22</v>
      </c>
      <c r="C19" s="23">
        <v>0</v>
      </c>
      <c r="D19" s="23">
        <v>0</v>
      </c>
      <c r="E19" s="23">
        <f t="shared" si="0"/>
        <v>0</v>
      </c>
      <c r="F19" s="24">
        <f t="shared" si="1"/>
        <v>0</v>
      </c>
    </row>
    <row r="20" spans="1:11" ht="24" customHeight="1" x14ac:dyDescent="0.2">
      <c r="A20" s="21">
        <v>8</v>
      </c>
      <c r="B20" s="22" t="s">
        <v>23</v>
      </c>
      <c r="C20" s="23">
        <v>0</v>
      </c>
      <c r="D20" s="23">
        <v>0</v>
      </c>
      <c r="E20" s="23">
        <f t="shared" si="0"/>
        <v>0</v>
      </c>
      <c r="F20" s="24">
        <f t="shared" si="1"/>
        <v>0</v>
      </c>
    </row>
    <row r="21" spans="1:11" ht="24" customHeight="1" x14ac:dyDescent="0.2">
      <c r="A21" s="21">
        <v>9</v>
      </c>
      <c r="B21" s="22" t="s">
        <v>24</v>
      </c>
      <c r="C21" s="23">
        <v>3091385</v>
      </c>
      <c r="D21" s="23">
        <v>3851849</v>
      </c>
      <c r="E21" s="23">
        <f t="shared" si="0"/>
        <v>760464</v>
      </c>
      <c r="F21" s="24">
        <f t="shared" si="1"/>
        <v>0.24599459465579343</v>
      </c>
    </row>
    <row r="22" spans="1:11" ht="24" customHeight="1" x14ac:dyDescent="0.25">
      <c r="A22" s="25"/>
      <c r="B22" s="26" t="s">
        <v>25</v>
      </c>
      <c r="C22" s="27">
        <f>SUM(C13:C21)</f>
        <v>33490219</v>
      </c>
      <c r="D22" s="27">
        <f>SUM(D13:D21)</f>
        <v>33161943</v>
      </c>
      <c r="E22" s="27">
        <f t="shared" si="0"/>
        <v>-328276</v>
      </c>
      <c r="F22" s="28">
        <f t="shared" si="1"/>
        <v>-9.8021455159788586E-3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3518834</v>
      </c>
      <c r="D25" s="23">
        <v>3644228</v>
      </c>
      <c r="E25" s="23">
        <f>D25-C25</f>
        <v>125394</v>
      </c>
      <c r="F25" s="24">
        <f>IF(C25=0,0,E25/C25)</f>
        <v>3.5635099581281755E-2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874392</v>
      </c>
      <c r="D26" s="23">
        <v>319085</v>
      </c>
      <c r="E26" s="23">
        <f>D26-C26</f>
        <v>-555307</v>
      </c>
      <c r="F26" s="24">
        <f>IF(C26=0,0,E26/C26)</f>
        <v>-0.63507785981573484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6941579</v>
      </c>
      <c r="D28" s="23">
        <v>4477576</v>
      </c>
      <c r="E28" s="23">
        <f>D28-C28</f>
        <v>-2464003</v>
      </c>
      <c r="F28" s="24">
        <f>IF(C28=0,0,E28/C28)</f>
        <v>-0.35496289821091137</v>
      </c>
    </row>
    <row r="29" spans="1:11" ht="24" customHeight="1" x14ac:dyDescent="0.25">
      <c r="A29" s="25"/>
      <c r="B29" s="26" t="s">
        <v>32</v>
      </c>
      <c r="C29" s="27">
        <f>SUM(C25:C28)</f>
        <v>11334805</v>
      </c>
      <c r="D29" s="27">
        <f>SUM(D25:D28)</f>
        <v>8440889</v>
      </c>
      <c r="E29" s="27">
        <f>D29-C29</f>
        <v>-2893916</v>
      </c>
      <c r="F29" s="28">
        <f>IF(C29=0,0,E29/C29)</f>
        <v>-0.25531237634877707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985048</v>
      </c>
      <c r="D32" s="23">
        <v>1061664</v>
      </c>
      <c r="E32" s="23">
        <f>D32-C32</f>
        <v>76616</v>
      </c>
      <c r="F32" s="24">
        <f>IF(C32=0,0,E32/C32)</f>
        <v>7.777895087345997E-2</v>
      </c>
    </row>
    <row r="33" spans="1:8" ht="24" customHeight="1" x14ac:dyDescent="0.2">
      <c r="A33" s="21">
        <v>7</v>
      </c>
      <c r="B33" s="22" t="s">
        <v>35</v>
      </c>
      <c r="C33" s="23">
        <v>13960974</v>
      </c>
      <c r="D33" s="23">
        <v>15313030</v>
      </c>
      <c r="E33" s="23">
        <f>D33-C33</f>
        <v>1352056</v>
      </c>
      <c r="F33" s="24">
        <f>IF(C33=0,0,E33/C33)</f>
        <v>9.6845392019210122E-2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126150906</v>
      </c>
      <c r="D36" s="23">
        <v>140660731</v>
      </c>
      <c r="E36" s="23">
        <f>D36-C36</f>
        <v>14509825</v>
      </c>
      <c r="F36" s="24">
        <f>IF(C36=0,0,E36/C36)</f>
        <v>0.11501958614550101</v>
      </c>
    </row>
    <row r="37" spans="1:8" ht="24" customHeight="1" x14ac:dyDescent="0.2">
      <c r="A37" s="21">
        <v>2</v>
      </c>
      <c r="B37" s="22" t="s">
        <v>39</v>
      </c>
      <c r="C37" s="23">
        <v>70837887</v>
      </c>
      <c r="D37" s="23">
        <v>77052764</v>
      </c>
      <c r="E37" s="23">
        <f>D37-C37</f>
        <v>6214877</v>
      </c>
      <c r="F37" s="24">
        <f>IF(C37=0,0,E37/C37)</f>
        <v>8.77337998520481E-2</v>
      </c>
    </row>
    <row r="38" spans="1:8" ht="24" customHeight="1" x14ac:dyDescent="0.25">
      <c r="A38" s="25"/>
      <c r="B38" s="26" t="s">
        <v>40</v>
      </c>
      <c r="C38" s="27">
        <f>C36-C37</f>
        <v>55313019</v>
      </c>
      <c r="D38" s="27">
        <f>D36-D37</f>
        <v>63607967</v>
      </c>
      <c r="E38" s="27">
        <f>D38-C38</f>
        <v>8294948</v>
      </c>
      <c r="F38" s="28">
        <f>IF(C38=0,0,E38/C38)</f>
        <v>0.14996375446438748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7410924</v>
      </c>
      <c r="D40" s="23">
        <v>435639</v>
      </c>
      <c r="E40" s="23">
        <f>D40-C40</f>
        <v>-6975285</v>
      </c>
      <c r="F40" s="24">
        <f>IF(C40=0,0,E40/C40)</f>
        <v>-0.94121664181146647</v>
      </c>
    </row>
    <row r="41" spans="1:8" ht="24" customHeight="1" x14ac:dyDescent="0.25">
      <c r="A41" s="25"/>
      <c r="B41" s="26" t="s">
        <v>42</v>
      </c>
      <c r="C41" s="27">
        <f>+C38+C40</f>
        <v>62723943</v>
      </c>
      <c r="D41" s="27">
        <f>+D38+D40</f>
        <v>64043606</v>
      </c>
      <c r="E41" s="27">
        <f>D41-C41</f>
        <v>1319663</v>
      </c>
      <c r="F41" s="28">
        <f>IF(C41=0,0,E41/C41)</f>
        <v>2.1039222613922725E-2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122494989</v>
      </c>
      <c r="D43" s="27">
        <f>D22+D29+D31+D32+D33+D41</f>
        <v>122021132</v>
      </c>
      <c r="E43" s="27">
        <f>D43-C43</f>
        <v>-473857</v>
      </c>
      <c r="F43" s="28">
        <f>IF(C43=0,0,E43/C43)</f>
        <v>-3.8683786485339414E-3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23725477</v>
      </c>
      <c r="D49" s="23">
        <v>25047155</v>
      </c>
      <c r="E49" s="23">
        <f t="shared" ref="E49:E56" si="2">D49-C49</f>
        <v>1321678</v>
      </c>
      <c r="F49" s="24">
        <f t="shared" ref="F49:F56" si="3">IF(C49=0,0,E49/C49)</f>
        <v>5.5707120240406548E-2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0</v>
      </c>
      <c r="D50" s="23">
        <v>0</v>
      </c>
      <c r="E50" s="23">
        <f t="shared" si="2"/>
        <v>0</v>
      </c>
      <c r="F50" s="24">
        <f t="shared" si="3"/>
        <v>0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0</v>
      </c>
      <c r="D51" s="23">
        <v>0</v>
      </c>
      <c r="E51" s="23">
        <f t="shared" si="2"/>
        <v>0</v>
      </c>
      <c r="F51" s="24">
        <f t="shared" si="3"/>
        <v>0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440386</v>
      </c>
      <c r="D52" s="23">
        <v>0</v>
      </c>
      <c r="E52" s="23">
        <f t="shared" si="2"/>
        <v>-440386</v>
      </c>
      <c r="F52" s="24">
        <f t="shared" si="3"/>
        <v>-1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5522347</v>
      </c>
      <c r="D53" s="23">
        <v>6288902</v>
      </c>
      <c r="E53" s="23">
        <f t="shared" si="2"/>
        <v>766555</v>
      </c>
      <c r="F53" s="24">
        <f t="shared" si="3"/>
        <v>0.13880964017654088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2058510</v>
      </c>
      <c r="D55" s="23">
        <v>846240</v>
      </c>
      <c r="E55" s="23">
        <f t="shared" si="2"/>
        <v>-1212270</v>
      </c>
      <c r="F55" s="24">
        <f t="shared" si="3"/>
        <v>-0.58890653919582614</v>
      </c>
    </row>
    <row r="56" spans="1:6" ht="24" customHeight="1" x14ac:dyDescent="0.25">
      <c r="A56" s="25"/>
      <c r="B56" s="26" t="s">
        <v>54</v>
      </c>
      <c r="C56" s="27">
        <f>SUM(C49:C55)</f>
        <v>31746720</v>
      </c>
      <c r="D56" s="27">
        <f>SUM(D49:D55)</f>
        <v>32182297</v>
      </c>
      <c r="E56" s="27">
        <f t="shared" si="2"/>
        <v>435577</v>
      </c>
      <c r="F56" s="28">
        <f t="shared" si="3"/>
        <v>1.3720378042204044E-2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50824548</v>
      </c>
      <c r="D59" s="23">
        <v>49676494</v>
      </c>
      <c r="E59" s="23">
        <f>D59-C59</f>
        <v>-1148054</v>
      </c>
      <c r="F59" s="24">
        <f>IF(C59=0,0,E59/C59)</f>
        <v>-2.2588572750317424E-2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50824548</v>
      </c>
      <c r="D61" s="27">
        <f>SUM(D59:D60)</f>
        <v>49676494</v>
      </c>
      <c r="E61" s="27">
        <f>D61-C61</f>
        <v>-1148054</v>
      </c>
      <c r="F61" s="28">
        <f>IF(C61=0,0,E61/C61)</f>
        <v>-2.2588572750317424E-2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31533528</v>
      </c>
      <c r="D63" s="23">
        <v>36275269</v>
      </c>
      <c r="E63" s="23">
        <f>D63-C63</f>
        <v>4741741</v>
      </c>
      <c r="F63" s="24">
        <f>IF(C63=0,0,E63/C63)</f>
        <v>0.15037140785515657</v>
      </c>
    </row>
    <row r="64" spans="1:6" ht="24" customHeight="1" x14ac:dyDescent="0.2">
      <c r="A64" s="21">
        <v>4</v>
      </c>
      <c r="B64" s="22" t="s">
        <v>60</v>
      </c>
      <c r="C64" s="23">
        <v>17207223</v>
      </c>
      <c r="D64" s="23">
        <v>21034333</v>
      </c>
      <c r="E64" s="23">
        <f>D64-C64</f>
        <v>3827110</v>
      </c>
      <c r="F64" s="24">
        <f>IF(C64=0,0,E64/C64)</f>
        <v>0.22241299482200005</v>
      </c>
    </row>
    <row r="65" spans="1:6" ht="24" customHeight="1" x14ac:dyDescent="0.25">
      <c r="A65" s="25"/>
      <c r="B65" s="26" t="s">
        <v>61</v>
      </c>
      <c r="C65" s="27">
        <f>SUM(C61:C64)</f>
        <v>99565299</v>
      </c>
      <c r="D65" s="27">
        <f>SUM(D61:D64)</f>
        <v>106986096</v>
      </c>
      <c r="E65" s="27">
        <f>D65-C65</f>
        <v>7420797</v>
      </c>
      <c r="F65" s="28">
        <f>IF(C65=0,0,E65/C65)</f>
        <v>7.4531961180571552E-2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-16756232</v>
      </c>
      <c r="D70" s="23">
        <v>-24966200</v>
      </c>
      <c r="E70" s="23">
        <f>D70-C70</f>
        <v>-8209968</v>
      </c>
      <c r="F70" s="24">
        <f>IF(C70=0,0,E70/C70)</f>
        <v>0.48996504703444066</v>
      </c>
    </row>
    <row r="71" spans="1:6" ht="24" customHeight="1" x14ac:dyDescent="0.2">
      <c r="A71" s="21">
        <v>2</v>
      </c>
      <c r="B71" s="22" t="s">
        <v>65</v>
      </c>
      <c r="C71" s="23">
        <v>2260107</v>
      </c>
      <c r="D71" s="23">
        <v>2014450</v>
      </c>
      <c r="E71" s="23">
        <f>D71-C71</f>
        <v>-245657</v>
      </c>
      <c r="F71" s="24">
        <f>IF(C71=0,0,E71/C71)</f>
        <v>-0.10869264154307738</v>
      </c>
    </row>
    <row r="72" spans="1:6" ht="24" customHeight="1" x14ac:dyDescent="0.2">
      <c r="A72" s="21">
        <v>3</v>
      </c>
      <c r="B72" s="22" t="s">
        <v>66</v>
      </c>
      <c r="C72" s="23">
        <v>5679095</v>
      </c>
      <c r="D72" s="23">
        <v>5804489</v>
      </c>
      <c r="E72" s="23">
        <f>D72-C72</f>
        <v>125394</v>
      </c>
      <c r="F72" s="24">
        <f>IF(C72=0,0,E72/C72)</f>
        <v>2.2079926467157181E-2</v>
      </c>
    </row>
    <row r="73" spans="1:6" ht="24" customHeight="1" x14ac:dyDescent="0.25">
      <c r="A73" s="21"/>
      <c r="B73" s="26" t="s">
        <v>67</v>
      </c>
      <c r="C73" s="27">
        <f>SUM(C70:C72)</f>
        <v>-8817030</v>
      </c>
      <c r="D73" s="27">
        <f>SUM(D70:D72)</f>
        <v>-17147261</v>
      </c>
      <c r="E73" s="27">
        <f>D73-C73</f>
        <v>-8330231</v>
      </c>
      <c r="F73" s="28">
        <f>IF(C73=0,0,E73/C73)</f>
        <v>0.9447887780806008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122494989</v>
      </c>
      <c r="D75" s="27">
        <f>D56+D65+D67+D73</f>
        <v>122021132</v>
      </c>
      <c r="E75" s="27">
        <f>D75-C75</f>
        <v>-473857</v>
      </c>
      <c r="F75" s="28">
        <f>IF(C75=0,0,E75/C75)</f>
        <v>-3.8683786485339414E-3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FILING&amp;RGRIFFIN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116725457</v>
      </c>
      <c r="D11" s="51">
        <v>121589729</v>
      </c>
      <c r="E11" s="51">
        <v>120786185</v>
      </c>
      <c r="F11" s="28"/>
    </row>
    <row r="12" spans="1:6" ht="24" customHeight="1" x14ac:dyDescent="0.25">
      <c r="A12" s="44">
        <v>2</v>
      </c>
      <c r="B12" s="48" t="s">
        <v>76</v>
      </c>
      <c r="C12" s="49">
        <v>14696367</v>
      </c>
      <c r="D12" s="49">
        <v>13916041</v>
      </c>
      <c r="E12" s="49">
        <v>14557300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131421824</v>
      </c>
      <c r="D13" s="51">
        <f>+D11+D12</f>
        <v>135505770</v>
      </c>
      <c r="E13" s="51">
        <f>+E11+E12</f>
        <v>135343485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130886737</v>
      </c>
      <c r="D14" s="49">
        <v>135339656</v>
      </c>
      <c r="E14" s="49">
        <v>136595184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535087</v>
      </c>
      <c r="D15" s="51">
        <f>+D13-D14</f>
        <v>166114</v>
      </c>
      <c r="E15" s="51">
        <f>+E13-E14</f>
        <v>-1251699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-4956112</v>
      </c>
      <c r="D16" s="49">
        <v>-4271017</v>
      </c>
      <c r="E16" s="49">
        <v>-1506876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-4421025</v>
      </c>
      <c r="D17" s="51">
        <f>D15+D16</f>
        <v>-4104903</v>
      </c>
      <c r="E17" s="51">
        <f>E15+E16</f>
        <v>-2758575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4.2310835999563269E-3</v>
      </c>
      <c r="D20" s="169">
        <f>IF(+D27=0,0,+D24/+D27)</f>
        <v>1.2657775185510502E-3</v>
      </c>
      <c r="E20" s="169">
        <f>IF(+E27=0,0,+E24/+E27)</f>
        <v>-9.3524410798543171E-3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-3.918937332199577E-2</v>
      </c>
      <c r="D21" s="169">
        <f>IF(+D27=0,0,+D26/+D27)</f>
        <v>-3.2544862563958193E-2</v>
      </c>
      <c r="E21" s="169">
        <f>IF(+E27=0,0,+E26/+E27)</f>
        <v>-1.1259071873227153E-2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-3.4958289722039439E-2</v>
      </c>
      <c r="D22" s="169">
        <f>IF(+D27=0,0,+D28/+D27)</f>
        <v>-3.1279085045407141E-2</v>
      </c>
      <c r="E22" s="169">
        <f>IF(+E27=0,0,+E28/+E27)</f>
        <v>-2.061151295308147E-2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535087</v>
      </c>
      <c r="D24" s="51">
        <f>+D15</f>
        <v>166114</v>
      </c>
      <c r="E24" s="51">
        <f>+E15</f>
        <v>-1251699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131421824</v>
      </c>
      <c r="D25" s="51">
        <f>+D13</f>
        <v>135505770</v>
      </c>
      <c r="E25" s="51">
        <f>+E13</f>
        <v>135343485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-4956112</v>
      </c>
      <c r="D26" s="51">
        <f>+D16</f>
        <v>-4271017</v>
      </c>
      <c r="E26" s="51">
        <f>+E16</f>
        <v>-1506876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126465712</v>
      </c>
      <c r="D27" s="51">
        <f>SUM(D25:D26)</f>
        <v>131234753</v>
      </c>
      <c r="E27" s="51">
        <f>SUM(E25:E26)</f>
        <v>133836609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-4421025</v>
      </c>
      <c r="D28" s="51">
        <f>+D17</f>
        <v>-4104903</v>
      </c>
      <c r="E28" s="51">
        <f>+E17</f>
        <v>-2758575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7705061</v>
      </c>
      <c r="D31" s="51">
        <v>-17448476</v>
      </c>
      <c r="E31" s="52">
        <v>-24116314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15235731</v>
      </c>
      <c r="D32" s="51">
        <v>-9416956</v>
      </c>
      <c r="E32" s="51">
        <v>-16214607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-7985677</v>
      </c>
      <c r="D33" s="51">
        <f>+D32-C32</f>
        <v>-24652687</v>
      </c>
      <c r="E33" s="51">
        <f>+E32-D32</f>
        <v>-6797651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0.65610000000000002</v>
      </c>
      <c r="D34" s="171">
        <f>IF(C32=0,0,+D33/C32)</f>
        <v>-1.6180836351074983</v>
      </c>
      <c r="E34" s="171">
        <f>IF(D32=0,0,+E33/D32)</f>
        <v>0.72185226308798722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1.7218704075015321</v>
      </c>
      <c r="D38" s="269">
        <f>IF(+D40=0,0,+D39/+D40)</f>
        <v>1.8748146755720447</v>
      </c>
      <c r="E38" s="269">
        <f>IF(+E40=0,0,+E39/+E40)</f>
        <v>1.9572247203531246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60104967</v>
      </c>
      <c r="D39" s="270">
        <v>66154885</v>
      </c>
      <c r="E39" s="270">
        <v>70487998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34906789</v>
      </c>
      <c r="D40" s="270">
        <v>35286093</v>
      </c>
      <c r="E40" s="270">
        <v>36014259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110.5355712430062</v>
      </c>
      <c r="D42" s="271">
        <f>IF((D48/365)=0,0,+D45/(D48/365))</f>
        <v>120.0947857165807</v>
      </c>
      <c r="E42" s="271">
        <f>IF((E48/365)=0,0,+E45/(E48/365))</f>
        <v>132.07332734460095</v>
      </c>
    </row>
    <row r="43" spans="1:14" ht="24" customHeight="1" x14ac:dyDescent="0.2">
      <c r="A43" s="17">
        <v>5</v>
      </c>
      <c r="B43" s="188" t="s">
        <v>16</v>
      </c>
      <c r="C43" s="272">
        <v>9128704</v>
      </c>
      <c r="D43" s="272">
        <v>9064634</v>
      </c>
      <c r="E43" s="272">
        <v>9021743</v>
      </c>
    </row>
    <row r="44" spans="1:14" ht="24" customHeight="1" x14ac:dyDescent="0.2">
      <c r="A44" s="17">
        <v>6</v>
      </c>
      <c r="B44" s="273" t="s">
        <v>17</v>
      </c>
      <c r="C44" s="274">
        <v>29182296</v>
      </c>
      <c r="D44" s="274">
        <v>33771653</v>
      </c>
      <c r="E44" s="274">
        <v>38040516</v>
      </c>
    </row>
    <row r="45" spans="1:14" ht="24" customHeight="1" x14ac:dyDescent="0.2">
      <c r="A45" s="17">
        <v>7</v>
      </c>
      <c r="B45" s="45" t="s">
        <v>346</v>
      </c>
      <c r="C45" s="270">
        <f>+C43+C44</f>
        <v>38311000</v>
      </c>
      <c r="D45" s="270">
        <f>+D43+D44</f>
        <v>42836287</v>
      </c>
      <c r="E45" s="270">
        <f>+E43+E44</f>
        <v>47062259</v>
      </c>
    </row>
    <row r="46" spans="1:14" ht="24" customHeight="1" x14ac:dyDescent="0.2">
      <c r="A46" s="17">
        <v>8</v>
      </c>
      <c r="B46" s="45" t="s">
        <v>324</v>
      </c>
      <c r="C46" s="270">
        <f>+C14</f>
        <v>130886737</v>
      </c>
      <c r="D46" s="270">
        <f>+D14</f>
        <v>135339656</v>
      </c>
      <c r="E46" s="270">
        <f>+E14</f>
        <v>136595184</v>
      </c>
    </row>
    <row r="47" spans="1:14" ht="24" customHeight="1" x14ac:dyDescent="0.2">
      <c r="A47" s="17">
        <v>9</v>
      </c>
      <c r="B47" s="45" t="s">
        <v>347</v>
      </c>
      <c r="C47" s="270">
        <v>4379814</v>
      </c>
      <c r="D47" s="270">
        <v>5148785</v>
      </c>
      <c r="E47" s="270">
        <v>6533158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126506923</v>
      </c>
      <c r="D48" s="270">
        <f>+D46-D47</f>
        <v>130190871</v>
      </c>
      <c r="E48" s="270">
        <f>+E46-E47</f>
        <v>130062026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46.393458797938138</v>
      </c>
      <c r="D50" s="278">
        <f>IF((D55/365)=0,0,+D54/(D55/365))</f>
        <v>52.225870780582135</v>
      </c>
      <c r="E50" s="278">
        <f>IF((E55/365)=0,0,+E54/(E55/365))</f>
        <v>47.011082476029856</v>
      </c>
    </row>
    <row r="51" spans="1:5" ht="24" customHeight="1" x14ac:dyDescent="0.2">
      <c r="A51" s="17">
        <v>12</v>
      </c>
      <c r="B51" s="188" t="s">
        <v>350</v>
      </c>
      <c r="C51" s="279">
        <v>14398367</v>
      </c>
      <c r="D51" s="279">
        <v>17201535</v>
      </c>
      <c r="E51" s="279">
        <v>15556957</v>
      </c>
    </row>
    <row r="52" spans="1:5" ht="24" customHeight="1" x14ac:dyDescent="0.2">
      <c r="A52" s="17">
        <v>13</v>
      </c>
      <c r="B52" s="188" t="s">
        <v>21</v>
      </c>
      <c r="C52" s="270">
        <v>438065</v>
      </c>
      <c r="D52" s="270">
        <v>196080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0</v>
      </c>
      <c r="D53" s="270">
        <v>0</v>
      </c>
      <c r="E53" s="270">
        <v>0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14836432</v>
      </c>
      <c r="D54" s="280">
        <f>+D51+D52-D53</f>
        <v>17397615</v>
      </c>
      <c r="E54" s="280">
        <f>+E51+E52-E53</f>
        <v>15556957</v>
      </c>
    </row>
    <row r="55" spans="1:5" ht="24" customHeight="1" x14ac:dyDescent="0.2">
      <c r="A55" s="17">
        <v>16</v>
      </c>
      <c r="B55" s="45" t="s">
        <v>75</v>
      </c>
      <c r="C55" s="270">
        <f>+C11</f>
        <v>116725457</v>
      </c>
      <c r="D55" s="270">
        <f>+D11</f>
        <v>121589729</v>
      </c>
      <c r="E55" s="270">
        <f>+E11</f>
        <v>120786185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100.71368177218254</v>
      </c>
      <c r="D57" s="283">
        <f>IF((D61/365)=0,0,+D58/(D61/365))</f>
        <v>98.927243101399938</v>
      </c>
      <c r="E57" s="283">
        <f>IF((E61/365)=0,0,+E58/(E61/365))</f>
        <v>101.06873573536367</v>
      </c>
    </row>
    <row r="58" spans="1:5" ht="24" customHeight="1" x14ac:dyDescent="0.2">
      <c r="A58" s="17">
        <v>18</v>
      </c>
      <c r="B58" s="45" t="s">
        <v>54</v>
      </c>
      <c r="C58" s="281">
        <f>+C40</f>
        <v>34906789</v>
      </c>
      <c r="D58" s="281">
        <f>+D40</f>
        <v>35286093</v>
      </c>
      <c r="E58" s="281">
        <f>+E40</f>
        <v>36014259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130886737</v>
      </c>
      <c r="D59" s="281">
        <f t="shared" si="0"/>
        <v>135339656</v>
      </c>
      <c r="E59" s="281">
        <f t="shared" si="0"/>
        <v>136595184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4379814</v>
      </c>
      <c r="D60" s="176">
        <f t="shared" si="0"/>
        <v>5148785</v>
      </c>
      <c r="E60" s="176">
        <f t="shared" si="0"/>
        <v>6533158</v>
      </c>
    </row>
    <row r="61" spans="1:5" ht="24" customHeight="1" x14ac:dyDescent="0.2">
      <c r="A61" s="17">
        <v>21</v>
      </c>
      <c r="B61" s="45" t="s">
        <v>353</v>
      </c>
      <c r="C61" s="281">
        <f>+C59-C60</f>
        <v>126506923</v>
      </c>
      <c r="D61" s="281">
        <f>+D59-D60</f>
        <v>130190871</v>
      </c>
      <c r="E61" s="281">
        <f>+E59-E60</f>
        <v>130062026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10.285749040223969</v>
      </c>
      <c r="D65" s="284">
        <f>IF(D67=0,0,(D66/D67)*100)</f>
        <v>-5.8794388979938308</v>
      </c>
      <c r="E65" s="284">
        <f>IF(E67=0,0,(E66/E67)*100)</f>
        <v>-9.9187924528412683</v>
      </c>
    </row>
    <row r="66" spans="1:5" ht="24" customHeight="1" x14ac:dyDescent="0.2">
      <c r="A66" s="17">
        <v>2</v>
      </c>
      <c r="B66" s="45" t="s">
        <v>67</v>
      </c>
      <c r="C66" s="281">
        <f>+C32</f>
        <v>15235731</v>
      </c>
      <c r="D66" s="281">
        <f>+D32</f>
        <v>-9416956</v>
      </c>
      <c r="E66" s="281">
        <f>+E32</f>
        <v>-16214607</v>
      </c>
    </row>
    <row r="67" spans="1:5" ht="24" customHeight="1" x14ac:dyDescent="0.2">
      <c r="A67" s="17">
        <v>3</v>
      </c>
      <c r="B67" s="45" t="s">
        <v>43</v>
      </c>
      <c r="C67" s="281">
        <v>148124662</v>
      </c>
      <c r="D67" s="281">
        <v>160167597</v>
      </c>
      <c r="E67" s="281">
        <v>163473599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-4.4845508252412521E-2</v>
      </c>
      <c r="D69" s="284">
        <f>IF(D75=0,0,(D72/D75)*100)</f>
        <v>1.1682236349179438</v>
      </c>
      <c r="E69" s="284">
        <f>IF(E75=0,0,(E72/E75)*100)</f>
        <v>4.2485138548086985</v>
      </c>
    </row>
    <row r="70" spans="1:5" ht="24" customHeight="1" x14ac:dyDescent="0.2">
      <c r="A70" s="17">
        <v>5</v>
      </c>
      <c r="B70" s="45" t="s">
        <v>358</v>
      </c>
      <c r="C70" s="281">
        <f>+C28</f>
        <v>-4421025</v>
      </c>
      <c r="D70" s="281">
        <f>+D28</f>
        <v>-4104903</v>
      </c>
      <c r="E70" s="281">
        <f>+E28</f>
        <v>-2758575</v>
      </c>
    </row>
    <row r="71" spans="1:5" ht="24" customHeight="1" x14ac:dyDescent="0.2">
      <c r="A71" s="17">
        <v>6</v>
      </c>
      <c r="B71" s="45" t="s">
        <v>347</v>
      </c>
      <c r="C71" s="176">
        <f>+C47</f>
        <v>4379814</v>
      </c>
      <c r="D71" s="176">
        <f>+D47</f>
        <v>5148785</v>
      </c>
      <c r="E71" s="176">
        <f>+E47</f>
        <v>6533158</v>
      </c>
    </row>
    <row r="72" spans="1:5" ht="24" customHeight="1" x14ac:dyDescent="0.2">
      <c r="A72" s="17">
        <v>7</v>
      </c>
      <c r="B72" s="45" t="s">
        <v>359</v>
      </c>
      <c r="C72" s="281">
        <f>+C70+C71</f>
        <v>-41211</v>
      </c>
      <c r="D72" s="281">
        <f>+D70+D71</f>
        <v>1043882</v>
      </c>
      <c r="E72" s="281">
        <f>+E70+E71</f>
        <v>3774583</v>
      </c>
    </row>
    <row r="73" spans="1:5" ht="24" customHeight="1" x14ac:dyDescent="0.2">
      <c r="A73" s="17">
        <v>8</v>
      </c>
      <c r="B73" s="45" t="s">
        <v>54</v>
      </c>
      <c r="C73" s="270">
        <f>+C40</f>
        <v>34906789</v>
      </c>
      <c r="D73" s="270">
        <f>+D40</f>
        <v>35286093</v>
      </c>
      <c r="E73" s="270">
        <f>+E40</f>
        <v>36014259</v>
      </c>
    </row>
    <row r="74" spans="1:5" ht="24" customHeight="1" x14ac:dyDescent="0.2">
      <c r="A74" s="17">
        <v>9</v>
      </c>
      <c r="B74" s="45" t="s">
        <v>58</v>
      </c>
      <c r="C74" s="281">
        <v>56988702</v>
      </c>
      <c r="D74" s="281">
        <v>54070257</v>
      </c>
      <c r="E74" s="281">
        <v>52830526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91895491</v>
      </c>
      <c r="D75" s="270">
        <f>+D73+D74</f>
        <v>89356350</v>
      </c>
      <c r="E75" s="270">
        <f>+E73+E74</f>
        <v>88844785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78.905018195158419</v>
      </c>
      <c r="D77" s="286">
        <f>IF(D80=0,0,(D78/D80)*100)</f>
        <v>121.08904781753984</v>
      </c>
      <c r="E77" s="286">
        <f>IF(E80=0,0,(E78/E80)*100)</f>
        <v>144.28294425711397</v>
      </c>
    </row>
    <row r="78" spans="1:5" ht="24" customHeight="1" x14ac:dyDescent="0.2">
      <c r="A78" s="17">
        <v>12</v>
      </c>
      <c r="B78" s="45" t="s">
        <v>58</v>
      </c>
      <c r="C78" s="270">
        <f>+C74</f>
        <v>56988702</v>
      </c>
      <c r="D78" s="270">
        <f>+D74</f>
        <v>54070257</v>
      </c>
      <c r="E78" s="270">
        <f>+E74</f>
        <v>52830526</v>
      </c>
    </row>
    <row r="79" spans="1:5" ht="24" customHeight="1" x14ac:dyDescent="0.2">
      <c r="A79" s="17">
        <v>13</v>
      </c>
      <c r="B79" s="45" t="s">
        <v>67</v>
      </c>
      <c r="C79" s="270">
        <f>+C32</f>
        <v>15235731</v>
      </c>
      <c r="D79" s="270">
        <f>+D32</f>
        <v>-9416956</v>
      </c>
      <c r="E79" s="270">
        <f>+E32</f>
        <v>-16214607</v>
      </c>
    </row>
    <row r="80" spans="1:5" ht="24" customHeight="1" x14ac:dyDescent="0.2">
      <c r="A80" s="17">
        <v>14</v>
      </c>
      <c r="B80" s="45" t="s">
        <v>362</v>
      </c>
      <c r="C80" s="270">
        <f>+C78+C79</f>
        <v>72224433</v>
      </c>
      <c r="D80" s="270">
        <f>+D78+D79</f>
        <v>44653301</v>
      </c>
      <c r="E80" s="270">
        <f>+E78+E79</f>
        <v>36615919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r:id="rId1"/>
  <headerFooter>
    <oddHeader>&amp;L&amp;8OFFICE OF HEALTH CARE ACCESS&amp;C&amp;8TWELVE MONTHS ACTUAL FILING&amp;R&amp;8GRIFFIN HEALTH SERVICES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51.85546875" style="55" customWidth="1"/>
    <col min="3" max="7" width="21" style="55" customWidth="1"/>
    <col min="8" max="8" width="14" style="55" bestFit="1" customWidth="1"/>
    <col min="9" max="9" width="15.140625" style="55" customWidth="1"/>
    <col min="10" max="16384" width="9.140625" style="55"/>
  </cols>
  <sheetData>
    <row r="1" spans="1:9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5"/>
      <c r="I1" s="125"/>
    </row>
    <row r="2" spans="1:9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5"/>
      <c r="I2" s="125"/>
    </row>
    <row r="3" spans="1:9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5"/>
      <c r="I3" s="125"/>
    </row>
    <row r="4" spans="1:9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5"/>
      <c r="I4" s="125"/>
    </row>
    <row r="5" spans="1:9" ht="15.75" customHeight="1" x14ac:dyDescent="0.25">
      <c r="A5" s="287"/>
      <c r="B5" s="126"/>
      <c r="C5" s="126"/>
      <c r="D5" s="126"/>
      <c r="E5" s="126"/>
      <c r="F5" s="126"/>
      <c r="G5" s="126"/>
      <c r="H5" s="125"/>
      <c r="I5" s="125"/>
    </row>
    <row r="6" spans="1:9" ht="15.75" customHeight="1" x14ac:dyDescent="0.25">
      <c r="A6" s="126">
        <v>-1</v>
      </c>
      <c r="B6" s="126">
        <v>-2</v>
      </c>
      <c r="C6" s="126">
        <v>-3</v>
      </c>
      <c r="D6" s="126">
        <v>-4</v>
      </c>
      <c r="E6" s="126">
        <v>-5</v>
      </c>
      <c r="F6" s="126">
        <v>-6</v>
      </c>
      <c r="G6" s="126">
        <v>-7</v>
      </c>
      <c r="H6" s="125"/>
      <c r="I6" s="125"/>
    </row>
    <row r="7" spans="1:9" ht="15.75" customHeight="1" x14ac:dyDescent="0.25">
      <c r="A7" s="287"/>
      <c r="B7" s="126"/>
      <c r="C7" s="126"/>
      <c r="D7" s="126"/>
      <c r="E7" s="126"/>
      <c r="F7" s="126" t="s">
        <v>495</v>
      </c>
      <c r="G7" s="126" t="s">
        <v>495</v>
      </c>
      <c r="H7" s="125"/>
      <c r="I7" s="289"/>
    </row>
    <row r="8" spans="1:9" ht="15.75" customHeight="1" x14ac:dyDescent="0.25">
      <c r="A8" s="287"/>
      <c r="B8" s="126"/>
      <c r="C8" s="126" t="s">
        <v>496</v>
      </c>
      <c r="D8" s="126" t="s">
        <v>497</v>
      </c>
      <c r="E8" s="126" t="s">
        <v>498</v>
      </c>
      <c r="F8" s="126" t="s">
        <v>499</v>
      </c>
      <c r="G8" s="126" t="s">
        <v>500</v>
      </c>
      <c r="H8" s="125"/>
      <c r="I8" s="289"/>
    </row>
    <row r="9" spans="1:9" ht="15.75" customHeight="1" x14ac:dyDescent="0.25">
      <c r="A9" s="290" t="s">
        <v>8</v>
      </c>
      <c r="B9" s="291" t="s">
        <v>9</v>
      </c>
      <c r="C9" s="292" t="s">
        <v>501</v>
      </c>
      <c r="D9" s="292" t="s">
        <v>502</v>
      </c>
      <c r="E9" s="292" t="s">
        <v>503</v>
      </c>
      <c r="F9" s="292" t="s">
        <v>502</v>
      </c>
      <c r="G9" s="292" t="s">
        <v>503</v>
      </c>
      <c r="H9" s="125"/>
      <c r="I9" s="56"/>
    </row>
    <row r="10" spans="1:9" ht="15.75" customHeight="1" x14ac:dyDescent="0.25">
      <c r="A10" s="293" t="s">
        <v>504</v>
      </c>
      <c r="B10" s="126"/>
      <c r="C10" s="126"/>
      <c r="D10" s="126"/>
      <c r="E10" s="126"/>
      <c r="F10" s="126"/>
      <c r="G10" s="126"/>
      <c r="H10" s="125"/>
      <c r="I10" s="56"/>
    </row>
    <row r="11" spans="1:9" ht="15" customHeight="1" x14ac:dyDescent="0.2">
      <c r="A11" s="294">
        <v>1</v>
      </c>
      <c r="B11" s="295" t="s">
        <v>505</v>
      </c>
      <c r="C11" s="296">
        <v>22409</v>
      </c>
      <c r="D11" s="297">
        <v>62</v>
      </c>
      <c r="E11" s="297">
        <v>118</v>
      </c>
      <c r="F11" s="298">
        <f>IF(D11=0,0,$C11/(D11*365))</f>
        <v>0.99023420238621296</v>
      </c>
      <c r="G11" s="298">
        <f>IF(E11=0,0,$C11/(E11*365))</f>
        <v>0.52029254701648475</v>
      </c>
      <c r="H11" s="125"/>
      <c r="I11" s="299"/>
    </row>
    <row r="12" spans="1:9" ht="15" customHeight="1" thickBot="1" x14ac:dyDescent="0.3">
      <c r="A12" s="294"/>
      <c r="B12" s="141"/>
      <c r="C12" s="296"/>
      <c r="D12" s="89"/>
      <c r="F12" s="298"/>
      <c r="G12" s="298"/>
      <c r="H12" s="125"/>
      <c r="I12" s="299"/>
    </row>
    <row r="13" spans="1:9" ht="15" customHeight="1" x14ac:dyDescent="0.2">
      <c r="A13" s="294">
        <v>2</v>
      </c>
      <c r="B13" s="295" t="s">
        <v>506</v>
      </c>
      <c r="C13" s="296">
        <v>3144</v>
      </c>
      <c r="D13" s="297">
        <v>9</v>
      </c>
      <c r="E13" s="297">
        <v>14</v>
      </c>
      <c r="F13" s="298">
        <f>IF(D13=0,0,$C13/(D13*365))</f>
        <v>0.95707762557077625</v>
      </c>
      <c r="G13" s="298">
        <f>IF(E13=0,0,$C13/(E13*365))</f>
        <v>0.6152641878669276</v>
      </c>
      <c r="H13" s="125"/>
      <c r="I13" s="299"/>
    </row>
    <row r="14" spans="1:9" ht="15" customHeight="1" x14ac:dyDescent="0.2">
      <c r="A14" s="294"/>
      <c r="B14" s="141"/>
      <c r="C14" s="296"/>
      <c r="F14" s="298"/>
      <c r="G14" s="298"/>
      <c r="H14" s="125"/>
      <c r="I14" s="299"/>
    </row>
    <row r="15" spans="1:9" ht="15" customHeight="1" x14ac:dyDescent="0.2">
      <c r="A15" s="294">
        <v>3</v>
      </c>
      <c r="B15" s="295" t="s">
        <v>507</v>
      </c>
      <c r="C15" s="296">
        <v>0</v>
      </c>
      <c r="D15" s="297">
        <v>0</v>
      </c>
      <c r="E15" s="297">
        <v>0</v>
      </c>
      <c r="F15" s="298">
        <f t="shared" ref="F15:G17" si="0">IF(D15=0,0,$C15/(D15*365))</f>
        <v>0</v>
      </c>
      <c r="G15" s="298">
        <f t="shared" si="0"/>
        <v>0</v>
      </c>
      <c r="H15" s="125"/>
      <c r="I15" s="299"/>
    </row>
    <row r="16" spans="1:9" ht="15" customHeight="1" x14ac:dyDescent="0.2">
      <c r="A16" s="294">
        <v>4</v>
      </c>
      <c r="B16" s="295" t="s">
        <v>508</v>
      </c>
      <c r="C16" s="296">
        <v>4517</v>
      </c>
      <c r="D16" s="297">
        <v>13</v>
      </c>
      <c r="E16" s="297">
        <v>16</v>
      </c>
      <c r="F16" s="298">
        <f t="shared" si="0"/>
        <v>0.95194942044257114</v>
      </c>
      <c r="G16" s="298">
        <f t="shared" si="0"/>
        <v>0.77345890410958906</v>
      </c>
      <c r="H16" s="125"/>
      <c r="I16" s="299"/>
    </row>
    <row r="17" spans="1:9" ht="15.75" customHeight="1" x14ac:dyDescent="0.25">
      <c r="A17" s="293"/>
      <c r="B17" s="135" t="s">
        <v>509</v>
      </c>
      <c r="C17" s="300">
        <f>SUM(C15:C16)</f>
        <v>4517</v>
      </c>
      <c r="D17" s="300">
        <f>SUM(D15:D16)</f>
        <v>13</v>
      </c>
      <c r="E17" s="300">
        <f>SUM(E15:E16)</f>
        <v>16</v>
      </c>
      <c r="F17" s="301">
        <f t="shared" si="0"/>
        <v>0.95194942044257114</v>
      </c>
      <c r="G17" s="301">
        <f t="shared" si="0"/>
        <v>0.77345890410958906</v>
      </c>
      <c r="H17" s="125"/>
      <c r="I17" s="299"/>
    </row>
    <row r="18" spans="1:9" ht="15.75" customHeight="1" x14ac:dyDescent="0.25">
      <c r="A18" s="293"/>
      <c r="B18" s="153"/>
      <c r="C18" s="296"/>
      <c r="D18" s="297"/>
      <c r="E18" s="297"/>
      <c r="F18" s="298"/>
      <c r="G18" s="298"/>
      <c r="H18" s="125"/>
      <c r="I18" s="299"/>
    </row>
    <row r="19" spans="1:9" ht="15" customHeight="1" x14ac:dyDescent="0.2">
      <c r="A19" s="294">
        <v>5</v>
      </c>
      <c r="B19" s="295" t="s">
        <v>510</v>
      </c>
      <c r="C19" s="296">
        <v>0</v>
      </c>
      <c r="D19" s="297">
        <v>0</v>
      </c>
      <c r="E19" s="297">
        <v>0</v>
      </c>
      <c r="F19" s="298">
        <f>IF(D19=0,0,$C19/(D19*365))</f>
        <v>0</v>
      </c>
      <c r="G19" s="298">
        <f>IF(E19=0,0,$C19/(E19*365))</f>
        <v>0</v>
      </c>
      <c r="H19" s="125"/>
      <c r="I19" s="299"/>
    </row>
    <row r="20" spans="1:9" ht="15" customHeight="1" x14ac:dyDescent="0.2">
      <c r="A20" s="294"/>
      <c r="B20" s="141"/>
      <c r="F20" s="298"/>
      <c r="G20" s="298"/>
      <c r="H20" s="125"/>
      <c r="I20" s="299"/>
    </row>
    <row r="21" spans="1:9" ht="15" customHeight="1" x14ac:dyDescent="0.2">
      <c r="A21" s="294">
        <v>6</v>
      </c>
      <c r="B21" s="295" t="s">
        <v>511</v>
      </c>
      <c r="C21" s="296">
        <v>1806</v>
      </c>
      <c r="D21" s="297">
        <v>5</v>
      </c>
      <c r="E21" s="297">
        <v>12</v>
      </c>
      <c r="F21" s="298">
        <f>IF(D21=0,0,$C21/(D21*365))</f>
        <v>0.98958904109589041</v>
      </c>
      <c r="G21" s="298">
        <f>IF(E21=0,0,$C21/(E21*365))</f>
        <v>0.4123287671232877</v>
      </c>
      <c r="H21" s="125"/>
      <c r="I21" s="299"/>
    </row>
    <row r="22" spans="1:9" ht="15" customHeight="1" x14ac:dyDescent="0.2">
      <c r="A22" s="294"/>
      <c r="B22" s="141"/>
      <c r="F22" s="298"/>
      <c r="G22" s="298"/>
      <c r="H22" s="125"/>
      <c r="I22" s="299"/>
    </row>
    <row r="23" spans="1:9" ht="15" customHeight="1" x14ac:dyDescent="0.2">
      <c r="A23" s="294">
        <v>7</v>
      </c>
      <c r="B23" s="295" t="s">
        <v>512</v>
      </c>
      <c r="C23" s="296">
        <v>1553</v>
      </c>
      <c r="D23" s="297">
        <v>5</v>
      </c>
      <c r="E23" s="297">
        <v>20</v>
      </c>
      <c r="F23" s="298">
        <f>IF(D23=0,0,$C23/(D23*365))</f>
        <v>0.85095890410958908</v>
      </c>
      <c r="G23" s="298">
        <f>IF(E23=0,0,$C23/(E23*365))</f>
        <v>0.21273972602739727</v>
      </c>
      <c r="H23" s="125"/>
      <c r="I23" s="299"/>
    </row>
    <row r="24" spans="1:9" ht="15" customHeight="1" x14ac:dyDescent="0.2">
      <c r="A24" s="294"/>
      <c r="B24" s="141"/>
      <c r="F24" s="298"/>
      <c r="G24" s="298"/>
      <c r="H24" s="125"/>
      <c r="I24" s="299"/>
    </row>
    <row r="25" spans="1:9" ht="15" customHeight="1" x14ac:dyDescent="0.2">
      <c r="A25" s="294">
        <v>8</v>
      </c>
      <c r="B25" s="295" t="s">
        <v>295</v>
      </c>
      <c r="C25" s="296">
        <v>0</v>
      </c>
      <c r="D25" s="297">
        <v>0</v>
      </c>
      <c r="E25" s="297">
        <v>0</v>
      </c>
      <c r="F25" s="298">
        <f>IF(D25=0,0,$C25/(D25*365))</f>
        <v>0</v>
      </c>
      <c r="G25" s="298">
        <f>IF(E25=0,0,$C25/(E25*365))</f>
        <v>0</v>
      </c>
      <c r="H25" s="125"/>
      <c r="I25" s="299"/>
    </row>
    <row r="26" spans="1:9" ht="15" customHeight="1" x14ac:dyDescent="0.2">
      <c r="A26" s="294"/>
      <c r="B26" s="141"/>
      <c r="F26" s="298"/>
      <c r="G26" s="298"/>
      <c r="H26" s="125"/>
      <c r="I26" s="299"/>
    </row>
    <row r="27" spans="1:9" ht="15" customHeight="1" x14ac:dyDescent="0.2">
      <c r="A27" s="294">
        <v>9</v>
      </c>
      <c r="B27" s="295" t="s">
        <v>513</v>
      </c>
      <c r="C27" s="296">
        <v>0</v>
      </c>
      <c r="D27" s="297">
        <v>0</v>
      </c>
      <c r="E27" s="297">
        <v>0</v>
      </c>
      <c r="F27" s="298">
        <f>IF(D27=0,0,$C27/(D27*365))</f>
        <v>0</v>
      </c>
      <c r="G27" s="298">
        <f>IF(E27=0,0,$C27/(E27*365))</f>
        <v>0</v>
      </c>
      <c r="H27" s="125"/>
      <c r="I27" s="299"/>
    </row>
    <row r="28" spans="1:9" ht="15" customHeight="1" x14ac:dyDescent="0.2">
      <c r="A28" s="294"/>
      <c r="B28" s="141"/>
      <c r="F28" s="298"/>
      <c r="G28" s="298"/>
      <c r="H28" s="125"/>
      <c r="I28" s="299"/>
    </row>
    <row r="29" spans="1:9" ht="15" customHeight="1" x14ac:dyDescent="0.2">
      <c r="A29" s="294">
        <v>10</v>
      </c>
      <c r="B29" s="295" t="s">
        <v>514</v>
      </c>
      <c r="C29" s="296">
        <v>0</v>
      </c>
      <c r="D29" s="297">
        <v>0</v>
      </c>
      <c r="E29" s="297">
        <v>0</v>
      </c>
      <c r="F29" s="298">
        <f>IF(D29=0,0,$C29/(D29*365))</f>
        <v>0</v>
      </c>
      <c r="G29" s="298">
        <f>IF(E29=0,0,$C29/(E29*365))</f>
        <v>0</v>
      </c>
      <c r="H29" s="125"/>
      <c r="I29" s="299"/>
    </row>
    <row r="30" spans="1:9" ht="15.75" customHeight="1" x14ac:dyDescent="0.25">
      <c r="A30" s="293"/>
      <c r="B30" s="153"/>
      <c r="C30" s="296"/>
      <c r="D30" s="297"/>
      <c r="E30" s="297"/>
      <c r="F30" s="298"/>
      <c r="G30" s="298"/>
      <c r="H30" s="125"/>
      <c r="I30" s="299"/>
    </row>
    <row r="31" spans="1:9" ht="15.75" customHeight="1" x14ac:dyDescent="0.25">
      <c r="A31" s="293"/>
      <c r="B31" s="135" t="s">
        <v>515</v>
      </c>
      <c r="C31" s="300">
        <f>SUM(C10:C29)-C17-C23</f>
        <v>31876</v>
      </c>
      <c r="D31" s="300">
        <f>SUM(D10:D29)-D17-D23</f>
        <v>89</v>
      </c>
      <c r="E31" s="300">
        <f>SUM(E10:E29)-E17-E23</f>
        <v>160</v>
      </c>
      <c r="F31" s="301">
        <f>IF(D31=0,0,$C31/(D31*365))</f>
        <v>0.98125288594736026</v>
      </c>
      <c r="G31" s="301">
        <f>IF(E31=0,0,$C31/(E31*365))</f>
        <v>0.5458219178082192</v>
      </c>
      <c r="H31" s="125"/>
      <c r="I31" s="299"/>
    </row>
    <row r="32" spans="1:9" ht="15.75" customHeight="1" x14ac:dyDescent="0.25">
      <c r="A32" s="293"/>
      <c r="B32" s="153"/>
      <c r="C32" s="296"/>
      <c r="D32" s="296"/>
      <c r="E32" s="296"/>
      <c r="F32" s="298"/>
      <c r="G32" s="298"/>
      <c r="H32" s="125"/>
      <c r="I32" s="299"/>
    </row>
    <row r="33" spans="1:9" ht="15.75" customHeight="1" x14ac:dyDescent="0.25">
      <c r="A33" s="293"/>
      <c r="B33" s="135" t="s">
        <v>516</v>
      </c>
      <c r="C33" s="300">
        <f>SUM(C10:C29)-C17</f>
        <v>33429</v>
      </c>
      <c r="D33" s="300">
        <f>SUM(D10:D29)-D17</f>
        <v>94</v>
      </c>
      <c r="E33" s="300">
        <f>SUM(E10:E29)-E17</f>
        <v>180</v>
      </c>
      <c r="F33" s="301">
        <f>IF(D33=0,0,$C33/(D33*365))</f>
        <v>0.97432235499854269</v>
      </c>
      <c r="G33" s="301">
        <f>IF(E33=0,0,$C33/(E33*365))</f>
        <v>0.50881278538812791</v>
      </c>
      <c r="H33" s="125"/>
      <c r="I33" s="299"/>
    </row>
    <row r="34" spans="1:9" ht="15.75" customHeight="1" x14ac:dyDescent="0.25">
      <c r="A34" s="293"/>
      <c r="B34" s="126"/>
      <c r="C34" s="300"/>
      <c r="D34" s="302"/>
      <c r="E34" s="302"/>
      <c r="F34" s="301"/>
      <c r="G34" s="301"/>
      <c r="H34" s="125"/>
      <c r="I34" s="299"/>
    </row>
    <row r="35" spans="1:9" ht="15.75" customHeight="1" x14ac:dyDescent="0.25">
      <c r="A35" s="293"/>
      <c r="B35" s="126"/>
      <c r="C35" s="300"/>
      <c r="D35" s="302"/>
      <c r="E35" s="302"/>
      <c r="F35" s="301"/>
      <c r="G35" s="301"/>
      <c r="H35" s="125"/>
      <c r="I35" s="299"/>
    </row>
    <row r="36" spans="1:9" ht="15.75" customHeight="1" x14ac:dyDescent="0.25">
      <c r="A36" s="293"/>
      <c r="B36" s="135" t="s">
        <v>517</v>
      </c>
      <c r="C36" s="300">
        <f>+C33</f>
        <v>33429</v>
      </c>
      <c r="D36" s="300">
        <f>+D33</f>
        <v>94</v>
      </c>
      <c r="E36" s="300">
        <f>+E33</f>
        <v>180</v>
      </c>
      <c r="F36" s="301">
        <f>+F33</f>
        <v>0.97432235499854269</v>
      </c>
      <c r="G36" s="301">
        <f>+G33</f>
        <v>0.50881278538812791</v>
      </c>
      <c r="H36" s="125"/>
      <c r="I36" s="299"/>
    </row>
    <row r="37" spans="1:9" ht="15.75" customHeight="1" x14ac:dyDescent="0.25">
      <c r="A37" s="293"/>
      <c r="B37" s="135" t="s">
        <v>518</v>
      </c>
      <c r="C37" s="300">
        <v>33581</v>
      </c>
      <c r="D37" s="302">
        <v>95</v>
      </c>
      <c r="E37" s="302">
        <v>180</v>
      </c>
      <c r="F37" s="301">
        <f>IF(D37=0,0,$C37/(D37*365))</f>
        <v>0.96844989185291996</v>
      </c>
      <c r="G37" s="301">
        <f>IF(E37=0,0,$C37/(E37*365))</f>
        <v>0.51112633181126332</v>
      </c>
      <c r="H37" s="125"/>
      <c r="I37" s="299"/>
    </row>
    <row r="38" spans="1:9" ht="15.75" customHeight="1" x14ac:dyDescent="0.25">
      <c r="A38" s="293"/>
      <c r="B38" s="135" t="s">
        <v>519</v>
      </c>
      <c r="C38" s="300">
        <f>+C36-C37</f>
        <v>-152</v>
      </c>
      <c r="D38" s="300">
        <f>+D36-D37</f>
        <v>-1</v>
      </c>
      <c r="E38" s="300">
        <f>+E36-E37</f>
        <v>0</v>
      </c>
      <c r="F38" s="301">
        <f>+F36-F37</f>
        <v>5.8724631456227305E-3</v>
      </c>
      <c r="G38" s="301">
        <f>+G36-G37</f>
        <v>-2.3135464231354153E-3</v>
      </c>
      <c r="H38" s="125"/>
      <c r="I38" s="299"/>
    </row>
    <row r="39" spans="1:9" ht="15.75" customHeight="1" x14ac:dyDescent="0.25">
      <c r="A39" s="293"/>
      <c r="B39" s="153"/>
      <c r="C39" s="303"/>
      <c r="D39" s="303"/>
      <c r="E39" s="303"/>
      <c r="F39" s="301"/>
      <c r="G39" s="301"/>
      <c r="H39" s="125"/>
      <c r="I39" s="299"/>
    </row>
    <row r="40" spans="1:9" ht="15.75" customHeight="1" x14ac:dyDescent="0.25">
      <c r="A40" s="293"/>
      <c r="B40" s="135" t="s">
        <v>520</v>
      </c>
      <c r="C40" s="148">
        <f>IF(C37=0,0,C38/C37)</f>
        <v>-4.5263690777523008E-3</v>
      </c>
      <c r="D40" s="148">
        <f>IF(D37=0,0,D38/D37)</f>
        <v>-1.0526315789473684E-2</v>
      </c>
      <c r="E40" s="148">
        <f>IF(E37=0,0,E38/E37)</f>
        <v>0</v>
      </c>
      <c r="F40" s="148">
        <f>IF(F37=0,0,F38/F37)</f>
        <v>6.0637759320588481E-3</v>
      </c>
      <c r="G40" s="148">
        <f>IF(G37=0,0,G38/G37)</f>
        <v>-4.5263690777522046E-3</v>
      </c>
      <c r="H40" s="202"/>
      <c r="I40" s="299"/>
    </row>
    <row r="41" spans="1:9" ht="15.75" customHeight="1" x14ac:dyDescent="0.25">
      <c r="A41" s="200"/>
      <c r="B41" s="200"/>
      <c r="C41" s="200"/>
      <c r="D41" s="200"/>
      <c r="E41" s="200"/>
      <c r="F41" s="200"/>
      <c r="G41" s="200"/>
      <c r="H41" s="125"/>
      <c r="I41" s="299"/>
    </row>
    <row r="42" spans="1:9" ht="15.75" customHeight="1" x14ac:dyDescent="0.25">
      <c r="A42" s="60"/>
      <c r="B42" s="295" t="s">
        <v>521</v>
      </c>
      <c r="C42" s="295">
        <v>180</v>
      </c>
      <c r="D42" s="60"/>
      <c r="E42" s="60"/>
      <c r="F42" s="60"/>
      <c r="G42" s="60"/>
      <c r="H42" s="8"/>
      <c r="I42" s="21"/>
    </row>
    <row r="43" spans="1:9" ht="15.75" customHeight="1" x14ac:dyDescent="0.25">
      <c r="A43" s="60"/>
      <c r="B43" s="60"/>
      <c r="C43" s="60"/>
      <c r="D43" s="60"/>
      <c r="E43" s="60"/>
      <c r="F43" s="60"/>
      <c r="G43" s="60"/>
      <c r="H43" s="8"/>
      <c r="I43" s="21"/>
    </row>
    <row r="44" spans="1:9" ht="15.75" customHeight="1" x14ac:dyDescent="0.25">
      <c r="A44" s="304" t="s">
        <v>522</v>
      </c>
      <c r="B44" s="305"/>
      <c r="C44" s="125"/>
      <c r="D44" s="125"/>
      <c r="E44" s="125"/>
      <c r="F44" s="125"/>
      <c r="G44" s="125"/>
      <c r="H44" s="125"/>
      <c r="I44" s="299"/>
    </row>
    <row r="45" spans="1:9" ht="15.75" customHeight="1" x14ac:dyDescent="0.25">
      <c r="A45" s="304" t="s">
        <v>504</v>
      </c>
      <c r="B45" s="305"/>
      <c r="C45" s="125"/>
      <c r="D45" s="125"/>
      <c r="E45" s="125"/>
      <c r="F45" s="125"/>
      <c r="G45" s="125"/>
      <c r="H45" s="125"/>
      <c r="I45" s="299"/>
    </row>
    <row r="46" spans="1:9" ht="15.75" customHeight="1" x14ac:dyDescent="0.25">
      <c r="A46" s="306"/>
      <c r="B46" s="305"/>
      <c r="C46" s="305"/>
      <c r="D46" s="305"/>
      <c r="E46" s="305"/>
      <c r="F46" s="305"/>
      <c r="G46" s="305"/>
    </row>
    <row r="47" spans="1:9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r:id="rId1"/>
  <headerFooter>
    <oddHeader>&amp;LOFFICE OF HEALTH CARE ACCESS&amp;CTWELVE MONTHS ACTUAL FILING&amp;RGRIFFIN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523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524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525</v>
      </c>
      <c r="C12" s="296">
        <v>5438</v>
      </c>
      <c r="D12" s="296">
        <v>5493</v>
      </c>
      <c r="E12" s="296">
        <f>+D12-C12</f>
        <v>55</v>
      </c>
      <c r="F12" s="316">
        <f>IF(C12=0,0,+E12/C12)</f>
        <v>1.0114012504597279E-2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526</v>
      </c>
      <c r="C13" s="296">
        <v>5757</v>
      </c>
      <c r="D13" s="296">
        <v>5479</v>
      </c>
      <c r="E13" s="296">
        <f>+D13-C13</f>
        <v>-278</v>
      </c>
      <c r="F13" s="316">
        <f>IF(C13=0,0,+E13/C13)</f>
        <v>-4.8289039430258814E-2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527</v>
      </c>
      <c r="C14" s="296">
        <v>5887</v>
      </c>
      <c r="D14" s="296">
        <v>6826</v>
      </c>
      <c r="E14" s="296">
        <f>+D14-C14</f>
        <v>939</v>
      </c>
      <c r="F14" s="316">
        <f>IF(C14=0,0,+E14/C14)</f>
        <v>0.15950399184644132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528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529</v>
      </c>
      <c r="C16" s="300">
        <f>SUM(C12:C15)</f>
        <v>17082</v>
      </c>
      <c r="D16" s="300">
        <f>SUM(D12:D15)</f>
        <v>17798</v>
      </c>
      <c r="E16" s="300">
        <f>+D16-C16</f>
        <v>716</v>
      </c>
      <c r="F16" s="309">
        <f>IF(C16=0,0,+E16/C16)</f>
        <v>4.1915466573000819E-2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530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525</v>
      </c>
      <c r="C19" s="296">
        <v>468</v>
      </c>
      <c r="D19" s="296">
        <v>455</v>
      </c>
      <c r="E19" s="296">
        <f>+D19-C19</f>
        <v>-13</v>
      </c>
      <c r="F19" s="316">
        <f>IF(C19=0,0,+E19/C19)</f>
        <v>-2.7777777777777776E-2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526</v>
      </c>
      <c r="C20" s="296">
        <v>3328</v>
      </c>
      <c r="D20" s="296">
        <v>4094</v>
      </c>
      <c r="E20" s="296">
        <f>+D20-C20</f>
        <v>766</v>
      </c>
      <c r="F20" s="316">
        <f>IF(C20=0,0,+E20/C20)</f>
        <v>0.23016826923076922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527</v>
      </c>
      <c r="C21" s="296">
        <v>45</v>
      </c>
      <c r="D21" s="296">
        <v>43</v>
      </c>
      <c r="E21" s="296">
        <f>+D21-C21</f>
        <v>-2</v>
      </c>
      <c r="F21" s="316">
        <f>IF(C21=0,0,+E21/C21)</f>
        <v>-4.4444444444444446E-2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528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531</v>
      </c>
      <c r="C23" s="300">
        <f>SUM(C19:C22)</f>
        <v>3841</v>
      </c>
      <c r="D23" s="300">
        <f>SUM(D19:D22)</f>
        <v>4592</v>
      </c>
      <c r="E23" s="300">
        <f>+D23-C23</f>
        <v>751</v>
      </c>
      <c r="F23" s="309">
        <f>IF(C23=0,0,+E23/C23)</f>
        <v>0.19552199947930227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532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525</v>
      </c>
      <c r="C26" s="296">
        <v>2</v>
      </c>
      <c r="D26" s="296">
        <v>3</v>
      </c>
      <c r="E26" s="296">
        <f>+D26-C26</f>
        <v>1</v>
      </c>
      <c r="F26" s="316">
        <f>IF(C26=0,0,+E26/C26)</f>
        <v>0.5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526</v>
      </c>
      <c r="C27" s="296">
        <v>249</v>
      </c>
      <c r="D27" s="296">
        <v>283</v>
      </c>
      <c r="E27" s="296">
        <f>+D27-C27</f>
        <v>34</v>
      </c>
      <c r="F27" s="316">
        <f>IF(C27=0,0,+E27/C27)</f>
        <v>0.13654618473895583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527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528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533</v>
      </c>
      <c r="C30" s="300">
        <f>SUM(C26:C29)</f>
        <v>251</v>
      </c>
      <c r="D30" s="300">
        <f>SUM(D26:D29)</f>
        <v>286</v>
      </c>
      <c r="E30" s="300">
        <f>+D30-C30</f>
        <v>35</v>
      </c>
      <c r="F30" s="309">
        <f>IF(C30=0,0,+E30/C30)</f>
        <v>0.1394422310756972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534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525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526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527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528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535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536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537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538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539</v>
      </c>
      <c r="C43" s="296">
        <v>133</v>
      </c>
      <c r="D43" s="296">
        <v>122</v>
      </c>
      <c r="E43" s="296">
        <f>+D43-C43</f>
        <v>-11</v>
      </c>
      <c r="F43" s="316">
        <f>IF(C43=0,0,+E43/C43)</f>
        <v>-8.2706766917293228E-2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540</v>
      </c>
      <c r="C44" s="296">
        <v>4107</v>
      </c>
      <c r="D44" s="296">
        <v>5268</v>
      </c>
      <c r="E44" s="296">
        <f>+D44-C44</f>
        <v>1161</v>
      </c>
      <c r="F44" s="316">
        <f>IF(C44=0,0,+E44/C44)</f>
        <v>0.28268809349890434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541</v>
      </c>
      <c r="C45" s="300">
        <f>SUM(C43:C44)</f>
        <v>4240</v>
      </c>
      <c r="D45" s="300">
        <f>SUM(D43:D44)</f>
        <v>5390</v>
      </c>
      <c r="E45" s="300">
        <f>+D45-C45</f>
        <v>1150</v>
      </c>
      <c r="F45" s="309">
        <f>IF(C45=0,0,+E45/C45)</f>
        <v>0.27122641509433965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542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539</v>
      </c>
      <c r="C48" s="296">
        <v>0</v>
      </c>
      <c r="D48" s="296">
        <v>0</v>
      </c>
      <c r="E48" s="296">
        <f>+D48-C48</f>
        <v>0</v>
      </c>
      <c r="F48" s="316">
        <f>IF(C48=0,0,+E48/C48)</f>
        <v>0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540</v>
      </c>
      <c r="C49" s="296">
        <v>0</v>
      </c>
      <c r="D49" s="296">
        <v>0</v>
      </c>
      <c r="E49" s="296">
        <f>+D49-C49</f>
        <v>0</v>
      </c>
      <c r="F49" s="316">
        <f>IF(C49=0,0,+E49/C49)</f>
        <v>0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543</v>
      </c>
      <c r="C50" s="300">
        <f>SUM(C48:C49)</f>
        <v>0</v>
      </c>
      <c r="D50" s="300">
        <f>SUM(D48:D49)</f>
        <v>0</v>
      </c>
      <c r="E50" s="300">
        <f>+D50-C50</f>
        <v>0</v>
      </c>
      <c r="F50" s="309">
        <f>IF(C50=0,0,+E50/C50)</f>
        <v>0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544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545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546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547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548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549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550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551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552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553</v>
      </c>
      <c r="C63" s="296">
        <v>1279</v>
      </c>
      <c r="D63" s="296">
        <v>1399</v>
      </c>
      <c r="E63" s="296">
        <f>+D63-C63</f>
        <v>120</v>
      </c>
      <c r="F63" s="316">
        <f>IF(C63=0,0,+E63/C63)</f>
        <v>9.382329945269742E-2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554</v>
      </c>
      <c r="C64" s="296">
        <v>2857</v>
      </c>
      <c r="D64" s="296">
        <v>3023</v>
      </c>
      <c r="E64" s="296">
        <f>+D64-C64</f>
        <v>166</v>
      </c>
      <c r="F64" s="316">
        <f>IF(C64=0,0,+E64/C64)</f>
        <v>5.8102905145257261E-2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555</v>
      </c>
      <c r="C65" s="300">
        <f>SUM(C63:C64)</f>
        <v>4136</v>
      </c>
      <c r="D65" s="300">
        <f>SUM(D63:D64)</f>
        <v>4422</v>
      </c>
      <c r="E65" s="300">
        <f>+D65-C65</f>
        <v>286</v>
      </c>
      <c r="F65" s="309">
        <f>IF(C65=0,0,+E65/C65)</f>
        <v>6.9148936170212769E-2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556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557</v>
      </c>
      <c r="C68" s="296">
        <v>367</v>
      </c>
      <c r="D68" s="296">
        <v>380</v>
      </c>
      <c r="E68" s="296">
        <f>+D68-C68</f>
        <v>13</v>
      </c>
      <c r="F68" s="316">
        <f>IF(C68=0,0,+E68/C68)</f>
        <v>3.5422343324250684E-2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558</v>
      </c>
      <c r="C69" s="296">
        <v>2982</v>
      </c>
      <c r="D69" s="296">
        <v>2903</v>
      </c>
      <c r="E69" s="296">
        <f>+D69-C69</f>
        <v>-79</v>
      </c>
      <c r="F69" s="318">
        <f>IF(C69=0,0,+E69/C69)</f>
        <v>-2.6492287055667339E-2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559</v>
      </c>
      <c r="C70" s="300">
        <f>SUM(C68:C69)</f>
        <v>3349</v>
      </c>
      <c r="D70" s="300">
        <f>SUM(D68:D69)</f>
        <v>3283</v>
      </c>
      <c r="E70" s="300">
        <f>+D70-C70</f>
        <v>-66</v>
      </c>
      <c r="F70" s="309">
        <f>IF(C70=0,0,+E70/C70)</f>
        <v>-1.9707375335921172E-2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560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561</v>
      </c>
      <c r="C73" s="319">
        <v>5426</v>
      </c>
      <c r="D73" s="319">
        <v>5533</v>
      </c>
      <c r="E73" s="296">
        <f>+D73-C73</f>
        <v>107</v>
      </c>
      <c r="F73" s="316">
        <f>IF(C73=0,0,+E73/C73)</f>
        <v>1.9719867305565793E-2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562</v>
      </c>
      <c r="C74" s="319">
        <v>33789</v>
      </c>
      <c r="D74" s="319">
        <v>33402</v>
      </c>
      <c r="E74" s="296">
        <f>+D74-C74</f>
        <v>-387</v>
      </c>
      <c r="F74" s="316">
        <f>IF(C74=0,0,+E74/C74)</f>
        <v>-1.145343159016248E-2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39215</v>
      </c>
      <c r="D75" s="300">
        <f>SUM(D73:D74)</f>
        <v>38935</v>
      </c>
      <c r="E75" s="300">
        <f>SUM(E73:E74)</f>
        <v>-280</v>
      </c>
      <c r="F75" s="309">
        <f>IF(C75=0,0,+E75/C75)</f>
        <v>-7.1401249521866631E-3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563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564</v>
      </c>
      <c r="C79" s="319">
        <v>6397</v>
      </c>
      <c r="D79" s="319">
        <v>5480</v>
      </c>
      <c r="E79" s="296">
        <f t="shared" ref="E79:E84" si="0">+D79-C79</f>
        <v>-917</v>
      </c>
      <c r="F79" s="316">
        <f t="shared" ref="F79:F84" si="1">IF(C79=0,0,+E79/C79)</f>
        <v>-0.14334844458339846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565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566</v>
      </c>
      <c r="C81" s="319">
        <v>5674</v>
      </c>
      <c r="D81" s="319">
        <v>5461</v>
      </c>
      <c r="E81" s="296">
        <f t="shared" si="0"/>
        <v>-213</v>
      </c>
      <c r="F81" s="316">
        <f t="shared" si="1"/>
        <v>-3.7539654564681002E-2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567</v>
      </c>
      <c r="C82" s="319">
        <v>129</v>
      </c>
      <c r="D82" s="319">
        <v>65</v>
      </c>
      <c r="E82" s="296">
        <f t="shared" si="0"/>
        <v>-64</v>
      </c>
      <c r="F82" s="316">
        <f t="shared" si="1"/>
        <v>-0.49612403100775193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568</v>
      </c>
      <c r="C83" s="319">
        <v>0</v>
      </c>
      <c r="D83" s="319">
        <v>0</v>
      </c>
      <c r="E83" s="296">
        <f t="shared" si="0"/>
        <v>0</v>
      </c>
      <c r="F83" s="316">
        <f t="shared" si="1"/>
        <v>0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569</v>
      </c>
      <c r="C84" s="320">
        <f>SUM(C79:C83)</f>
        <v>12200</v>
      </c>
      <c r="D84" s="320">
        <f>SUM(D79:D83)</f>
        <v>11006</v>
      </c>
      <c r="E84" s="300">
        <f t="shared" si="0"/>
        <v>-1194</v>
      </c>
      <c r="F84" s="309">
        <f t="shared" si="1"/>
        <v>-9.7868852459016387E-2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570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571</v>
      </c>
      <c r="C87" s="322">
        <v>10828</v>
      </c>
      <c r="D87" s="322">
        <v>11908</v>
      </c>
      <c r="E87" s="323">
        <f t="shared" ref="E87:E92" si="2">+D87-C87</f>
        <v>1080</v>
      </c>
      <c r="F87" s="318">
        <f t="shared" ref="F87:F92" si="3">IF(C87=0,0,+E87/C87)</f>
        <v>9.9741411156261547E-2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2961</v>
      </c>
      <c r="D88" s="322">
        <v>2902</v>
      </c>
      <c r="E88" s="296">
        <f t="shared" si="2"/>
        <v>-59</v>
      </c>
      <c r="F88" s="316">
        <f t="shared" si="3"/>
        <v>-1.9925700776764605E-2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572</v>
      </c>
      <c r="C89" s="322">
        <v>990</v>
      </c>
      <c r="D89" s="322">
        <v>964</v>
      </c>
      <c r="E89" s="296">
        <f t="shared" si="2"/>
        <v>-26</v>
      </c>
      <c r="F89" s="316">
        <f t="shared" si="3"/>
        <v>-2.6262626262626262E-2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573</v>
      </c>
      <c r="C90" s="322">
        <v>0</v>
      </c>
      <c r="D90" s="322">
        <v>0</v>
      </c>
      <c r="E90" s="296">
        <f t="shared" si="2"/>
        <v>0</v>
      </c>
      <c r="F90" s="316">
        <f t="shared" si="3"/>
        <v>0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574</v>
      </c>
      <c r="C91" s="322">
        <v>49253</v>
      </c>
      <c r="D91" s="322">
        <v>50980</v>
      </c>
      <c r="E91" s="296">
        <f t="shared" si="2"/>
        <v>1727</v>
      </c>
      <c r="F91" s="316">
        <f t="shared" si="3"/>
        <v>3.5063853978437864E-2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575</v>
      </c>
      <c r="C92" s="320">
        <f>SUM(C87:C91)</f>
        <v>64032</v>
      </c>
      <c r="D92" s="320">
        <f>SUM(D87:D91)</f>
        <v>66754</v>
      </c>
      <c r="E92" s="300">
        <f t="shared" si="2"/>
        <v>2722</v>
      </c>
      <c r="F92" s="309">
        <f t="shared" si="3"/>
        <v>4.2509995002498753E-2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576</v>
      </c>
      <c r="B95" s="291" t="s">
        <v>577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578</v>
      </c>
      <c r="C96" s="325">
        <v>278.3</v>
      </c>
      <c r="D96" s="325">
        <v>305</v>
      </c>
      <c r="E96" s="326">
        <f>+D96-C96</f>
        <v>26.699999999999989</v>
      </c>
      <c r="F96" s="316">
        <f>IF(C96=0,0,+E96/C96)</f>
        <v>9.5939633489040554E-2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579</v>
      </c>
      <c r="C97" s="325">
        <v>63.1</v>
      </c>
      <c r="D97" s="325">
        <v>64</v>
      </c>
      <c r="E97" s="326">
        <f>+D97-C97</f>
        <v>0.89999999999999858</v>
      </c>
      <c r="F97" s="316">
        <f>IF(C97=0,0,+E97/C97)</f>
        <v>1.426307448494451E-2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580</v>
      </c>
      <c r="C98" s="325">
        <v>587.70000000000005</v>
      </c>
      <c r="D98" s="325">
        <v>589</v>
      </c>
      <c r="E98" s="326">
        <f>+D98-C98</f>
        <v>1.2999999999999545</v>
      </c>
      <c r="F98" s="316">
        <f>IF(C98=0,0,+E98/C98)</f>
        <v>2.212012931767831E-3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581</v>
      </c>
      <c r="C99" s="327">
        <f>SUM(C96:C98)</f>
        <v>929.10000000000014</v>
      </c>
      <c r="D99" s="327">
        <f>SUM(D96:D98)</f>
        <v>958</v>
      </c>
      <c r="E99" s="327">
        <f>+D99-C99</f>
        <v>28.899999999999864</v>
      </c>
      <c r="F99" s="309">
        <f>IF(C99=0,0,+E99/C99)</f>
        <v>3.1105370788935379E-2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r:id="rId1"/>
  <headerFooter>
    <oddHeader>&amp;LOFFICE OF HEALTH CARE ACCESS&amp;CTWELVE MONTHS ACTUAL FILING&amp;RGRIFFIN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582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554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0</v>
      </c>
      <c r="C12" s="296">
        <v>2857</v>
      </c>
      <c r="D12" s="296">
        <v>3023</v>
      </c>
      <c r="E12" s="296">
        <f>+D12-C12</f>
        <v>166</v>
      </c>
      <c r="F12" s="316">
        <f>IF(C12=0,0,+E12/C12)</f>
        <v>5.8102905145257261E-2</v>
      </c>
    </row>
    <row r="13" spans="1:16" ht="15.75" customHeight="1" x14ac:dyDescent="0.25">
      <c r="A13" s="294"/>
      <c r="B13" s="135" t="s">
        <v>583</v>
      </c>
      <c r="C13" s="300">
        <f>SUM(C11:C12)</f>
        <v>2857</v>
      </c>
      <c r="D13" s="300">
        <f>SUM(D11:D12)</f>
        <v>3023</v>
      </c>
      <c r="E13" s="300">
        <f>+D13-C13</f>
        <v>166</v>
      </c>
      <c r="F13" s="309">
        <f>IF(C13=0,0,+E13/C13)</f>
        <v>5.8102905145257261E-2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558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0</v>
      </c>
      <c r="C16" s="296">
        <v>2982</v>
      </c>
      <c r="D16" s="296">
        <v>2903</v>
      </c>
      <c r="E16" s="296">
        <f>+D16-C16</f>
        <v>-79</v>
      </c>
      <c r="F16" s="316">
        <f>IF(C16=0,0,+E16/C16)</f>
        <v>-2.6492287055667339E-2</v>
      </c>
    </row>
    <row r="17" spans="1:6" ht="15.75" customHeight="1" x14ac:dyDescent="0.25">
      <c r="A17" s="294"/>
      <c r="B17" s="135" t="s">
        <v>584</v>
      </c>
      <c r="C17" s="300">
        <f>SUM(C15:C16)</f>
        <v>2982</v>
      </c>
      <c r="D17" s="300">
        <f>SUM(D15:D16)</f>
        <v>2903</v>
      </c>
      <c r="E17" s="300">
        <f>+D17-C17</f>
        <v>-79</v>
      </c>
      <c r="F17" s="309">
        <f>IF(C17=0,0,+E17/C17)</f>
        <v>-2.6492287055667339E-2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585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0</v>
      </c>
      <c r="C20" s="296">
        <v>33789</v>
      </c>
      <c r="D20" s="296">
        <v>0</v>
      </c>
      <c r="E20" s="296">
        <f>+D20-C20</f>
        <v>-33789</v>
      </c>
      <c r="F20" s="316">
        <f>IF(C20=0,0,+E20/C20)</f>
        <v>-1</v>
      </c>
    </row>
    <row r="21" spans="1:6" ht="15.75" customHeight="1" x14ac:dyDescent="0.2">
      <c r="A21" s="294">
        <v>2</v>
      </c>
      <c r="B21" s="295" t="s">
        <v>0</v>
      </c>
      <c r="C21" s="296">
        <v>33789</v>
      </c>
      <c r="D21" s="296">
        <v>33402</v>
      </c>
      <c r="E21" s="296">
        <f>+D21-C21</f>
        <v>-387</v>
      </c>
      <c r="F21" s="316">
        <f>IF(C21=0,0,+E21/C21)</f>
        <v>-1.145343159016248E-2</v>
      </c>
    </row>
    <row r="22" spans="1:6" ht="15.75" customHeight="1" x14ac:dyDescent="0.25">
      <c r="A22" s="294"/>
      <c r="B22" s="135" t="s">
        <v>586</v>
      </c>
      <c r="C22" s="300">
        <f>SUM(C19:C21)</f>
        <v>67578</v>
      </c>
      <c r="D22" s="300">
        <f>SUM(D19:D21)</f>
        <v>33402</v>
      </c>
      <c r="E22" s="300">
        <f>+D22-C22</f>
        <v>-34176</v>
      </c>
      <c r="F22" s="309">
        <f>IF(C22=0,0,+E22/C22)</f>
        <v>-0.50572671579508122</v>
      </c>
    </row>
    <row r="23" spans="1:6" ht="15.75" customHeight="1" x14ac:dyDescent="0.25">
      <c r="A23" s="293"/>
      <c r="B23" s="135"/>
      <c r="C23" s="300"/>
      <c r="D23" s="300"/>
      <c r="E23" s="300"/>
      <c r="F23" s="309"/>
    </row>
    <row r="24" spans="1:6" ht="15.75" customHeight="1" x14ac:dyDescent="0.25">
      <c r="B24" s="699" t="s">
        <v>587</v>
      </c>
      <c r="C24" s="700"/>
      <c r="D24" s="700"/>
      <c r="E24" s="700"/>
      <c r="F24" s="701"/>
    </row>
    <row r="25" spans="1:6" ht="15.75" customHeight="1" x14ac:dyDescent="0.25">
      <c r="A25" s="293"/>
      <c r="B25" s="135"/>
      <c r="C25" s="300"/>
      <c r="D25" s="300"/>
      <c r="E25" s="300"/>
      <c r="F25" s="309"/>
    </row>
    <row r="26" spans="1:6" ht="15.75" customHeight="1" x14ac:dyDescent="0.25">
      <c r="B26" s="699" t="s">
        <v>588</v>
      </c>
      <c r="C26" s="700"/>
      <c r="D26" s="700"/>
      <c r="E26" s="700"/>
      <c r="F26" s="701"/>
    </row>
    <row r="27" spans="1:6" ht="15.75" customHeight="1" x14ac:dyDescent="0.25">
      <c r="A27" s="293"/>
      <c r="B27" s="135"/>
      <c r="C27" s="300"/>
      <c r="D27" s="300"/>
      <c r="E27" s="300"/>
      <c r="F27" s="309"/>
    </row>
    <row r="28" spans="1:6" ht="15.75" customHeight="1" x14ac:dyDescent="0.25">
      <c r="B28" s="699" t="s">
        <v>589</v>
      </c>
      <c r="C28" s="700"/>
      <c r="D28" s="700"/>
      <c r="E28" s="700"/>
      <c r="F28" s="701"/>
    </row>
    <row r="29" spans="1:6" ht="15.75" customHeight="1" x14ac:dyDescent="0.25">
      <c r="A29" s="293"/>
      <c r="B29" s="135"/>
      <c r="C29" s="300"/>
      <c r="D29" s="300"/>
      <c r="E29" s="300"/>
      <c r="F29" s="309"/>
    </row>
  </sheetData>
  <mergeCells count="7">
    <mergeCell ref="B28:F28"/>
    <mergeCell ref="A1:F1"/>
    <mergeCell ref="A2:F2"/>
    <mergeCell ref="A3:F3"/>
    <mergeCell ref="A4:F4"/>
    <mergeCell ref="B24:F24"/>
    <mergeCell ref="B26:F26"/>
  </mergeCells>
  <printOptions gridLines="1"/>
  <pageMargins left="0.25" right="0.25" top="0.5" bottom="0.5" header="0.25" footer="0.25"/>
  <pageSetup paperSize="9" scale="80" orientation="portrait" r:id="rId1"/>
  <headerFooter>
    <oddHeader>&amp;LOFFICE OF HEALTH CARE ACCESS&amp;CTWELVE MONTHS ACTUAL FILING&amp;RGRIFFIN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activeCell="H27" sqref="H27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590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591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592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593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594</v>
      </c>
      <c r="D7" s="341" t="s">
        <v>594</v>
      </c>
      <c r="E7" s="341" t="s">
        <v>595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596</v>
      </c>
      <c r="D8" s="344" t="s">
        <v>597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598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599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600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601</v>
      </c>
      <c r="C15" s="361">
        <v>103908058</v>
      </c>
      <c r="D15" s="361">
        <v>109615387</v>
      </c>
      <c r="E15" s="361">
        <f t="shared" ref="E15:E24" si="0">D15-C15</f>
        <v>5707329</v>
      </c>
      <c r="F15" s="362">
        <f t="shared" ref="F15:F24" si="1">IF(C15=0,0,E15/C15)</f>
        <v>5.4926721852505411E-2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602</v>
      </c>
      <c r="C16" s="361">
        <v>38260545</v>
      </c>
      <c r="D16" s="361">
        <v>37414146</v>
      </c>
      <c r="E16" s="361">
        <f t="shared" si="0"/>
        <v>-846399</v>
      </c>
      <c r="F16" s="362">
        <f t="shared" si="1"/>
        <v>-2.2121979705202841E-2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603</v>
      </c>
      <c r="C17" s="366">
        <f>IF(C15=0,0,C16/C15)</f>
        <v>0.36821537940782223</v>
      </c>
      <c r="D17" s="366">
        <f>IF(LN_IA1=0,0,LN_IA2/LN_IA1)</f>
        <v>0.34132202625895941</v>
      </c>
      <c r="E17" s="367">
        <f t="shared" si="0"/>
        <v>-2.689335314886282E-2</v>
      </c>
      <c r="F17" s="362">
        <f t="shared" si="1"/>
        <v>-7.3037017606689097E-2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3622</v>
      </c>
      <c r="D18" s="369">
        <v>3673</v>
      </c>
      <c r="E18" s="369">
        <f t="shared" si="0"/>
        <v>51</v>
      </c>
      <c r="F18" s="362">
        <f t="shared" si="1"/>
        <v>1.4080618442849255E-2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604</v>
      </c>
      <c r="C19" s="372">
        <v>1.33762</v>
      </c>
      <c r="D19" s="372">
        <v>1.3216300000000001</v>
      </c>
      <c r="E19" s="373">
        <f t="shared" si="0"/>
        <v>-1.5989999999999949E-2</v>
      </c>
      <c r="F19" s="362">
        <f t="shared" si="1"/>
        <v>-1.1954067672433089E-2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605</v>
      </c>
      <c r="C20" s="376">
        <f>C18*C19</f>
        <v>4844.8596399999997</v>
      </c>
      <c r="D20" s="376">
        <f>LN_IA4*LN_IA5</f>
        <v>4854.34699</v>
      </c>
      <c r="E20" s="376">
        <f t="shared" si="0"/>
        <v>9.4873500000003332</v>
      </c>
      <c r="F20" s="362">
        <f t="shared" si="1"/>
        <v>1.9582301046806661E-3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606</v>
      </c>
      <c r="C21" s="378">
        <f>IF(C20=0,0,C16/C20)</f>
        <v>7897.142093470432</v>
      </c>
      <c r="D21" s="378">
        <f>IF(LN_IA6=0,0,LN_IA2/LN_IA6)</f>
        <v>7707.3489136795306</v>
      </c>
      <c r="E21" s="378">
        <f t="shared" si="0"/>
        <v>-189.79317979090138</v>
      </c>
      <c r="F21" s="362">
        <f t="shared" si="1"/>
        <v>-2.4033147377179327E-2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18712</v>
      </c>
      <c r="D22" s="369">
        <v>18623</v>
      </c>
      <c r="E22" s="369">
        <f t="shared" si="0"/>
        <v>-89</v>
      </c>
      <c r="F22" s="362">
        <f t="shared" si="1"/>
        <v>-4.7563061137238134E-3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607</v>
      </c>
      <c r="C23" s="378">
        <f>IF(C22=0,0,C16/C22)</f>
        <v>2044.7063381787088</v>
      </c>
      <c r="D23" s="378">
        <f>IF(LN_IA8=0,0,LN_IA2/LN_IA8)</f>
        <v>2009.0289427052569</v>
      </c>
      <c r="E23" s="378">
        <f t="shared" si="0"/>
        <v>-35.677395473451952</v>
      </c>
      <c r="F23" s="362">
        <f t="shared" si="1"/>
        <v>-1.7448664782460179E-2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608</v>
      </c>
      <c r="C24" s="379">
        <f>IF(C18=0,0,C22/C18)</f>
        <v>5.1662065157371622</v>
      </c>
      <c r="D24" s="379">
        <f>IF(LN_IA4=0,0,LN_IA8/LN_IA4)</f>
        <v>5.0702423087394504</v>
      </c>
      <c r="E24" s="379">
        <f t="shared" si="0"/>
        <v>-9.5964206997711798E-2</v>
      </c>
      <c r="F24" s="362">
        <f t="shared" si="1"/>
        <v>-1.8575371833353577E-2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609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610</v>
      </c>
      <c r="C27" s="361">
        <v>59549346</v>
      </c>
      <c r="D27" s="361">
        <v>66223956</v>
      </c>
      <c r="E27" s="361">
        <f t="shared" ref="E27:E32" si="2">D27-C27</f>
        <v>6674610</v>
      </c>
      <c r="F27" s="362">
        <f t="shared" ref="F27:F32" si="3">IF(C27=0,0,E27/C27)</f>
        <v>0.11208536194503295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611</v>
      </c>
      <c r="C28" s="361">
        <v>13182942</v>
      </c>
      <c r="D28" s="361">
        <v>13263908</v>
      </c>
      <c r="E28" s="361">
        <f t="shared" si="2"/>
        <v>80966</v>
      </c>
      <c r="F28" s="362">
        <f t="shared" si="3"/>
        <v>6.1417246620670864E-3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612</v>
      </c>
      <c r="C29" s="366">
        <f>IF(C27=0,0,C28/C27)</f>
        <v>0.22137845141070064</v>
      </c>
      <c r="D29" s="366">
        <f>IF(LN_IA11=0,0,LN_IA12/LN_IA11)</f>
        <v>0.20028866895236522</v>
      </c>
      <c r="E29" s="367">
        <f t="shared" si="2"/>
        <v>-2.1089782458335427E-2</v>
      </c>
      <c r="F29" s="362">
        <f t="shared" si="3"/>
        <v>-9.5265742098853717E-2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613</v>
      </c>
      <c r="C30" s="366">
        <f>IF(C15=0,0,C27/C15)</f>
        <v>0.57309651576781462</v>
      </c>
      <c r="D30" s="366">
        <f>IF(LN_IA1=0,0,LN_IA11/LN_IA1)</f>
        <v>0.60414835738343919</v>
      </c>
      <c r="E30" s="367">
        <f t="shared" si="2"/>
        <v>3.1051841615624576E-2</v>
      </c>
      <c r="F30" s="362">
        <f t="shared" si="3"/>
        <v>5.4182569185615106E-2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614</v>
      </c>
      <c r="C31" s="376">
        <f>C30*C18</f>
        <v>2075.7555801110248</v>
      </c>
      <c r="D31" s="376">
        <f>LN_IA14*LN_IA4</f>
        <v>2219.0369166693722</v>
      </c>
      <c r="E31" s="376">
        <f t="shared" si="2"/>
        <v>143.28133655834745</v>
      </c>
      <c r="F31" s="362">
        <f t="shared" si="3"/>
        <v>6.9026111711420202E-2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615</v>
      </c>
      <c r="C32" s="378">
        <f>IF(C31=0,0,C28/C31)</f>
        <v>6350.9124707711935</v>
      </c>
      <c r="D32" s="378">
        <f>IF(LN_IA15=0,0,LN_IA12/LN_IA15)</f>
        <v>5977.3264249736994</v>
      </c>
      <c r="E32" s="378">
        <f t="shared" si="2"/>
        <v>-373.58604579749408</v>
      </c>
      <c r="F32" s="362">
        <f t="shared" si="3"/>
        <v>-5.8823995373397012E-2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616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617</v>
      </c>
      <c r="C35" s="361">
        <f>C15+C27</f>
        <v>163457404</v>
      </c>
      <c r="D35" s="361">
        <f>LN_IA1+LN_IA11</f>
        <v>175839343</v>
      </c>
      <c r="E35" s="361">
        <f>D35-C35</f>
        <v>12381939</v>
      </c>
      <c r="F35" s="362">
        <f>IF(C35=0,0,E35/C35)</f>
        <v>7.5750248670289663E-2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618</v>
      </c>
      <c r="C36" s="361">
        <f>C16+C28</f>
        <v>51443487</v>
      </c>
      <c r="D36" s="361">
        <f>LN_IA2+LN_IA12</f>
        <v>50678054</v>
      </c>
      <c r="E36" s="361">
        <f>D36-C36</f>
        <v>-765433</v>
      </c>
      <c r="F36" s="362">
        <f>IF(C36=0,0,E36/C36)</f>
        <v>-1.4879104132268483E-2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619</v>
      </c>
      <c r="C37" s="361">
        <f>C35-C36</f>
        <v>112013917</v>
      </c>
      <c r="D37" s="361">
        <f>LN_IA17-LN_IA18</f>
        <v>125161289</v>
      </c>
      <c r="E37" s="361">
        <f>D37-C37</f>
        <v>13147372</v>
      </c>
      <c r="F37" s="362">
        <f>IF(C37=0,0,E37/C37)</f>
        <v>0.11737266539835403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620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621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601</v>
      </c>
      <c r="C42" s="361">
        <v>52187742</v>
      </c>
      <c r="D42" s="361">
        <v>53498119</v>
      </c>
      <c r="E42" s="361">
        <f t="shared" ref="E42:E53" si="4">D42-C42</f>
        <v>1310377</v>
      </c>
      <c r="F42" s="362">
        <f t="shared" ref="F42:F53" si="5">IF(C42=0,0,E42/C42)</f>
        <v>2.5108903926136523E-2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602</v>
      </c>
      <c r="C43" s="361">
        <v>19689370</v>
      </c>
      <c r="D43" s="361">
        <v>19589882</v>
      </c>
      <c r="E43" s="361">
        <f t="shared" si="4"/>
        <v>-99488</v>
      </c>
      <c r="F43" s="362">
        <f t="shared" si="5"/>
        <v>-5.0528787868784021E-3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603</v>
      </c>
      <c r="C44" s="366">
        <f>IF(C42=0,0,C43/C42)</f>
        <v>0.37727959182445564</v>
      </c>
      <c r="D44" s="366">
        <f>IF(LN_IB1=0,0,LN_IB2/LN_IB1)</f>
        <v>0.36617889313080337</v>
      </c>
      <c r="E44" s="367">
        <f t="shared" si="4"/>
        <v>-1.1100698693652267E-2</v>
      </c>
      <c r="F44" s="362">
        <f t="shared" si="5"/>
        <v>-2.942300334871362E-2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2727</v>
      </c>
      <c r="D45" s="369">
        <v>2697</v>
      </c>
      <c r="E45" s="369">
        <f t="shared" si="4"/>
        <v>-30</v>
      </c>
      <c r="F45" s="362">
        <f t="shared" si="5"/>
        <v>-1.1001100110011002E-2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604</v>
      </c>
      <c r="C46" s="372">
        <v>0.95430999999999999</v>
      </c>
      <c r="D46" s="372">
        <v>0.96779999999999999</v>
      </c>
      <c r="E46" s="373">
        <f t="shared" si="4"/>
        <v>1.3490000000000002E-2</v>
      </c>
      <c r="F46" s="362">
        <f t="shared" si="5"/>
        <v>1.4135867799771565E-2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605</v>
      </c>
      <c r="C47" s="376">
        <f>C45*C46</f>
        <v>2602.40337</v>
      </c>
      <c r="D47" s="376">
        <f>LN_IB4*LN_IB5</f>
        <v>2610.1565999999998</v>
      </c>
      <c r="E47" s="376">
        <f t="shared" si="4"/>
        <v>7.7532299999998031</v>
      </c>
      <c r="F47" s="362">
        <f t="shared" si="5"/>
        <v>2.9792575929533179E-3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606</v>
      </c>
      <c r="C48" s="378">
        <f>IF(C47=0,0,C43/C47)</f>
        <v>7565.8409557008836</v>
      </c>
      <c r="D48" s="378">
        <f>IF(LN_IB6=0,0,LN_IB2/LN_IB6)</f>
        <v>7505.2516006127762</v>
      </c>
      <c r="E48" s="378">
        <f t="shared" si="4"/>
        <v>-60.589355088107368</v>
      </c>
      <c r="F48" s="362">
        <f t="shared" si="5"/>
        <v>-8.0082776578131887E-3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622</v>
      </c>
      <c r="C49" s="378">
        <f>C21-C48</f>
        <v>331.3011377695484</v>
      </c>
      <c r="D49" s="378">
        <f>LN_IA7-LN_IB7</f>
        <v>202.0973130667544</v>
      </c>
      <c r="E49" s="378">
        <f t="shared" si="4"/>
        <v>-129.20382470279401</v>
      </c>
      <c r="F49" s="362">
        <f t="shared" si="5"/>
        <v>-0.3899890763208535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623</v>
      </c>
      <c r="C50" s="391">
        <f>C49*C47</f>
        <v>862179.19741630706</v>
      </c>
      <c r="D50" s="391">
        <f>LN_IB8*LN_IB6</f>
        <v>527505.63554345514</v>
      </c>
      <c r="E50" s="391">
        <f t="shared" si="4"/>
        <v>-334673.56187285192</v>
      </c>
      <c r="F50" s="362">
        <f t="shared" si="5"/>
        <v>-0.38817169664469797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9867</v>
      </c>
      <c r="D51" s="369">
        <v>9500</v>
      </c>
      <c r="E51" s="369">
        <f t="shared" si="4"/>
        <v>-367</v>
      </c>
      <c r="F51" s="362">
        <f t="shared" si="5"/>
        <v>-3.7194689368602415E-2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607</v>
      </c>
      <c r="C52" s="378">
        <f>IF(C51=0,0,C43/C51)</f>
        <v>1995.4768419985812</v>
      </c>
      <c r="D52" s="378">
        <f>IF(LN_IB10=0,0,LN_IB2/LN_IB10)</f>
        <v>2062.0928421052631</v>
      </c>
      <c r="E52" s="378">
        <f t="shared" si="4"/>
        <v>66.616000106681895</v>
      </c>
      <c r="F52" s="362">
        <f t="shared" si="5"/>
        <v>3.3383499474723174E-2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608</v>
      </c>
      <c r="C53" s="379">
        <f>IF(C45=0,0,C51/C45)</f>
        <v>3.6182618261826183</v>
      </c>
      <c r="D53" s="379">
        <f>IF(LN_IB4=0,0,LN_IB10/LN_IB4)</f>
        <v>3.5224323322209861</v>
      </c>
      <c r="E53" s="379">
        <f t="shared" si="4"/>
        <v>-9.5829493961632206E-2</v>
      </c>
      <c r="F53" s="362">
        <f t="shared" si="5"/>
        <v>-2.6484952876595826E-2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624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610</v>
      </c>
      <c r="C56" s="361">
        <v>95460096</v>
      </c>
      <c r="D56" s="361">
        <v>104069021</v>
      </c>
      <c r="E56" s="361">
        <f t="shared" ref="E56:E63" si="6">D56-C56</f>
        <v>8608925</v>
      </c>
      <c r="F56" s="362">
        <f t="shared" ref="F56:F63" si="7">IF(C56=0,0,E56/C56)</f>
        <v>9.0183494053892421E-2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611</v>
      </c>
      <c r="C57" s="361">
        <v>32018163</v>
      </c>
      <c r="D57" s="361">
        <v>35773406</v>
      </c>
      <c r="E57" s="361">
        <f t="shared" si="6"/>
        <v>3755243</v>
      </c>
      <c r="F57" s="362">
        <f t="shared" si="7"/>
        <v>0.11728477364550864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612</v>
      </c>
      <c r="C58" s="366">
        <f>IF(C56=0,0,C57/C56)</f>
        <v>0.33540887073903636</v>
      </c>
      <c r="D58" s="366">
        <f>IF(LN_IB13=0,0,LN_IB14/LN_IB13)</f>
        <v>0.34374692541789165</v>
      </c>
      <c r="E58" s="367">
        <f t="shared" si="6"/>
        <v>8.3380546788552889E-3</v>
      </c>
      <c r="F58" s="362">
        <f t="shared" si="7"/>
        <v>2.4859374352512821E-2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613</v>
      </c>
      <c r="C59" s="366">
        <f>IF(C42=0,0,C56/C42)</f>
        <v>1.8291670101381279</v>
      </c>
      <c r="D59" s="366">
        <f>IF(LN_IB1=0,0,LN_IB13/LN_IB1)</f>
        <v>1.9452837397890568</v>
      </c>
      <c r="E59" s="367">
        <f t="shared" si="6"/>
        <v>0.1161167296509289</v>
      </c>
      <c r="F59" s="362">
        <f t="shared" si="7"/>
        <v>6.3480660326451249E-2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614</v>
      </c>
      <c r="C60" s="376">
        <f>C59*C45</f>
        <v>4988.1384366466746</v>
      </c>
      <c r="D60" s="376">
        <f>LN_IB16*LN_IB4</f>
        <v>5246.4302462110863</v>
      </c>
      <c r="E60" s="376">
        <f t="shared" si="6"/>
        <v>258.29180956441178</v>
      </c>
      <c r="F60" s="362">
        <f t="shared" si="7"/>
        <v>5.1781203117139428E-2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615</v>
      </c>
      <c r="C61" s="378">
        <f>IF(C60=0,0,C57/C60)</f>
        <v>6418.8601432490568</v>
      </c>
      <c r="D61" s="378">
        <f>IF(LN_IB17=0,0,LN_IB14/LN_IB17)</f>
        <v>6818.6184359994413</v>
      </c>
      <c r="E61" s="378">
        <f t="shared" si="6"/>
        <v>399.7582927503845</v>
      </c>
      <c r="F61" s="362">
        <f t="shared" si="7"/>
        <v>6.2278704291574963E-2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625</v>
      </c>
      <c r="C62" s="378">
        <f>C32-C61</f>
        <v>-67.947672477863307</v>
      </c>
      <c r="D62" s="378">
        <f>LN_IA16-LN_IB18</f>
        <v>-841.29201102574189</v>
      </c>
      <c r="E62" s="378">
        <f t="shared" si="6"/>
        <v>-773.34433854787858</v>
      </c>
      <c r="F62" s="362">
        <f t="shared" si="7"/>
        <v>11.381469156280911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626</v>
      </c>
      <c r="C63" s="361">
        <f>C62*C60</f>
        <v>-338932.39676750934</v>
      </c>
      <c r="D63" s="361">
        <f>LN_IB19*LN_IB17</f>
        <v>-4413779.8525412027</v>
      </c>
      <c r="E63" s="361">
        <f t="shared" si="6"/>
        <v>-4074847.4557736935</v>
      </c>
      <c r="F63" s="362">
        <f t="shared" si="7"/>
        <v>12.02259652555089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627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617</v>
      </c>
      <c r="C66" s="361">
        <f>C42+C56</f>
        <v>147647838</v>
      </c>
      <c r="D66" s="361">
        <f>LN_IB1+LN_IB13</f>
        <v>157567140</v>
      </c>
      <c r="E66" s="361">
        <f>D66-C66</f>
        <v>9919302</v>
      </c>
      <c r="F66" s="362">
        <f>IF(C66=0,0,E66/C66)</f>
        <v>6.7182168966131425E-2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618</v>
      </c>
      <c r="C67" s="361">
        <f>C43+C57</f>
        <v>51707533</v>
      </c>
      <c r="D67" s="361">
        <f>LN_IB2+LN_IB14</f>
        <v>55363288</v>
      </c>
      <c r="E67" s="361">
        <f>D67-C67</f>
        <v>3655755</v>
      </c>
      <c r="F67" s="362">
        <f>IF(C67=0,0,E67/C67)</f>
        <v>7.0700626927995197E-2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619</v>
      </c>
      <c r="C68" s="361">
        <f>C66-C67</f>
        <v>95940305</v>
      </c>
      <c r="D68" s="361">
        <f>LN_IB21-LN_IB22</f>
        <v>102203852</v>
      </c>
      <c r="E68" s="361">
        <f>D68-C68</f>
        <v>6263547</v>
      </c>
      <c r="F68" s="362">
        <f>IF(C68=0,0,E68/C68)</f>
        <v>6.5285877504767151E-2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628</v>
      </c>
      <c r="C70" s="353">
        <f>C50+C63</f>
        <v>523246.80064879771</v>
      </c>
      <c r="D70" s="353">
        <f>LN_IB9+LN_IB20</f>
        <v>-3886274.2169977473</v>
      </c>
      <c r="E70" s="361">
        <f>D70-C70</f>
        <v>-4409521.0176465446</v>
      </c>
      <c r="F70" s="362">
        <f>IF(C70=0,0,E70/C70)</f>
        <v>-8.4272297741313995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629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630</v>
      </c>
      <c r="C73" s="400">
        <v>137125385</v>
      </c>
      <c r="D73" s="400">
        <v>147824225</v>
      </c>
      <c r="E73" s="400">
        <f>D73-C73</f>
        <v>10698840</v>
      </c>
      <c r="F73" s="401">
        <f>IF(C73=0,0,E73/C73)</f>
        <v>7.8022315124220074E-2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631</v>
      </c>
      <c r="C74" s="400">
        <v>53243598</v>
      </c>
      <c r="D74" s="400">
        <v>55825182</v>
      </c>
      <c r="E74" s="400">
        <f>D74-C74</f>
        <v>2581584</v>
      </c>
      <c r="F74" s="401">
        <f>IF(C74=0,0,E74/C74)</f>
        <v>4.84862799843091E-2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632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633</v>
      </c>
      <c r="C76" s="353">
        <f>C73-C74</f>
        <v>83881787</v>
      </c>
      <c r="D76" s="353">
        <f>LN_IB32-LN_IB33</f>
        <v>91999043</v>
      </c>
      <c r="E76" s="400">
        <f>D76-C76</f>
        <v>8117256</v>
      </c>
      <c r="F76" s="401">
        <f>IF(C76=0,0,E76/C76)</f>
        <v>9.677018445017152E-2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634</v>
      </c>
      <c r="C77" s="366">
        <f>IF(C73=0,0,C76/C73)</f>
        <v>0.61171596345928214</v>
      </c>
      <c r="D77" s="366">
        <f>IF(LN_IB1=0,0,LN_IB34/LN_IB32)</f>
        <v>0.62235430627151944</v>
      </c>
      <c r="E77" s="405">
        <f>D77-C77</f>
        <v>1.06383428122373E-2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635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636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601</v>
      </c>
      <c r="C83" s="361">
        <v>3534949</v>
      </c>
      <c r="D83" s="361">
        <v>2077313</v>
      </c>
      <c r="E83" s="361">
        <f t="shared" ref="E83:E95" si="8">D83-C83</f>
        <v>-1457636</v>
      </c>
      <c r="F83" s="362">
        <f t="shared" ref="F83:F95" si="9">IF(C83=0,0,E83/C83)</f>
        <v>-0.41234993772187378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602</v>
      </c>
      <c r="C84" s="361">
        <v>1331824</v>
      </c>
      <c r="D84" s="361">
        <v>114962</v>
      </c>
      <c r="E84" s="361">
        <f t="shared" si="8"/>
        <v>-1216862</v>
      </c>
      <c r="F84" s="362">
        <f t="shared" si="9"/>
        <v>-0.91368078665048835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603</v>
      </c>
      <c r="C85" s="366">
        <f>IF(C83=0,0,C84/C83)</f>
        <v>0.37675904235110608</v>
      </c>
      <c r="D85" s="366">
        <f>IF(LN_IC1=0,0,LN_IC2/LN_IC1)</f>
        <v>5.5341684185291284E-2</v>
      </c>
      <c r="E85" s="367">
        <f t="shared" si="8"/>
        <v>-0.32141735816581479</v>
      </c>
      <c r="F85" s="362">
        <f t="shared" si="9"/>
        <v>-0.85311119849986838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89</v>
      </c>
      <c r="D86" s="369">
        <v>103</v>
      </c>
      <c r="E86" s="369">
        <f t="shared" si="8"/>
        <v>14</v>
      </c>
      <c r="F86" s="362">
        <f t="shared" si="9"/>
        <v>0.15730337078651685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604</v>
      </c>
      <c r="C87" s="372">
        <v>0.97438999999999998</v>
      </c>
      <c r="D87" s="372">
        <v>0.84660000000000002</v>
      </c>
      <c r="E87" s="373">
        <f t="shared" si="8"/>
        <v>-0.12778999999999996</v>
      </c>
      <c r="F87" s="362">
        <f t="shared" si="9"/>
        <v>-0.13114871868553654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605</v>
      </c>
      <c r="C88" s="376">
        <f>C86*C87</f>
        <v>86.720709999999997</v>
      </c>
      <c r="D88" s="376">
        <f>LN_IC4*LN_IC5</f>
        <v>87.199799999999996</v>
      </c>
      <c r="E88" s="376">
        <f t="shared" si="8"/>
        <v>0.47908999999999935</v>
      </c>
      <c r="F88" s="362">
        <f t="shared" si="9"/>
        <v>5.5245165774127003E-3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606</v>
      </c>
      <c r="C89" s="378">
        <f>IF(C88=0,0,C84/C88)</f>
        <v>15357.623340491562</v>
      </c>
      <c r="D89" s="378">
        <f>IF(LN_IC6=0,0,LN_IC2/LN_IC6)</f>
        <v>1318.3745834279437</v>
      </c>
      <c r="E89" s="378">
        <f t="shared" si="8"/>
        <v>-14039.248757063619</v>
      </c>
      <c r="F89" s="362">
        <f t="shared" si="9"/>
        <v>-0.91415503856303426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637</v>
      </c>
      <c r="C90" s="378">
        <f>C48-C89</f>
        <v>-7791.7823847906784</v>
      </c>
      <c r="D90" s="378">
        <f>LN_IB7-LN_IC7</f>
        <v>6186.8770171848328</v>
      </c>
      <c r="E90" s="378">
        <f t="shared" si="8"/>
        <v>13978.65940197551</v>
      </c>
      <c r="F90" s="362">
        <f t="shared" si="9"/>
        <v>-1.7940258995504581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638</v>
      </c>
      <c r="C91" s="378">
        <f>C21-C89</f>
        <v>-7460.48124702113</v>
      </c>
      <c r="D91" s="378">
        <f>LN_IA7-LN_IC7</f>
        <v>6388.9743302515872</v>
      </c>
      <c r="E91" s="378">
        <f t="shared" si="8"/>
        <v>13849.455577272718</v>
      </c>
      <c r="F91" s="362">
        <f t="shared" si="9"/>
        <v>-1.8563756302989998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623</v>
      </c>
      <c r="C92" s="353">
        <f>C91*C88</f>
        <v>-646978.2306833578</v>
      </c>
      <c r="D92" s="353">
        <f>LN_IC9*LN_IC6</f>
        <v>557117.28380307229</v>
      </c>
      <c r="E92" s="353">
        <f t="shared" si="8"/>
        <v>1204095.5144864302</v>
      </c>
      <c r="F92" s="362">
        <f t="shared" si="9"/>
        <v>-1.8611066916650787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459</v>
      </c>
      <c r="D93" s="369">
        <v>326</v>
      </c>
      <c r="E93" s="369">
        <f t="shared" si="8"/>
        <v>-133</v>
      </c>
      <c r="F93" s="362">
        <f t="shared" si="9"/>
        <v>-0.289760348583878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607</v>
      </c>
      <c r="C94" s="411">
        <f>IF(C93=0,0,C84/C93)</f>
        <v>2901.5773420479304</v>
      </c>
      <c r="D94" s="411">
        <f>IF(LN_IC11=0,0,LN_IC2/LN_IC11)</f>
        <v>352.64417177914112</v>
      </c>
      <c r="E94" s="411">
        <f t="shared" si="8"/>
        <v>-2548.9331702687891</v>
      </c>
      <c r="F94" s="362">
        <f t="shared" si="9"/>
        <v>-0.87846466586679184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608</v>
      </c>
      <c r="C95" s="379">
        <f>IF(C86=0,0,C93/C86)</f>
        <v>5.1573033707865168</v>
      </c>
      <c r="D95" s="379">
        <f>IF(LN_IC4=0,0,LN_IC11/LN_IC4)</f>
        <v>3.1650485436893203</v>
      </c>
      <c r="E95" s="379">
        <f t="shared" si="8"/>
        <v>-1.9922548270971965</v>
      </c>
      <c r="F95" s="362">
        <f t="shared" si="9"/>
        <v>-0.38629777693170042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639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610</v>
      </c>
      <c r="C98" s="361">
        <v>6987504</v>
      </c>
      <c r="D98" s="361">
        <v>7665602</v>
      </c>
      <c r="E98" s="361">
        <f t="shared" ref="E98:E106" si="10">D98-C98</f>
        <v>678098</v>
      </c>
      <c r="F98" s="362">
        <f t="shared" ref="F98:F106" si="11">IF(C98=0,0,E98/C98)</f>
        <v>9.704438094060483E-2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611</v>
      </c>
      <c r="C99" s="361">
        <v>1414373</v>
      </c>
      <c r="D99" s="361">
        <v>424229</v>
      </c>
      <c r="E99" s="361">
        <f t="shared" si="10"/>
        <v>-990144</v>
      </c>
      <c r="F99" s="362">
        <f t="shared" si="11"/>
        <v>-0.70005861254421575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612</v>
      </c>
      <c r="C100" s="366">
        <f>IF(C98=0,0,C99/C98)</f>
        <v>0.20241462473581409</v>
      </c>
      <c r="D100" s="366">
        <f>IF(LN_IC14=0,0,LN_IC15/LN_IC14)</f>
        <v>5.5341902697270219E-2</v>
      </c>
      <c r="E100" s="367">
        <f t="shared" si="10"/>
        <v>-0.14707272203854388</v>
      </c>
      <c r="F100" s="362">
        <f t="shared" si="11"/>
        <v>-0.72659138256684308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613</v>
      </c>
      <c r="C101" s="366">
        <f>IF(C83=0,0,C98/C83)</f>
        <v>1.9766916014912803</v>
      </c>
      <c r="D101" s="366">
        <f>IF(LN_IC1=0,0,LN_IC14/LN_IC1)</f>
        <v>3.6901526154219417</v>
      </c>
      <c r="E101" s="367">
        <f t="shared" si="10"/>
        <v>1.7134610139306614</v>
      </c>
      <c r="F101" s="362">
        <f t="shared" si="11"/>
        <v>0.86683274853698511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614</v>
      </c>
      <c r="C102" s="376">
        <f>C101*C86</f>
        <v>175.92555253272394</v>
      </c>
      <c r="D102" s="376">
        <f>LN_IC17*LN_IC4</f>
        <v>380.08571938846001</v>
      </c>
      <c r="E102" s="376">
        <f t="shared" si="10"/>
        <v>204.16016685573607</v>
      </c>
      <c r="F102" s="362">
        <f t="shared" si="11"/>
        <v>1.160491832576511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615</v>
      </c>
      <c r="C103" s="378">
        <f>IF(C102=0,0,C99/C102)</f>
        <v>8039.6109583734988</v>
      </c>
      <c r="D103" s="378">
        <f>IF(LN_IC18=0,0,LN_IC15/LN_IC18)</f>
        <v>1116.1403292987816</v>
      </c>
      <c r="E103" s="378">
        <f t="shared" si="10"/>
        <v>-6923.4706290747172</v>
      </c>
      <c r="F103" s="362">
        <f t="shared" si="11"/>
        <v>-0.86116985820858816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640</v>
      </c>
      <c r="C104" s="378">
        <f>C61-C103</f>
        <v>-1620.7508151244419</v>
      </c>
      <c r="D104" s="378">
        <f>LN_IB18-LN_IC19</f>
        <v>5702.4781067006597</v>
      </c>
      <c r="E104" s="378">
        <f t="shared" si="10"/>
        <v>7323.2289218251017</v>
      </c>
      <c r="F104" s="362">
        <f t="shared" si="11"/>
        <v>-4.518417546662052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641</v>
      </c>
      <c r="C105" s="378">
        <f>C32-C103</f>
        <v>-1688.6984876023052</v>
      </c>
      <c r="D105" s="378">
        <f>LN_IA16-LN_IC19</f>
        <v>4861.1860956749179</v>
      </c>
      <c r="E105" s="378">
        <f t="shared" si="10"/>
        <v>6549.8845832772231</v>
      </c>
      <c r="F105" s="362">
        <f t="shared" si="11"/>
        <v>-3.8786584054901727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626</v>
      </c>
      <c r="C106" s="361">
        <f>C105*C102</f>
        <v>-297085.21449261083</v>
      </c>
      <c r="D106" s="361">
        <f>LN_IC21*LN_IC18</f>
        <v>1847667.4142557804</v>
      </c>
      <c r="E106" s="361">
        <f t="shared" si="10"/>
        <v>2144752.6287483913</v>
      </c>
      <c r="F106" s="362">
        <f t="shared" si="11"/>
        <v>-7.2193179738392406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642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617</v>
      </c>
      <c r="C109" s="361">
        <f>C83+C98</f>
        <v>10522453</v>
      </c>
      <c r="D109" s="361">
        <f>LN_IC1+LN_IC14</f>
        <v>9742915</v>
      </c>
      <c r="E109" s="361">
        <f>D109-C109</f>
        <v>-779538</v>
      </c>
      <c r="F109" s="362">
        <f>IF(C109=0,0,E109/C109)</f>
        <v>-7.4083295976708097E-2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618</v>
      </c>
      <c r="C110" s="361">
        <f>C84+C99</f>
        <v>2746197</v>
      </c>
      <c r="D110" s="361">
        <f>LN_IC2+LN_IC15</f>
        <v>539191</v>
      </c>
      <c r="E110" s="361">
        <f>D110-C110</f>
        <v>-2207006</v>
      </c>
      <c r="F110" s="362">
        <f>IF(C110=0,0,E110/C110)</f>
        <v>-0.80365902373354858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619</v>
      </c>
      <c r="C111" s="361">
        <f>C109-C110</f>
        <v>7776256</v>
      </c>
      <c r="D111" s="361">
        <f>LN_IC23-LN_IC24</f>
        <v>9203724</v>
      </c>
      <c r="E111" s="361">
        <f>D111-C111</f>
        <v>1427468</v>
      </c>
      <c r="F111" s="362">
        <f>IF(C111=0,0,E111/C111)</f>
        <v>0.18356751629575982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628</v>
      </c>
      <c r="C113" s="361">
        <f>C92+C106</f>
        <v>-944063.44517596858</v>
      </c>
      <c r="D113" s="361">
        <f>LN_IC10+LN_IC22</f>
        <v>2404784.6980588529</v>
      </c>
      <c r="E113" s="361">
        <f>D113-C113</f>
        <v>3348848.1432348215</v>
      </c>
      <c r="F113" s="362">
        <f>IF(C113=0,0,E113/C113)</f>
        <v>-3.547270218275016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643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644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601</v>
      </c>
      <c r="C118" s="361">
        <v>14971910</v>
      </c>
      <c r="D118" s="361">
        <v>19360773</v>
      </c>
      <c r="E118" s="361">
        <f t="shared" ref="E118:E130" si="12">D118-C118</f>
        <v>4388863</v>
      </c>
      <c r="F118" s="362">
        <f t="shared" ref="F118:F130" si="13">IF(C118=0,0,E118/C118)</f>
        <v>0.29313981983594611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602</v>
      </c>
      <c r="C119" s="361">
        <v>4694083</v>
      </c>
      <c r="D119" s="361">
        <v>6098674</v>
      </c>
      <c r="E119" s="361">
        <f t="shared" si="12"/>
        <v>1404591</v>
      </c>
      <c r="F119" s="362">
        <f t="shared" si="13"/>
        <v>0.29922585518832967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603</v>
      </c>
      <c r="C120" s="366">
        <f>IF(C118=0,0,C119/C118)</f>
        <v>0.31352599634916323</v>
      </c>
      <c r="D120" s="366">
        <f>IF(LN_ID1=0,0,LN_1D2/LN_ID1)</f>
        <v>0.31500157560857722</v>
      </c>
      <c r="E120" s="367">
        <f t="shared" si="12"/>
        <v>1.4755792594139949E-3</v>
      </c>
      <c r="F120" s="362">
        <f t="shared" si="13"/>
        <v>4.7064016272854534E-3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1024</v>
      </c>
      <c r="D121" s="369">
        <v>1278</v>
      </c>
      <c r="E121" s="369">
        <f t="shared" si="12"/>
        <v>254</v>
      </c>
      <c r="F121" s="362">
        <f t="shared" si="13"/>
        <v>0.248046875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604</v>
      </c>
      <c r="C122" s="372">
        <v>0.76856000000000002</v>
      </c>
      <c r="D122" s="372">
        <v>0.71443000000000001</v>
      </c>
      <c r="E122" s="373">
        <f t="shared" si="12"/>
        <v>-5.4130000000000011E-2</v>
      </c>
      <c r="F122" s="362">
        <f t="shared" si="13"/>
        <v>-7.0430415322160933E-2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605</v>
      </c>
      <c r="C123" s="376">
        <f>C121*C122</f>
        <v>787.00544000000002</v>
      </c>
      <c r="D123" s="376">
        <f>LN_ID4*LN_ID5</f>
        <v>913.04154000000005</v>
      </c>
      <c r="E123" s="376">
        <f t="shared" si="12"/>
        <v>126.03610000000003</v>
      </c>
      <c r="F123" s="362">
        <f t="shared" si="13"/>
        <v>0.16014641525222498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606</v>
      </c>
      <c r="C124" s="378">
        <f>IF(C123=0,0,C119/C123)</f>
        <v>5964.4860904646348</v>
      </c>
      <c r="D124" s="378">
        <f>IF(LN_ID6=0,0,LN_1D2/LN_ID6)</f>
        <v>6679.5142748926837</v>
      </c>
      <c r="E124" s="378">
        <f t="shared" si="12"/>
        <v>715.02818442804892</v>
      </c>
      <c r="F124" s="362">
        <f t="shared" si="13"/>
        <v>0.11988093753310237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645</v>
      </c>
      <c r="C125" s="378">
        <f>C48-C124</f>
        <v>1601.3548652362488</v>
      </c>
      <c r="D125" s="378">
        <f>LN_IB7-LN_ID7</f>
        <v>825.73732572009249</v>
      </c>
      <c r="E125" s="378">
        <f t="shared" si="12"/>
        <v>-775.61753951615628</v>
      </c>
      <c r="F125" s="362">
        <f t="shared" si="13"/>
        <v>-0.48435081839385363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646</v>
      </c>
      <c r="C126" s="378">
        <f>C21-C124</f>
        <v>1932.6560030057972</v>
      </c>
      <c r="D126" s="378">
        <f>LN_IA7-LN_ID7</f>
        <v>1027.8346387868469</v>
      </c>
      <c r="E126" s="378">
        <f t="shared" si="12"/>
        <v>-904.82136421895029</v>
      </c>
      <c r="F126" s="362">
        <f t="shared" si="13"/>
        <v>-0.46817507244523132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623</v>
      </c>
      <c r="C127" s="391">
        <f>C126*C123</f>
        <v>1521010.7880142187</v>
      </c>
      <c r="D127" s="391">
        <f>LN_ID9*LN_ID6</f>
        <v>938455.72146328643</v>
      </c>
      <c r="E127" s="391">
        <f t="shared" si="12"/>
        <v>-582555.06655093224</v>
      </c>
      <c r="F127" s="362">
        <f t="shared" si="13"/>
        <v>-0.38300521675556087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4139</v>
      </c>
      <c r="D128" s="369">
        <v>4905</v>
      </c>
      <c r="E128" s="369">
        <f t="shared" si="12"/>
        <v>766</v>
      </c>
      <c r="F128" s="362">
        <f t="shared" si="13"/>
        <v>0.18506885721188693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607</v>
      </c>
      <c r="C129" s="378">
        <f>IF(C128=0,0,C119/C128)</f>
        <v>1134.1104131432712</v>
      </c>
      <c r="D129" s="378">
        <f>IF(LN_ID11=0,0,LN_1D2/LN_ID11)</f>
        <v>1243.3586136595311</v>
      </c>
      <c r="E129" s="378">
        <f t="shared" si="12"/>
        <v>109.24820051625989</v>
      </c>
      <c r="F129" s="362">
        <f t="shared" si="13"/>
        <v>9.6329421941793461E-2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608</v>
      </c>
      <c r="C130" s="379">
        <f>IF(C121=0,0,C128/C121)</f>
        <v>4.0419921875</v>
      </c>
      <c r="D130" s="379">
        <f>IF(LN_ID4=0,0,LN_ID11/LN_ID4)</f>
        <v>3.8380281690140845</v>
      </c>
      <c r="E130" s="379">
        <f t="shared" si="12"/>
        <v>-0.2039640184859155</v>
      </c>
      <c r="F130" s="362">
        <f t="shared" si="13"/>
        <v>-5.0461259949161022E-2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647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610</v>
      </c>
      <c r="C133" s="361">
        <v>16745465</v>
      </c>
      <c r="D133" s="361">
        <v>23091648</v>
      </c>
      <c r="E133" s="361">
        <f t="shared" ref="E133:E141" si="14">D133-C133</f>
        <v>6346183</v>
      </c>
      <c r="F133" s="362">
        <f t="shared" ref="F133:F141" si="15">IF(C133=0,0,E133/C133)</f>
        <v>0.37897920422036652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611</v>
      </c>
      <c r="C134" s="361">
        <v>3943322</v>
      </c>
      <c r="D134" s="361">
        <v>5206214</v>
      </c>
      <c r="E134" s="361">
        <f t="shared" si="14"/>
        <v>1262892</v>
      </c>
      <c r="F134" s="362">
        <f t="shared" si="15"/>
        <v>0.32026093735180644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612</v>
      </c>
      <c r="C135" s="366">
        <f>IF(C133=0,0,C134/C133)</f>
        <v>0.23548596590181281</v>
      </c>
      <c r="D135" s="366">
        <f>IF(LN_ID14=0,0,LN_ID15/LN_ID14)</f>
        <v>0.22545874595005086</v>
      </c>
      <c r="E135" s="367">
        <f t="shared" si="14"/>
        <v>-1.0027219951761951E-2</v>
      </c>
      <c r="F135" s="362">
        <f t="shared" si="15"/>
        <v>-4.2580966187780615E-2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613</v>
      </c>
      <c r="C136" s="366">
        <f>IF(C118=0,0,C133/C118)</f>
        <v>1.1184588339096349</v>
      </c>
      <c r="D136" s="366">
        <f>IF(LN_ID1=0,0,LN_ID14/LN_ID1)</f>
        <v>1.1927027913606549</v>
      </c>
      <c r="E136" s="367">
        <f t="shared" si="14"/>
        <v>7.4243957451020082E-2</v>
      </c>
      <c r="F136" s="362">
        <f t="shared" si="15"/>
        <v>6.6380590147870011E-2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614</v>
      </c>
      <c r="C137" s="376">
        <f>C136*C121</f>
        <v>1145.3018459234661</v>
      </c>
      <c r="D137" s="376">
        <f>LN_ID17*LN_ID4</f>
        <v>1524.2741673589171</v>
      </c>
      <c r="E137" s="376">
        <f t="shared" si="14"/>
        <v>378.97232143545102</v>
      </c>
      <c r="F137" s="362">
        <f t="shared" si="15"/>
        <v>0.33089296309470506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615</v>
      </c>
      <c r="C138" s="378">
        <f>IF(C137=0,0,C134/C137)</f>
        <v>3443.0416872509863</v>
      </c>
      <c r="D138" s="378">
        <f>IF(LN_ID18=0,0,LN_ID15/LN_ID18)</f>
        <v>3415.5364641655738</v>
      </c>
      <c r="E138" s="378">
        <f t="shared" si="14"/>
        <v>-27.505223085412581</v>
      </c>
      <c r="F138" s="362">
        <f t="shared" si="15"/>
        <v>-7.9886407380020605E-3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648</v>
      </c>
      <c r="C139" s="378">
        <f>C61-C138</f>
        <v>2975.8184559980705</v>
      </c>
      <c r="D139" s="378">
        <f>LN_IB18-LN_ID19</f>
        <v>3403.0819718338676</v>
      </c>
      <c r="E139" s="378">
        <f t="shared" si="14"/>
        <v>427.26351583579708</v>
      </c>
      <c r="F139" s="362">
        <f t="shared" si="15"/>
        <v>0.14357848845738663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649</v>
      </c>
      <c r="C140" s="378">
        <f>C32-C138</f>
        <v>2907.8707835202072</v>
      </c>
      <c r="D140" s="378">
        <f>LN_IA16-LN_ID19</f>
        <v>2561.7899608081257</v>
      </c>
      <c r="E140" s="378">
        <f t="shared" si="14"/>
        <v>-346.0808227120815</v>
      </c>
      <c r="F140" s="362">
        <f t="shared" si="15"/>
        <v>-0.11901519994403717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626</v>
      </c>
      <c r="C141" s="353">
        <f>C140*C137</f>
        <v>3330389.7760726088</v>
      </c>
      <c r="D141" s="353">
        <f>LN_ID21*LN_ID18</f>
        <v>3904870.2594592385</v>
      </c>
      <c r="E141" s="353">
        <f t="shared" si="14"/>
        <v>574480.48338662973</v>
      </c>
      <c r="F141" s="362">
        <f t="shared" si="15"/>
        <v>0.17249647098787663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650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617</v>
      </c>
      <c r="C144" s="361">
        <f>C118+C133</f>
        <v>31717375</v>
      </c>
      <c r="D144" s="361">
        <f>LN_ID1+LN_ID14</f>
        <v>42452421</v>
      </c>
      <c r="E144" s="361">
        <f>D144-C144</f>
        <v>10735046</v>
      </c>
      <c r="F144" s="362">
        <f>IF(C144=0,0,E144/C144)</f>
        <v>0.33845947213475264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618</v>
      </c>
      <c r="C145" s="361">
        <f>C119+C134</f>
        <v>8637405</v>
      </c>
      <c r="D145" s="361">
        <f>LN_1D2+LN_ID15</f>
        <v>11304888</v>
      </c>
      <c r="E145" s="361">
        <f>D145-C145</f>
        <v>2667483</v>
      </c>
      <c r="F145" s="362">
        <f>IF(C145=0,0,E145/C145)</f>
        <v>0.30882921432999844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619</v>
      </c>
      <c r="C146" s="361">
        <f>C144-C145</f>
        <v>23079970</v>
      </c>
      <c r="D146" s="361">
        <f>LN_ID23-LN_ID24</f>
        <v>31147533</v>
      </c>
      <c r="E146" s="361">
        <f>D146-C146</f>
        <v>8067563</v>
      </c>
      <c r="F146" s="362">
        <f>IF(C146=0,0,E146/C146)</f>
        <v>0.34954824464676515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628</v>
      </c>
      <c r="C148" s="361">
        <f>C127+C141</f>
        <v>4851400.5640868274</v>
      </c>
      <c r="D148" s="361">
        <f>LN_ID10+LN_ID22</f>
        <v>4843325.9809225248</v>
      </c>
      <c r="E148" s="361">
        <f>D148-C148</f>
        <v>-8074.5831643026322</v>
      </c>
      <c r="F148" s="415">
        <f>IF(C148=0,0,E148/C148)</f>
        <v>-1.6643818743964096E-3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651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652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601</v>
      </c>
      <c r="C153" s="361">
        <v>5952722</v>
      </c>
      <c r="D153" s="361">
        <v>2340357</v>
      </c>
      <c r="E153" s="361">
        <f t="shared" ref="E153:E165" si="16">D153-C153</f>
        <v>-3612365</v>
      </c>
      <c r="F153" s="362">
        <f t="shared" ref="F153:F165" si="17">IF(C153=0,0,E153/C153)</f>
        <v>-0.60684255034923518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602</v>
      </c>
      <c r="C154" s="361">
        <v>968163</v>
      </c>
      <c r="D154" s="361">
        <v>38957</v>
      </c>
      <c r="E154" s="361">
        <f t="shared" si="16"/>
        <v>-929206</v>
      </c>
      <c r="F154" s="362">
        <f t="shared" si="17"/>
        <v>-0.95976194091284217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603</v>
      </c>
      <c r="C155" s="366">
        <f>IF(C153=0,0,C154/C153)</f>
        <v>0.16264206526022884</v>
      </c>
      <c r="D155" s="366">
        <f>IF(LN_IE1=0,0,LN_IE2/LN_IE1)</f>
        <v>1.6645751054219504E-2</v>
      </c>
      <c r="E155" s="367">
        <f t="shared" si="16"/>
        <v>-0.14599631420600934</v>
      </c>
      <c r="F155" s="362">
        <f t="shared" si="17"/>
        <v>-0.89765408458392271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154</v>
      </c>
      <c r="D156" s="419">
        <v>61</v>
      </c>
      <c r="E156" s="419">
        <f t="shared" si="16"/>
        <v>-93</v>
      </c>
      <c r="F156" s="362">
        <f t="shared" si="17"/>
        <v>-0.60389610389610393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604</v>
      </c>
      <c r="C157" s="372">
        <v>1.09785</v>
      </c>
      <c r="D157" s="372">
        <v>0.91096999999999995</v>
      </c>
      <c r="E157" s="373">
        <f t="shared" si="16"/>
        <v>-0.18688000000000005</v>
      </c>
      <c r="F157" s="362">
        <f t="shared" si="17"/>
        <v>-0.17022361889146972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605</v>
      </c>
      <c r="C158" s="376">
        <f>C156*C157</f>
        <v>169.06889999999999</v>
      </c>
      <c r="D158" s="376">
        <f>LN_IE4*LN_IE5</f>
        <v>55.56917</v>
      </c>
      <c r="E158" s="376">
        <f t="shared" si="16"/>
        <v>-113.49972999999999</v>
      </c>
      <c r="F158" s="362">
        <f t="shared" si="17"/>
        <v>-0.67132234254791978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606</v>
      </c>
      <c r="C159" s="378">
        <f>IF(C158=0,0,C154/C158)</f>
        <v>5726.4405221776451</v>
      </c>
      <c r="D159" s="378">
        <f>IF(LN_IE6=0,0,LN_IE2/LN_IE6)</f>
        <v>701.05419965783187</v>
      </c>
      <c r="E159" s="378">
        <f t="shared" si="16"/>
        <v>-5025.3863225198129</v>
      </c>
      <c r="F159" s="362">
        <f t="shared" si="17"/>
        <v>-0.87757592226047676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653</v>
      </c>
      <c r="C160" s="378">
        <f>C48-C159</f>
        <v>1839.4004335232385</v>
      </c>
      <c r="D160" s="378">
        <f>LN_IB7-LN_IE7</f>
        <v>6804.197400954944</v>
      </c>
      <c r="E160" s="378">
        <f t="shared" si="16"/>
        <v>4964.7969674317055</v>
      </c>
      <c r="F160" s="362">
        <f t="shared" si="17"/>
        <v>2.6991387394217345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654</v>
      </c>
      <c r="C161" s="378">
        <f>C21-C159</f>
        <v>2170.7015712927869</v>
      </c>
      <c r="D161" s="378">
        <f>LN_IA7-LN_IE7</f>
        <v>7006.2947140216984</v>
      </c>
      <c r="E161" s="378">
        <f t="shared" si="16"/>
        <v>4835.5931427289115</v>
      </c>
      <c r="F161" s="362">
        <f t="shared" si="17"/>
        <v>2.2276637224936531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623</v>
      </c>
      <c r="C162" s="391">
        <f>C161*C158</f>
        <v>366998.126886743</v>
      </c>
      <c r="D162" s="391">
        <f>LN_IE9*LN_IE6</f>
        <v>389333.98203357315</v>
      </c>
      <c r="E162" s="391">
        <f t="shared" si="16"/>
        <v>22335.855146830145</v>
      </c>
      <c r="F162" s="362">
        <f t="shared" si="17"/>
        <v>6.0860951352275088E-2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847</v>
      </c>
      <c r="D163" s="369">
        <v>376</v>
      </c>
      <c r="E163" s="419">
        <f t="shared" si="16"/>
        <v>-471</v>
      </c>
      <c r="F163" s="362">
        <f t="shared" si="17"/>
        <v>-0.55608028335301063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607</v>
      </c>
      <c r="C164" s="378">
        <f>IF(C163=0,0,C154/C163)</f>
        <v>1143.0495867768595</v>
      </c>
      <c r="D164" s="378">
        <f>IF(LN_IE11=0,0,LN_IE2/LN_IE11)</f>
        <v>103.60904255319149</v>
      </c>
      <c r="E164" s="378">
        <f t="shared" si="16"/>
        <v>-1039.440544223668</v>
      </c>
      <c r="F164" s="362">
        <f t="shared" si="17"/>
        <v>-0.90935735093930126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608</v>
      </c>
      <c r="C165" s="379">
        <f>IF(C156=0,0,C163/C156)</f>
        <v>5.5</v>
      </c>
      <c r="D165" s="379">
        <f>IF(LN_IE4=0,0,LN_IE11/LN_IE4)</f>
        <v>6.1639344262295079</v>
      </c>
      <c r="E165" s="379">
        <f t="shared" si="16"/>
        <v>0.66393442622950793</v>
      </c>
      <c r="F165" s="362">
        <f t="shared" si="17"/>
        <v>0.1207153502235469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655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610</v>
      </c>
      <c r="C168" s="424">
        <v>4355980</v>
      </c>
      <c r="D168" s="424">
        <v>2441807</v>
      </c>
      <c r="E168" s="424">
        <f t="shared" ref="E168:E176" si="18">D168-C168</f>
        <v>-1914173</v>
      </c>
      <c r="F168" s="362">
        <f t="shared" ref="F168:F176" si="19">IF(C168=0,0,E168/C168)</f>
        <v>-0.4394356723400934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611</v>
      </c>
      <c r="C169" s="424">
        <v>994387</v>
      </c>
      <c r="D169" s="424">
        <v>23553</v>
      </c>
      <c r="E169" s="424">
        <f t="shared" si="18"/>
        <v>-970834</v>
      </c>
      <c r="F169" s="362">
        <f t="shared" si="19"/>
        <v>-0.97631405076695488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612</v>
      </c>
      <c r="C170" s="366">
        <f>IF(C168=0,0,C169/C168)</f>
        <v>0.22828089201511487</v>
      </c>
      <c r="D170" s="366">
        <f>IF(LN_IE14=0,0,LN_IE15/LN_IE14)</f>
        <v>9.6457254811702971E-3</v>
      </c>
      <c r="E170" s="367">
        <f t="shared" si="18"/>
        <v>-0.21863516653394457</v>
      </c>
      <c r="F170" s="362">
        <f t="shared" si="19"/>
        <v>-0.95774624237699391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613</v>
      </c>
      <c r="C171" s="366">
        <f>IF(C153=0,0,C168/C153)</f>
        <v>0.73176271292360029</v>
      </c>
      <c r="D171" s="366">
        <f>IF(LN_IE1=0,0,LN_IE14/LN_IE1)</f>
        <v>1.0433480874926346</v>
      </c>
      <c r="E171" s="367">
        <f t="shared" si="18"/>
        <v>0.31158537456903435</v>
      </c>
      <c r="F171" s="362">
        <f t="shared" si="19"/>
        <v>0.4258011088378118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614</v>
      </c>
      <c r="C172" s="376">
        <f>C171*C156</f>
        <v>112.69145779023444</v>
      </c>
      <c r="D172" s="376">
        <f>LN_IE17*LN_IE4</f>
        <v>63.644233337050714</v>
      </c>
      <c r="E172" s="376">
        <f t="shared" si="18"/>
        <v>-49.047224453183723</v>
      </c>
      <c r="F172" s="362">
        <f t="shared" si="19"/>
        <v>-0.43523462572008748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615</v>
      </c>
      <c r="C173" s="378">
        <f>IF(C172=0,0,C169/C172)</f>
        <v>8823.9784940129775</v>
      </c>
      <c r="D173" s="378">
        <f>IF(LN_IE18=0,0,LN_IE15/LN_IE18)</f>
        <v>370.07280573664383</v>
      </c>
      <c r="E173" s="378">
        <f t="shared" si="18"/>
        <v>-8453.9056882763343</v>
      </c>
      <c r="F173" s="362">
        <f t="shared" si="19"/>
        <v>-0.95806054989960188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656</v>
      </c>
      <c r="C174" s="378">
        <f>C61-C173</f>
        <v>-2405.1183507639207</v>
      </c>
      <c r="D174" s="378">
        <f>LN_IB18-LN_IE19</f>
        <v>6448.5456302627972</v>
      </c>
      <c r="E174" s="378">
        <f t="shared" si="18"/>
        <v>8853.6639810267188</v>
      </c>
      <c r="F174" s="362">
        <f t="shared" si="19"/>
        <v>-3.6811760129037276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657</v>
      </c>
      <c r="C175" s="378">
        <f>C32-C173</f>
        <v>-2473.066023241784</v>
      </c>
      <c r="D175" s="378">
        <f>LN_IA16-LN_IE19</f>
        <v>5607.2536192370553</v>
      </c>
      <c r="E175" s="378">
        <f t="shared" si="18"/>
        <v>8080.3196424788393</v>
      </c>
      <c r="F175" s="362">
        <f t="shared" si="19"/>
        <v>-3.2673287193064362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626</v>
      </c>
      <c r="C176" s="353">
        <f>C175*C172</f>
        <v>-278693.41537061444</v>
      </c>
      <c r="D176" s="353">
        <f>LN_IE21*LN_IE18</f>
        <v>356869.35772274528</v>
      </c>
      <c r="E176" s="353">
        <f t="shared" si="18"/>
        <v>635562.77309335978</v>
      </c>
      <c r="F176" s="362">
        <f t="shared" si="19"/>
        <v>-2.2805087527746943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658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617</v>
      </c>
      <c r="C179" s="361">
        <f>C153+C168</f>
        <v>10308702</v>
      </c>
      <c r="D179" s="361">
        <f>LN_IE1+LN_IE14</f>
        <v>4782164</v>
      </c>
      <c r="E179" s="361">
        <f>D179-C179</f>
        <v>-5526538</v>
      </c>
      <c r="F179" s="362">
        <f>IF(C179=0,0,E179/C179)</f>
        <v>-0.53610415743902584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618</v>
      </c>
      <c r="C180" s="361">
        <f>C154+C169</f>
        <v>1962550</v>
      </c>
      <c r="D180" s="361">
        <f>LN_IE15+LN_IE2</f>
        <v>62510</v>
      </c>
      <c r="E180" s="361">
        <f>D180-C180</f>
        <v>-1900040</v>
      </c>
      <c r="F180" s="362">
        <f>IF(C180=0,0,E180/C180)</f>
        <v>-0.96814858220172739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619</v>
      </c>
      <c r="C181" s="361">
        <f>C179-C180</f>
        <v>8346152</v>
      </c>
      <c r="D181" s="361">
        <f>LN_IE23-LN_IE24</f>
        <v>4719654</v>
      </c>
      <c r="E181" s="361">
        <f>D181-C181</f>
        <v>-3626498</v>
      </c>
      <c r="F181" s="362">
        <f>IF(C181=0,0,E181/C181)</f>
        <v>-0.43451137721910649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659</v>
      </c>
      <c r="C183" s="361">
        <f>C162+C176</f>
        <v>88304.711516128562</v>
      </c>
      <c r="D183" s="361">
        <f>LN_IE10+LN_IE22</f>
        <v>746203.33975631837</v>
      </c>
      <c r="E183" s="353">
        <f>D183-C183</f>
        <v>657898.62824018975</v>
      </c>
      <c r="F183" s="362">
        <f>IF(C183=0,0,E183/C183)</f>
        <v>7.4503230568849856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660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661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601</v>
      </c>
      <c r="C188" s="361">
        <f>C118+C153</f>
        <v>20924632</v>
      </c>
      <c r="D188" s="361">
        <f>LN_ID1+LN_IE1</f>
        <v>21701130</v>
      </c>
      <c r="E188" s="361">
        <f t="shared" ref="E188:E200" si="20">D188-C188</f>
        <v>776498</v>
      </c>
      <c r="F188" s="362">
        <f t="shared" ref="F188:F200" si="21">IF(C188=0,0,E188/C188)</f>
        <v>3.7109278672141047E-2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602</v>
      </c>
      <c r="C189" s="361">
        <f>C119+C154</f>
        <v>5662246</v>
      </c>
      <c r="D189" s="361">
        <f>LN_1D2+LN_IE2</f>
        <v>6137631</v>
      </c>
      <c r="E189" s="361">
        <f t="shared" si="20"/>
        <v>475385</v>
      </c>
      <c r="F189" s="362">
        <f t="shared" si="21"/>
        <v>8.3956966899707289E-2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603</v>
      </c>
      <c r="C190" s="366">
        <f>IF(C188=0,0,C189/C188)</f>
        <v>0.27060193937938787</v>
      </c>
      <c r="D190" s="366">
        <f>IF(LN_IF1=0,0,LN_IF2/LN_IF1)</f>
        <v>0.28282541047401677</v>
      </c>
      <c r="E190" s="367">
        <f t="shared" si="20"/>
        <v>1.2223471094628902E-2</v>
      </c>
      <c r="F190" s="362">
        <f t="shared" si="21"/>
        <v>4.517140979352486E-2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1178</v>
      </c>
      <c r="D191" s="369">
        <f>LN_ID4+LN_IE4</f>
        <v>1339</v>
      </c>
      <c r="E191" s="369">
        <f t="shared" si="20"/>
        <v>161</v>
      </c>
      <c r="F191" s="362">
        <f t="shared" si="21"/>
        <v>0.13667232597623091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604</v>
      </c>
      <c r="C192" s="372">
        <f>IF((C121+C156)=0,0,(C123+C158)/(C121+C156))</f>
        <v>0.81160809847198645</v>
      </c>
      <c r="D192" s="372">
        <f>IF((LN_ID4+LN_IE4)=0,0,(LN_ID6+LN_IE6)/(LN_ID4+LN_IE4))</f>
        <v>0.72338365197908894</v>
      </c>
      <c r="E192" s="373">
        <f t="shared" si="20"/>
        <v>-8.8224446492897513E-2</v>
      </c>
      <c r="F192" s="362">
        <f t="shared" si="21"/>
        <v>-0.10870326042704301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605</v>
      </c>
      <c r="C193" s="376">
        <f>C123+C158</f>
        <v>956.07434000000001</v>
      </c>
      <c r="D193" s="376">
        <f>LN_IF4*LN_IF5</f>
        <v>968.61071000000004</v>
      </c>
      <c r="E193" s="376">
        <f t="shared" si="20"/>
        <v>12.536370000000034</v>
      </c>
      <c r="F193" s="362">
        <f t="shared" si="21"/>
        <v>1.3112338105423929E-2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606</v>
      </c>
      <c r="C194" s="378">
        <f>IF(C193=0,0,C189/C193)</f>
        <v>5922.3909303956425</v>
      </c>
      <c r="D194" s="378">
        <f>IF(LN_IF6=0,0,LN_IF2/LN_IF6)</f>
        <v>6336.5301835243999</v>
      </c>
      <c r="E194" s="378">
        <f t="shared" si="20"/>
        <v>414.13925312875745</v>
      </c>
      <c r="F194" s="362">
        <f t="shared" si="21"/>
        <v>6.9927712978766682E-2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662</v>
      </c>
      <c r="C195" s="378">
        <f>C48-C194</f>
        <v>1643.4500253052411</v>
      </c>
      <c r="D195" s="378">
        <f>LN_IB7-LN_IF7</f>
        <v>1168.7214170883763</v>
      </c>
      <c r="E195" s="378">
        <f t="shared" si="20"/>
        <v>-474.72860821686481</v>
      </c>
      <c r="F195" s="362">
        <f t="shared" si="21"/>
        <v>-0.28886099419341488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663</v>
      </c>
      <c r="C196" s="378">
        <f>C21-C194</f>
        <v>1974.7511630747895</v>
      </c>
      <c r="D196" s="378">
        <f>LN_IA7-LN_IF7</f>
        <v>1370.8187301551307</v>
      </c>
      <c r="E196" s="378">
        <f t="shared" si="20"/>
        <v>-603.93243291965882</v>
      </c>
      <c r="F196" s="362">
        <f t="shared" si="21"/>
        <v>-0.30582710582092015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623</v>
      </c>
      <c r="C197" s="391">
        <f>C127+C162</f>
        <v>1888008.9149009618</v>
      </c>
      <c r="D197" s="391">
        <f>LN_IF9*LN_IF6</f>
        <v>1327789.7034968596</v>
      </c>
      <c r="E197" s="391">
        <f t="shared" si="20"/>
        <v>-560219.21140410216</v>
      </c>
      <c r="F197" s="362">
        <f t="shared" si="21"/>
        <v>-0.29672487612882337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4986</v>
      </c>
      <c r="D198" s="369">
        <f>LN_ID11+LN_IE11</f>
        <v>5281</v>
      </c>
      <c r="E198" s="369">
        <f t="shared" si="20"/>
        <v>295</v>
      </c>
      <c r="F198" s="362">
        <f t="shared" si="21"/>
        <v>5.9165663858804653E-2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607</v>
      </c>
      <c r="C199" s="432">
        <f>IF(C198=0,0,C189/C198)</f>
        <v>1135.6289610910549</v>
      </c>
      <c r="D199" s="432">
        <f>IF(LN_IF11=0,0,LN_IF2/LN_IF11)</f>
        <v>1162.2099981064193</v>
      </c>
      <c r="E199" s="432">
        <f t="shared" si="20"/>
        <v>26.581037015364473</v>
      </c>
      <c r="F199" s="362">
        <f t="shared" si="21"/>
        <v>2.3406445173630264E-2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608</v>
      </c>
      <c r="C200" s="379">
        <f>IF(C191=0,0,C198/C191)</f>
        <v>4.2325976230899833</v>
      </c>
      <c r="D200" s="379">
        <f>IF(LN_IF4=0,0,LN_IF11/LN_IF4)</f>
        <v>3.9439880507841671</v>
      </c>
      <c r="E200" s="379">
        <f t="shared" si="20"/>
        <v>-0.28860957230581619</v>
      </c>
      <c r="F200" s="362">
        <f t="shared" si="21"/>
        <v>-6.8187339786652923E-2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664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610</v>
      </c>
      <c r="C203" s="361">
        <f>C133+C168</f>
        <v>21101445</v>
      </c>
      <c r="D203" s="361">
        <f>LN_ID14+LN_IE14</f>
        <v>25533455</v>
      </c>
      <c r="E203" s="361">
        <f t="shared" ref="E203:E211" si="22">D203-C203</f>
        <v>4432010</v>
      </c>
      <c r="F203" s="362">
        <f t="shared" ref="F203:F211" si="23">IF(C203=0,0,E203/C203)</f>
        <v>0.21003348348892695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611</v>
      </c>
      <c r="C204" s="361">
        <f>C134+C169</f>
        <v>4937709</v>
      </c>
      <c r="D204" s="361">
        <f>LN_ID15+LN_IE15</f>
        <v>5229767</v>
      </c>
      <c r="E204" s="361">
        <f t="shared" si="22"/>
        <v>292058</v>
      </c>
      <c r="F204" s="362">
        <f t="shared" si="23"/>
        <v>5.9148483638869764E-2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612</v>
      </c>
      <c r="C205" s="366">
        <f>IF(C203=0,0,C204/C203)</f>
        <v>0.23399861952581921</v>
      </c>
      <c r="D205" s="366">
        <f>IF(LN_IF14=0,0,LN_IF15/LN_IF14)</f>
        <v>0.20482018590903581</v>
      </c>
      <c r="E205" s="367">
        <f t="shared" si="22"/>
        <v>-2.9178433616783406E-2</v>
      </c>
      <c r="F205" s="362">
        <f t="shared" si="23"/>
        <v>-0.12469489638832626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613</v>
      </c>
      <c r="C206" s="366">
        <f>IF(C188=0,0,C203/C188)</f>
        <v>1.0084499932902047</v>
      </c>
      <c r="D206" s="366">
        <f>IF(LN_IF1=0,0,LN_IF14/LN_IF1)</f>
        <v>1.1765956427153794</v>
      </c>
      <c r="E206" s="367">
        <f t="shared" si="22"/>
        <v>0.16814564942517474</v>
      </c>
      <c r="F206" s="362">
        <f t="shared" si="23"/>
        <v>0.16673672521586994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614</v>
      </c>
      <c r="C207" s="376">
        <f>C137+C172</f>
        <v>1257.9933037137005</v>
      </c>
      <c r="D207" s="376">
        <f>LN_ID18+LN_IE18</f>
        <v>1587.9184006959679</v>
      </c>
      <c r="E207" s="376">
        <f t="shared" si="22"/>
        <v>329.92509698226741</v>
      </c>
      <c r="F207" s="362">
        <f t="shared" si="23"/>
        <v>0.26226299934053798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615</v>
      </c>
      <c r="C208" s="378">
        <f>IF(C207=0,0,C204/C207)</f>
        <v>3925.0677928280493</v>
      </c>
      <c r="D208" s="378">
        <f>IF(LN_IF18=0,0,LN_IF15/LN_IF18)</f>
        <v>3293.473391143933</v>
      </c>
      <c r="E208" s="378">
        <f t="shared" si="22"/>
        <v>-631.59440168411629</v>
      </c>
      <c r="F208" s="362">
        <f t="shared" si="23"/>
        <v>-0.16091299183116692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665</v>
      </c>
      <c r="C209" s="378">
        <f>C61-C208</f>
        <v>2493.7923504210075</v>
      </c>
      <c r="D209" s="378">
        <f>LN_IB18-LN_IF19</f>
        <v>3525.1450448555083</v>
      </c>
      <c r="E209" s="378">
        <f t="shared" si="22"/>
        <v>1031.3526944345008</v>
      </c>
      <c r="F209" s="362">
        <f t="shared" si="23"/>
        <v>0.41356799184197734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666</v>
      </c>
      <c r="C210" s="378">
        <f>C32-C208</f>
        <v>2425.8446779431442</v>
      </c>
      <c r="D210" s="378">
        <f>LN_IA16-LN_IF19</f>
        <v>2683.8530338297664</v>
      </c>
      <c r="E210" s="378">
        <f t="shared" si="22"/>
        <v>258.00835588662221</v>
      </c>
      <c r="F210" s="362">
        <f t="shared" si="23"/>
        <v>0.1063581515471904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626</v>
      </c>
      <c r="C211" s="391">
        <f>C141+C176</f>
        <v>3051696.3607019945</v>
      </c>
      <c r="D211" s="353">
        <f>LN_IF21*LN_IF18</f>
        <v>4261739.6171819838</v>
      </c>
      <c r="E211" s="353">
        <f t="shared" si="22"/>
        <v>1210043.2564799893</v>
      </c>
      <c r="F211" s="362">
        <f t="shared" si="23"/>
        <v>0.39651495871680953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667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617</v>
      </c>
      <c r="C214" s="361">
        <f>C188+C203</f>
        <v>42026077</v>
      </c>
      <c r="D214" s="361">
        <f>LN_IF1+LN_IF14</f>
        <v>47234585</v>
      </c>
      <c r="E214" s="361">
        <f>D214-C214</f>
        <v>5208508</v>
      </c>
      <c r="F214" s="362">
        <f>IF(C214=0,0,E214/C214)</f>
        <v>0.12393514626644786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618</v>
      </c>
      <c r="C215" s="361">
        <f>C189+C204</f>
        <v>10599955</v>
      </c>
      <c r="D215" s="361">
        <f>LN_IF2+LN_IF15</f>
        <v>11367398</v>
      </c>
      <c r="E215" s="361">
        <f>D215-C215</f>
        <v>767443</v>
      </c>
      <c r="F215" s="362">
        <f>IF(C215=0,0,E215/C215)</f>
        <v>7.2400590379864821E-2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619</v>
      </c>
      <c r="C216" s="361">
        <f>C214-C215</f>
        <v>31426122</v>
      </c>
      <c r="D216" s="361">
        <f>LN_IF23-LN_IF24</f>
        <v>35867187</v>
      </c>
      <c r="E216" s="361">
        <f>D216-C216</f>
        <v>4441065</v>
      </c>
      <c r="F216" s="362">
        <f>IF(C216=0,0,E216/C216)</f>
        <v>0.14131762741836235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668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669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601</v>
      </c>
      <c r="C221" s="361">
        <v>84872</v>
      </c>
      <c r="D221" s="361">
        <v>165814</v>
      </c>
      <c r="E221" s="361">
        <f t="shared" ref="E221:E230" si="24">D221-C221</f>
        <v>80942</v>
      </c>
      <c r="F221" s="362">
        <f t="shared" ref="F221:F230" si="25">IF(C221=0,0,E221/C221)</f>
        <v>0.95369497596380437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602</v>
      </c>
      <c r="C222" s="361">
        <v>30178</v>
      </c>
      <c r="D222" s="361">
        <v>117332</v>
      </c>
      <c r="E222" s="361">
        <f t="shared" si="24"/>
        <v>87154</v>
      </c>
      <c r="F222" s="362">
        <f t="shared" si="25"/>
        <v>2.8879978792497845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603</v>
      </c>
      <c r="C223" s="366">
        <f>IF(C221=0,0,C222/C221)</f>
        <v>0.35557074182298049</v>
      </c>
      <c r="D223" s="366">
        <f>IF(LN_IG1=0,0,LN_IG2/LN_IG1)</f>
        <v>0.70761214372730896</v>
      </c>
      <c r="E223" s="367">
        <f t="shared" si="24"/>
        <v>0.35204140190432848</v>
      </c>
      <c r="F223" s="362">
        <f t="shared" si="25"/>
        <v>0.99007415542528221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6</v>
      </c>
      <c r="D224" s="369">
        <v>10</v>
      </c>
      <c r="E224" s="369">
        <f t="shared" si="24"/>
        <v>4</v>
      </c>
      <c r="F224" s="362">
        <f t="shared" si="25"/>
        <v>0.66666666666666663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604</v>
      </c>
      <c r="C225" s="372">
        <v>0.47225</v>
      </c>
      <c r="D225" s="372">
        <v>0.82528000000000001</v>
      </c>
      <c r="E225" s="373">
        <f t="shared" si="24"/>
        <v>0.35303000000000001</v>
      </c>
      <c r="F225" s="362">
        <f t="shared" si="25"/>
        <v>0.7475489677077819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605</v>
      </c>
      <c r="C226" s="376">
        <f>C224*C225</f>
        <v>2.8334999999999999</v>
      </c>
      <c r="D226" s="376">
        <f>LN_IG3*LN_IG4</f>
        <v>8.2528000000000006</v>
      </c>
      <c r="E226" s="376">
        <f t="shared" si="24"/>
        <v>5.4193000000000007</v>
      </c>
      <c r="F226" s="362">
        <f t="shared" si="25"/>
        <v>1.9125816128463033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606</v>
      </c>
      <c r="C227" s="378">
        <f>IF(C226=0,0,C222/C226)</f>
        <v>10650.432327510147</v>
      </c>
      <c r="D227" s="378">
        <f>IF(LN_IG5=0,0,LN_IG2/LN_IG5)</f>
        <v>14217.235362543621</v>
      </c>
      <c r="E227" s="378">
        <f t="shared" si="24"/>
        <v>3566.8030350334739</v>
      </c>
      <c r="F227" s="362">
        <f t="shared" si="25"/>
        <v>0.33489748822875431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16</v>
      </c>
      <c r="D228" s="369">
        <v>25</v>
      </c>
      <c r="E228" s="369">
        <f t="shared" si="24"/>
        <v>9</v>
      </c>
      <c r="F228" s="362">
        <f t="shared" si="25"/>
        <v>0.5625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607</v>
      </c>
      <c r="C229" s="378">
        <f>IF(C228=0,0,C222/C228)</f>
        <v>1886.125</v>
      </c>
      <c r="D229" s="378">
        <f>IF(LN_IG6=0,0,LN_IG2/LN_IG6)</f>
        <v>4693.28</v>
      </c>
      <c r="E229" s="378">
        <f t="shared" si="24"/>
        <v>2807.1549999999997</v>
      </c>
      <c r="F229" s="362">
        <f t="shared" si="25"/>
        <v>1.488318642719862</v>
      </c>
      <c r="Q229" s="330"/>
      <c r="U229" s="375"/>
    </row>
    <row r="230" spans="1:21" ht="11.25" customHeight="1" x14ac:dyDescent="0.2">
      <c r="A230" s="364">
        <v>10</v>
      </c>
      <c r="B230" s="360" t="s">
        <v>608</v>
      </c>
      <c r="C230" s="379">
        <f>IF(C224=0,0,C228/C224)</f>
        <v>2.6666666666666665</v>
      </c>
      <c r="D230" s="379">
        <f>IF(LN_IG3=0,0,LN_IG6/LN_IG3)</f>
        <v>2.5</v>
      </c>
      <c r="E230" s="379">
        <f t="shared" si="24"/>
        <v>-0.16666666666666652</v>
      </c>
      <c r="F230" s="362">
        <f t="shared" si="25"/>
        <v>-6.2499999999999944E-2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670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610</v>
      </c>
      <c r="C233" s="361">
        <v>256731</v>
      </c>
      <c r="D233" s="361">
        <v>437309</v>
      </c>
      <c r="E233" s="361">
        <f>D233-C233</f>
        <v>180578</v>
      </c>
      <c r="F233" s="362">
        <f>IF(C233=0,0,E233/C233)</f>
        <v>0.7033743490268024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611</v>
      </c>
      <c r="C234" s="361">
        <v>84855</v>
      </c>
      <c r="D234" s="361">
        <v>119245</v>
      </c>
      <c r="E234" s="361">
        <f>D234-C234</f>
        <v>34390</v>
      </c>
      <c r="F234" s="362">
        <f>IF(C234=0,0,E234/C234)</f>
        <v>0.4052795946025573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671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617</v>
      </c>
      <c r="C237" s="361">
        <f>C221+C233</f>
        <v>341603</v>
      </c>
      <c r="D237" s="361">
        <f>LN_IG1+LN_IG9</f>
        <v>603123</v>
      </c>
      <c r="E237" s="361">
        <f>D237-C237</f>
        <v>261520</v>
      </c>
      <c r="F237" s="362">
        <f>IF(C237=0,0,E237/C237)</f>
        <v>0.76556704712780621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618</v>
      </c>
      <c r="C238" s="361">
        <f>C222+C234</f>
        <v>115033</v>
      </c>
      <c r="D238" s="361">
        <f>LN_IG2+LN_IG10</f>
        <v>236577</v>
      </c>
      <c r="E238" s="361">
        <f>D238-C238</f>
        <v>121544</v>
      </c>
      <c r="F238" s="362">
        <f>IF(C238=0,0,E238/C238)</f>
        <v>1.0566011492354368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619</v>
      </c>
      <c r="C239" s="361">
        <f>C237-C238</f>
        <v>226570</v>
      </c>
      <c r="D239" s="361">
        <f>LN_IG13-LN_IG14</f>
        <v>366546</v>
      </c>
      <c r="E239" s="361">
        <f>D239-C239</f>
        <v>139976</v>
      </c>
      <c r="F239" s="362">
        <f>IF(C239=0,0,E239/C239)</f>
        <v>0.61780465198393431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672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673</v>
      </c>
      <c r="C243" s="361">
        <v>3255934</v>
      </c>
      <c r="D243" s="361">
        <v>3781488</v>
      </c>
      <c r="E243" s="353">
        <f>D243-C243</f>
        <v>525554</v>
      </c>
      <c r="F243" s="415">
        <f>IF(C243=0,0,E243/C243)</f>
        <v>0.16141420557050604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674</v>
      </c>
      <c r="C244" s="361">
        <v>119759030</v>
      </c>
      <c r="D244" s="361">
        <v>120493484</v>
      </c>
      <c r="E244" s="353">
        <f>D244-C244</f>
        <v>734454</v>
      </c>
      <c r="F244" s="415">
        <f>IF(C244=0,0,E244/C244)</f>
        <v>6.1327651033913685E-3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675</v>
      </c>
      <c r="C245" s="400">
        <v>595446</v>
      </c>
      <c r="D245" s="400">
        <v>529441</v>
      </c>
      <c r="E245" s="400">
        <f>D245-C245</f>
        <v>-66005</v>
      </c>
      <c r="F245" s="401">
        <f>IF(C245=0,0,E245/C245)</f>
        <v>-0.11084968242292333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676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677</v>
      </c>
      <c r="C248" s="353">
        <v>5752621</v>
      </c>
      <c r="D248" s="353">
        <v>8958645</v>
      </c>
      <c r="E248" s="353">
        <f>D248-C248</f>
        <v>3206024</v>
      </c>
      <c r="F248" s="362">
        <f>IF(C248=0,0,E248/C248)</f>
        <v>0.55731535242804975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678</v>
      </c>
      <c r="C249" s="353">
        <v>6305896</v>
      </c>
      <c r="D249" s="353">
        <v>1246161</v>
      </c>
      <c r="E249" s="353">
        <f>D249-C249</f>
        <v>-5059735</v>
      </c>
      <c r="F249" s="362">
        <f>IF(C249=0,0,E249/C249)</f>
        <v>-0.8023816123830777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679</v>
      </c>
      <c r="C250" s="353">
        <f>C248+C249</f>
        <v>12058517</v>
      </c>
      <c r="D250" s="353">
        <f>LN_IH4+LN_IH5</f>
        <v>10204806</v>
      </c>
      <c r="E250" s="353">
        <f>D250-C250</f>
        <v>-1853711</v>
      </c>
      <c r="F250" s="362">
        <f>IF(C250=0,0,E250/C250)</f>
        <v>-0.15372628325688806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680</v>
      </c>
      <c r="C251" s="353">
        <f>C250*C313</f>
        <v>3904783.9736992219</v>
      </c>
      <c r="D251" s="353">
        <f>LN_IH6*LN_III10</f>
        <v>3163197.0757066985</v>
      </c>
      <c r="E251" s="353">
        <f>D251-C251</f>
        <v>-741586.89799252339</v>
      </c>
      <c r="F251" s="362">
        <f>IF(C251=0,0,E251/C251)</f>
        <v>-0.18991752245130641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681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617</v>
      </c>
      <c r="C254" s="353">
        <f>C188+C203</f>
        <v>42026077</v>
      </c>
      <c r="D254" s="353">
        <f>LN_IF23</f>
        <v>47234585</v>
      </c>
      <c r="E254" s="353">
        <f>D254-C254</f>
        <v>5208508</v>
      </c>
      <c r="F254" s="362">
        <f>IF(C254=0,0,E254/C254)</f>
        <v>0.12393514626644786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618</v>
      </c>
      <c r="C255" s="353">
        <f>C189+C204</f>
        <v>10599955</v>
      </c>
      <c r="D255" s="353">
        <f>LN_IF24</f>
        <v>11367398</v>
      </c>
      <c r="E255" s="353">
        <f>D255-C255</f>
        <v>767443</v>
      </c>
      <c r="F255" s="362">
        <f>IF(C255=0,0,E255/C255)</f>
        <v>7.2400590379864821E-2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682</v>
      </c>
      <c r="C256" s="353">
        <f>C254*C313</f>
        <v>13608866.823926149</v>
      </c>
      <c r="D256" s="353">
        <f>LN_IH8*LN_III10</f>
        <v>14641366.150833193</v>
      </c>
      <c r="E256" s="353">
        <f>D256-C256</f>
        <v>1032499.3269070443</v>
      </c>
      <c r="F256" s="362">
        <f>IF(C256=0,0,E256/C256)</f>
        <v>7.586960327158003E-2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683</v>
      </c>
      <c r="C257" s="353">
        <f>C256-C255</f>
        <v>3008911.8239261489</v>
      </c>
      <c r="D257" s="353">
        <f>LN_IH10-LN_IH9</f>
        <v>3273968.1508331932</v>
      </c>
      <c r="E257" s="353">
        <f>D257-C257</f>
        <v>265056.32690704428</v>
      </c>
      <c r="F257" s="362">
        <f>IF(C257=0,0,E257/C257)</f>
        <v>8.8090426844475669E-2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684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685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686</v>
      </c>
      <c r="C261" s="361">
        <f>C15+C42+C188+C221</f>
        <v>177105304</v>
      </c>
      <c r="D261" s="361">
        <f>LN_IA1+LN_IB1+LN_IF1+LN_IG1</f>
        <v>184980450</v>
      </c>
      <c r="E261" s="361">
        <f t="shared" ref="E261:E274" si="26">D261-C261</f>
        <v>7875146</v>
      </c>
      <c r="F261" s="415">
        <f t="shared" ref="F261:F274" si="27">IF(C261=0,0,E261/C261)</f>
        <v>4.446589583787959E-2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687</v>
      </c>
      <c r="C262" s="361">
        <f>C16+C43+C189+C222</f>
        <v>63642339</v>
      </c>
      <c r="D262" s="361">
        <f>+LN_IA2+LN_IB2+LN_IF2+LN_IG2</f>
        <v>63258991</v>
      </c>
      <c r="E262" s="361">
        <f t="shared" si="26"/>
        <v>-383348</v>
      </c>
      <c r="F262" s="415">
        <f t="shared" si="27"/>
        <v>-6.023474404358394E-3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688</v>
      </c>
      <c r="C263" s="366">
        <f>IF(C261=0,0,C262/C261)</f>
        <v>0.35934744788896894</v>
      </c>
      <c r="D263" s="366">
        <f>IF(LN_IIA1=0,0,LN_IIA2/LN_IIA1)</f>
        <v>0.34197663050338561</v>
      </c>
      <c r="E263" s="367">
        <f t="shared" si="26"/>
        <v>-1.7370817385583326E-2</v>
      </c>
      <c r="F263" s="371">
        <f t="shared" si="27"/>
        <v>-4.8339893569942803E-2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689</v>
      </c>
      <c r="C264" s="369">
        <f>C18+C45+C191+C224</f>
        <v>7533</v>
      </c>
      <c r="D264" s="369">
        <f>LN_IA4+LN_IB4+LN_IF4+LN_IG3</f>
        <v>7719</v>
      </c>
      <c r="E264" s="369">
        <f t="shared" si="26"/>
        <v>186</v>
      </c>
      <c r="F264" s="415">
        <f t="shared" si="27"/>
        <v>2.4691358024691357E-2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690</v>
      </c>
      <c r="C265" s="439">
        <f>IF(C264=0,0,C266/C264)</f>
        <v>1.115912763839108</v>
      </c>
      <c r="D265" s="439">
        <f>IF(LN_IIA4=0,0,LN_IIA6/LN_IIA4)</f>
        <v>1.0935829900246148</v>
      </c>
      <c r="E265" s="439">
        <f t="shared" si="26"/>
        <v>-2.2329773814493192E-2</v>
      </c>
      <c r="F265" s="415">
        <f t="shared" si="27"/>
        <v>-2.0010322077212744E-2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691</v>
      </c>
      <c r="C266" s="376">
        <f>C20+C47+C193+C226</f>
        <v>8406.1708500000004</v>
      </c>
      <c r="D266" s="376">
        <f>LN_IA6+LN_IB6+LN_IF6+LN_IG5</f>
        <v>8441.3671000000013</v>
      </c>
      <c r="E266" s="376">
        <f t="shared" si="26"/>
        <v>35.196250000000873</v>
      </c>
      <c r="F266" s="415">
        <f t="shared" si="27"/>
        <v>4.1869539208807391E-3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692</v>
      </c>
      <c r="C267" s="361">
        <f>C27+C56+C203+C233</f>
        <v>176367618</v>
      </c>
      <c r="D267" s="361">
        <f>LN_IA11+LN_IB13+LN_IF14+LN_IG9</f>
        <v>196263741</v>
      </c>
      <c r="E267" s="361">
        <f t="shared" si="26"/>
        <v>19896123</v>
      </c>
      <c r="F267" s="415">
        <f t="shared" si="27"/>
        <v>0.11281052171379896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613</v>
      </c>
      <c r="C268" s="366">
        <f>IF(C261=0,0,C267/C261)</f>
        <v>0.99583476054449505</v>
      </c>
      <c r="D268" s="366">
        <f>IF(LN_IIA1=0,0,LN_IIA7/LN_IIA1)</f>
        <v>1.0609972080833407</v>
      </c>
      <c r="E268" s="367">
        <f t="shared" si="26"/>
        <v>6.5162447538845703E-2</v>
      </c>
      <c r="F268" s="371">
        <f t="shared" si="27"/>
        <v>6.5434999982543957E-2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693</v>
      </c>
      <c r="C269" s="361">
        <f>C28+C57+C204+C234</f>
        <v>50223669</v>
      </c>
      <c r="D269" s="361">
        <f>LN_IA12+LN_IB14+LN_IF15+LN_IG10</f>
        <v>54386326</v>
      </c>
      <c r="E269" s="361">
        <f t="shared" si="26"/>
        <v>4162657</v>
      </c>
      <c r="F269" s="415">
        <f t="shared" si="27"/>
        <v>8.2882375638466399E-2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612</v>
      </c>
      <c r="C270" s="366">
        <f>IF(C267=0,0,C269/C267)</f>
        <v>0.28476695194692714</v>
      </c>
      <c r="D270" s="366">
        <f>IF(LN_IIA7=0,0,LN_IIA9/LN_IIA7)</f>
        <v>0.27710837326798943</v>
      </c>
      <c r="E270" s="367">
        <f t="shared" si="26"/>
        <v>-7.6585786789377108E-3</v>
      </c>
      <c r="F270" s="371">
        <f t="shared" si="27"/>
        <v>-2.6894197611684458E-2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694</v>
      </c>
      <c r="C271" s="353">
        <f>C261+C267</f>
        <v>353472922</v>
      </c>
      <c r="D271" s="353">
        <f>LN_IIA1+LN_IIA7</f>
        <v>381244191</v>
      </c>
      <c r="E271" s="353">
        <f t="shared" si="26"/>
        <v>27771269</v>
      </c>
      <c r="F271" s="415">
        <f t="shared" si="27"/>
        <v>7.8566892317709136E-2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695</v>
      </c>
      <c r="C272" s="353">
        <f>C262+C269</f>
        <v>113866008</v>
      </c>
      <c r="D272" s="353">
        <f>LN_IIA2+LN_IIA9</f>
        <v>117645317</v>
      </c>
      <c r="E272" s="353">
        <f t="shared" si="26"/>
        <v>3779309</v>
      </c>
      <c r="F272" s="415">
        <f t="shared" si="27"/>
        <v>3.319084480418423E-2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696</v>
      </c>
      <c r="C273" s="366">
        <f>IF(C271=0,0,C272/C271)</f>
        <v>0.32213502340074579</v>
      </c>
      <c r="D273" s="366">
        <f>IF(LN_IIA11=0,0,LN_IIA12/LN_IIA11)</f>
        <v>0.30858258244254794</v>
      </c>
      <c r="E273" s="367">
        <f t="shared" si="26"/>
        <v>-1.3552440958197853E-2</v>
      </c>
      <c r="F273" s="371">
        <f t="shared" si="27"/>
        <v>-4.2070684569241026E-2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33581</v>
      </c>
      <c r="D274" s="421">
        <f>LN_IA8+LN_IB10+LN_IF11+LN_IG6</f>
        <v>33429</v>
      </c>
      <c r="E274" s="442">
        <f t="shared" si="26"/>
        <v>-152</v>
      </c>
      <c r="F274" s="371">
        <f t="shared" si="27"/>
        <v>-4.5263690777523008E-3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697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698</v>
      </c>
      <c r="C277" s="361">
        <f>C15+C188+C221</f>
        <v>124917562</v>
      </c>
      <c r="D277" s="361">
        <f>LN_IA1+LN_IF1+LN_IG1</f>
        <v>131482331</v>
      </c>
      <c r="E277" s="361">
        <f t="shared" ref="E277:E291" si="28">D277-C277</f>
        <v>6564769</v>
      </c>
      <c r="F277" s="415">
        <f t="shared" ref="F277:F291" si="29">IF(C277=0,0,E277/C277)</f>
        <v>5.2552810788926541E-2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699</v>
      </c>
      <c r="C278" s="361">
        <f>C16+C189+C222</f>
        <v>43952969</v>
      </c>
      <c r="D278" s="361">
        <f>LN_IA2+LN_IF2+LN_IG2</f>
        <v>43669109</v>
      </c>
      <c r="E278" s="361">
        <f t="shared" si="28"/>
        <v>-283860</v>
      </c>
      <c r="F278" s="415">
        <f t="shared" si="29"/>
        <v>-6.4582667896678379E-3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700</v>
      </c>
      <c r="C279" s="366">
        <f>IF(C277=0,0,C278/C277)</f>
        <v>0.35185580230904601</v>
      </c>
      <c r="D279" s="366">
        <f>IF(D277=0,0,LN_IIB2/D277)</f>
        <v>0.33212910562104347</v>
      </c>
      <c r="E279" s="367">
        <f t="shared" si="28"/>
        <v>-1.9726696688002532E-2</v>
      </c>
      <c r="F279" s="371">
        <f t="shared" si="29"/>
        <v>-5.6064719008601015E-2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701</v>
      </c>
      <c r="C280" s="369">
        <f>C18+C191+C224</f>
        <v>4806</v>
      </c>
      <c r="D280" s="369">
        <f>LN_IA4+LN_IF4+LN_IG3</f>
        <v>5022</v>
      </c>
      <c r="E280" s="369">
        <f t="shared" si="28"/>
        <v>216</v>
      </c>
      <c r="F280" s="415">
        <f t="shared" si="29"/>
        <v>4.49438202247191E-2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702</v>
      </c>
      <c r="C281" s="439">
        <f>IF(C280=0,0,C282/C280)</f>
        <v>1.2076087141073657</v>
      </c>
      <c r="D281" s="439">
        <f>IF(LN_IIB4=0,0,LN_IIB6/LN_IIB4)</f>
        <v>1.1611331142970929</v>
      </c>
      <c r="E281" s="439">
        <f t="shared" si="28"/>
        <v>-4.6475599810272827E-2</v>
      </c>
      <c r="F281" s="415">
        <f t="shared" si="29"/>
        <v>-3.8485644619272591E-2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703</v>
      </c>
      <c r="C282" s="376">
        <f>C20+C193+C226</f>
        <v>5803.7674799999995</v>
      </c>
      <c r="D282" s="376">
        <f>LN_IA6+LN_IF6+LN_IG5</f>
        <v>5831.2105000000001</v>
      </c>
      <c r="E282" s="376">
        <f t="shared" si="28"/>
        <v>27.443020000000615</v>
      </c>
      <c r="F282" s="415">
        <f t="shared" si="29"/>
        <v>4.7284837124454571E-3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704</v>
      </c>
      <c r="C283" s="361">
        <f>C27+C203+C233</f>
        <v>80907522</v>
      </c>
      <c r="D283" s="361">
        <f>LN_IA11+LN_IF14+LN_IG9</f>
        <v>92194720</v>
      </c>
      <c r="E283" s="361">
        <f t="shared" si="28"/>
        <v>11287198</v>
      </c>
      <c r="F283" s="415">
        <f t="shared" si="29"/>
        <v>0.13950739957157507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705</v>
      </c>
      <c r="C284" s="366">
        <f>IF(C277=0,0,C283/C277)</f>
        <v>0.64768732838381848</v>
      </c>
      <c r="D284" s="366">
        <f>IF(D277=0,0,LN_IIB7/D277)</f>
        <v>0.70119474836508644</v>
      </c>
      <c r="E284" s="367">
        <f t="shared" si="28"/>
        <v>5.3507419981267956E-2</v>
      </c>
      <c r="F284" s="371">
        <f t="shared" si="29"/>
        <v>8.2613041256782996E-2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706</v>
      </c>
      <c r="C285" s="361">
        <f>C28+C204+C234</f>
        <v>18205506</v>
      </c>
      <c r="D285" s="361">
        <f>LN_IA12+LN_IF15+LN_IG10</f>
        <v>18612920</v>
      </c>
      <c r="E285" s="361">
        <f t="shared" si="28"/>
        <v>407414</v>
      </c>
      <c r="F285" s="415">
        <f t="shared" si="29"/>
        <v>2.2378614469710428E-2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707</v>
      </c>
      <c r="C286" s="366">
        <f>IF(C283=0,0,C285/C283)</f>
        <v>0.22501623520245745</v>
      </c>
      <c r="D286" s="366">
        <f>IF(LN_IIB7=0,0,LN_IIB9/LN_IIB7)</f>
        <v>0.20188704949697769</v>
      </c>
      <c r="E286" s="367">
        <f t="shared" si="28"/>
        <v>-2.3129185705479754E-2</v>
      </c>
      <c r="F286" s="371">
        <f t="shared" si="29"/>
        <v>-0.10278896402594845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708</v>
      </c>
      <c r="C287" s="353">
        <f>C277+C283</f>
        <v>205825084</v>
      </c>
      <c r="D287" s="353">
        <f>D277+LN_IIB7</f>
        <v>223677051</v>
      </c>
      <c r="E287" s="353">
        <f t="shared" si="28"/>
        <v>17851967</v>
      </c>
      <c r="F287" s="415">
        <f t="shared" si="29"/>
        <v>8.6733680137839761E-2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709</v>
      </c>
      <c r="C288" s="353">
        <f>C278+C285</f>
        <v>62158475</v>
      </c>
      <c r="D288" s="353">
        <f>LN_IIB2+LN_IIB9</f>
        <v>62282029</v>
      </c>
      <c r="E288" s="353">
        <f t="shared" si="28"/>
        <v>123554</v>
      </c>
      <c r="F288" s="415">
        <f t="shared" si="29"/>
        <v>1.987725728470655E-3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710</v>
      </c>
      <c r="C289" s="366">
        <f>IF(C287=0,0,C288/C287)</f>
        <v>0.30199659726605527</v>
      </c>
      <c r="D289" s="366">
        <f>IF(LN_IIB11=0,0,LN_IIB12/LN_IIB11)</f>
        <v>0.27844621842765621</v>
      </c>
      <c r="E289" s="367">
        <f t="shared" si="28"/>
        <v>-2.3550378838399055E-2</v>
      </c>
      <c r="F289" s="371">
        <f t="shared" si="29"/>
        <v>-7.7982265534109516E-2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23714</v>
      </c>
      <c r="D290" s="421">
        <f>LN_IA8+LN_IF11+LN_IG6</f>
        <v>23929</v>
      </c>
      <c r="E290" s="442">
        <f t="shared" si="28"/>
        <v>215</v>
      </c>
      <c r="F290" s="371">
        <f t="shared" si="29"/>
        <v>9.0663742936661889E-3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711</v>
      </c>
      <c r="C291" s="361">
        <f>C287-C288</f>
        <v>143666609</v>
      </c>
      <c r="D291" s="429">
        <f>LN_IIB11-LN_IIB12</f>
        <v>161395022</v>
      </c>
      <c r="E291" s="353">
        <f t="shared" si="28"/>
        <v>17728413</v>
      </c>
      <c r="F291" s="415">
        <f t="shared" si="29"/>
        <v>0.1233996759817725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608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599</v>
      </c>
      <c r="C294" s="379">
        <f>IF(C18=0,0,C22/C18)</f>
        <v>5.1662065157371622</v>
      </c>
      <c r="D294" s="379">
        <f>IF(LN_IA4=0,0,LN_IA8/LN_IA4)</f>
        <v>5.0702423087394504</v>
      </c>
      <c r="E294" s="379">
        <f t="shared" ref="E294:E300" si="30">D294-C294</f>
        <v>-9.5964206997711798E-2</v>
      </c>
      <c r="F294" s="415">
        <f t="shared" ref="F294:F300" si="31">IF(C294=0,0,E294/C294)</f>
        <v>-1.8575371833353577E-2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620</v>
      </c>
      <c r="C295" s="379">
        <f>IF(C45=0,0,C51/C45)</f>
        <v>3.6182618261826183</v>
      </c>
      <c r="D295" s="379">
        <f>IF(LN_IB4=0,0,(LN_IB10)/(LN_IB4))</f>
        <v>3.5224323322209861</v>
      </c>
      <c r="E295" s="379">
        <f t="shared" si="30"/>
        <v>-9.5829493961632206E-2</v>
      </c>
      <c r="F295" s="415">
        <f t="shared" si="31"/>
        <v>-2.6484952876595826E-2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635</v>
      </c>
      <c r="C296" s="379">
        <f>IF(C86=0,0,C93/C86)</f>
        <v>5.1573033707865168</v>
      </c>
      <c r="D296" s="379">
        <f>IF(LN_IC4=0,0,LN_IC11/LN_IC4)</f>
        <v>3.1650485436893203</v>
      </c>
      <c r="E296" s="379">
        <f t="shared" si="30"/>
        <v>-1.9922548270971965</v>
      </c>
      <c r="F296" s="415">
        <f t="shared" si="31"/>
        <v>-0.38629777693170042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4.0419921875</v>
      </c>
      <c r="D297" s="379">
        <f>IF(LN_ID4=0,0,LN_ID11/LN_ID4)</f>
        <v>3.8380281690140845</v>
      </c>
      <c r="E297" s="379">
        <f t="shared" si="30"/>
        <v>-0.2039640184859155</v>
      </c>
      <c r="F297" s="415">
        <f t="shared" si="31"/>
        <v>-5.0461259949161022E-2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712</v>
      </c>
      <c r="C298" s="379">
        <f>IF(C156=0,0,C163/C156)</f>
        <v>5.5</v>
      </c>
      <c r="D298" s="379">
        <f>IF(LN_IE4=0,0,LN_IE11/LN_IE4)</f>
        <v>6.1639344262295079</v>
      </c>
      <c r="E298" s="379">
        <f t="shared" si="30"/>
        <v>0.66393442622950793</v>
      </c>
      <c r="F298" s="415">
        <f t="shared" si="31"/>
        <v>0.1207153502235469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2.6666666666666665</v>
      </c>
      <c r="D299" s="379">
        <f>IF(LN_IG3=0,0,LN_IG6/LN_IG3)</f>
        <v>2.5</v>
      </c>
      <c r="E299" s="379">
        <f t="shared" si="30"/>
        <v>-0.16666666666666652</v>
      </c>
      <c r="F299" s="415">
        <f t="shared" si="31"/>
        <v>-6.2499999999999944E-2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713</v>
      </c>
      <c r="C300" s="379">
        <f>IF(C264=0,0,C274/C264)</f>
        <v>4.4578521173503249</v>
      </c>
      <c r="D300" s="379">
        <f>IF(LN_IIA4=0,0,LN_IIA14/LN_IIA4)</f>
        <v>4.330742324135251</v>
      </c>
      <c r="E300" s="379">
        <f t="shared" si="30"/>
        <v>-0.12710979321507399</v>
      </c>
      <c r="F300" s="415">
        <f t="shared" si="31"/>
        <v>-2.8513685485517179E-2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714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708</v>
      </c>
      <c r="C304" s="353">
        <f>C35+C66+C214+C221+C233</f>
        <v>353472922</v>
      </c>
      <c r="D304" s="353">
        <f>LN_IIA11</f>
        <v>381244191</v>
      </c>
      <c r="E304" s="353">
        <f t="shared" ref="E304:E316" si="32">D304-C304</f>
        <v>27771269</v>
      </c>
      <c r="F304" s="362">
        <f>IF(C304=0,0,E304/C304)</f>
        <v>7.8566892317709136E-2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711</v>
      </c>
      <c r="C305" s="353">
        <f>C291</f>
        <v>143666609</v>
      </c>
      <c r="D305" s="353">
        <f>LN_IIB14</f>
        <v>161395022</v>
      </c>
      <c r="E305" s="353">
        <f t="shared" si="32"/>
        <v>17728413</v>
      </c>
      <c r="F305" s="362">
        <f>IF(C305=0,0,E305/C305)</f>
        <v>0.1233996759817725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715</v>
      </c>
      <c r="C306" s="353">
        <f>C250</f>
        <v>12058517</v>
      </c>
      <c r="D306" s="353">
        <f>LN_IH6</f>
        <v>10204806</v>
      </c>
      <c r="E306" s="353">
        <f t="shared" si="32"/>
        <v>-1853711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716</v>
      </c>
      <c r="C307" s="353">
        <f>C73-C74</f>
        <v>83881787</v>
      </c>
      <c r="D307" s="353">
        <f>LN_IB32-LN_IB33</f>
        <v>91999043</v>
      </c>
      <c r="E307" s="353">
        <f t="shared" si="32"/>
        <v>8117256</v>
      </c>
      <c r="F307" s="362">
        <f t="shared" ref="F307:F316" si="33">IF(C307=0,0,E307/C307)</f>
        <v>9.677018445017152E-2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717</v>
      </c>
      <c r="C308" s="353">
        <v>0</v>
      </c>
      <c r="D308" s="353">
        <v>0</v>
      </c>
      <c r="E308" s="353">
        <f t="shared" si="32"/>
        <v>0</v>
      </c>
      <c r="F308" s="362">
        <f t="shared" si="33"/>
        <v>0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718</v>
      </c>
      <c r="C309" s="353">
        <f>C305+C307+C308+C306</f>
        <v>239606913</v>
      </c>
      <c r="D309" s="353">
        <f>LN_III2+LN_III3+LN_III4+LN_III5</f>
        <v>263598871</v>
      </c>
      <c r="E309" s="353">
        <f t="shared" si="32"/>
        <v>23991958</v>
      </c>
      <c r="F309" s="362">
        <f t="shared" si="33"/>
        <v>0.10013049164403699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719</v>
      </c>
      <c r="C310" s="353">
        <f>C304-C309</f>
        <v>113866009</v>
      </c>
      <c r="D310" s="353">
        <f>LN_III1-LN_III6</f>
        <v>117645320</v>
      </c>
      <c r="E310" s="353">
        <f t="shared" si="32"/>
        <v>3779311</v>
      </c>
      <c r="F310" s="362">
        <f t="shared" si="33"/>
        <v>3.3190862077198124E-2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720</v>
      </c>
      <c r="C311" s="353">
        <f>C245</f>
        <v>595446</v>
      </c>
      <c r="D311" s="353">
        <f>LN_IH3</f>
        <v>529441</v>
      </c>
      <c r="E311" s="353">
        <f t="shared" si="32"/>
        <v>-66005</v>
      </c>
      <c r="F311" s="362">
        <f t="shared" si="33"/>
        <v>-0.11084968242292333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721</v>
      </c>
      <c r="C312" s="353">
        <f>C310+C311</f>
        <v>114461455</v>
      </c>
      <c r="D312" s="353">
        <f>LN_III7+LN_III8</f>
        <v>118174761</v>
      </c>
      <c r="E312" s="353">
        <f t="shared" si="32"/>
        <v>3713306</v>
      </c>
      <c r="F312" s="362">
        <f t="shared" si="33"/>
        <v>3.2441541128408684E-2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722</v>
      </c>
      <c r="C313" s="448">
        <f>IF(C304=0,0,C312/C304)</f>
        <v>0.32381958525241716</v>
      </c>
      <c r="D313" s="448">
        <f>IF(LN_III1=0,0,LN_III9/LN_III1)</f>
        <v>0.30997130917596066</v>
      </c>
      <c r="E313" s="448">
        <f t="shared" si="32"/>
        <v>-1.38482760764565E-2</v>
      </c>
      <c r="F313" s="362">
        <f t="shared" si="33"/>
        <v>-4.2765406130891616E-2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680</v>
      </c>
      <c r="C314" s="353">
        <f>C306*C313</f>
        <v>3904783.9736992219</v>
      </c>
      <c r="D314" s="353">
        <f>D313*LN_III5</f>
        <v>3163197.0757066985</v>
      </c>
      <c r="E314" s="353">
        <f t="shared" si="32"/>
        <v>-741586.89799252339</v>
      </c>
      <c r="F314" s="362">
        <f t="shared" si="33"/>
        <v>-0.18991752245130641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683</v>
      </c>
      <c r="C315" s="353">
        <f>(C214*C313)-C215</f>
        <v>3008911.8239261489</v>
      </c>
      <c r="D315" s="353">
        <f>D313*LN_IH8-LN_IH9</f>
        <v>3273968.1508331932</v>
      </c>
      <c r="E315" s="353">
        <f t="shared" si="32"/>
        <v>265056.32690704428</v>
      </c>
      <c r="F315" s="362">
        <f t="shared" si="33"/>
        <v>8.8090426844475669E-2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723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724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725</v>
      </c>
      <c r="C318" s="353">
        <f>C314+C315+C316</f>
        <v>6913695.7976253703</v>
      </c>
      <c r="D318" s="353">
        <f>D314+D315+D316</f>
        <v>6437165.2265398912</v>
      </c>
      <c r="E318" s="353">
        <f>D318-C318</f>
        <v>-476530.57108547911</v>
      </c>
      <c r="F318" s="362">
        <f>IF(C318=0,0,E318/C318)</f>
        <v>-6.8925591323985042E-2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726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3330389.7760726088</v>
      </c>
      <c r="D322" s="353">
        <f>LN_ID22</f>
        <v>3904870.2594592385</v>
      </c>
      <c r="E322" s="353">
        <f>LN_IV2-C322</f>
        <v>574480.48338662973</v>
      </c>
      <c r="F322" s="362">
        <f>IF(C322=0,0,E322/C322)</f>
        <v>0.17249647098787663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712</v>
      </c>
      <c r="C323" s="353">
        <f>C162+C176</f>
        <v>88304.711516128562</v>
      </c>
      <c r="D323" s="353">
        <f>LN_IE10+LN_IE22</f>
        <v>746203.33975631837</v>
      </c>
      <c r="E323" s="353">
        <f>LN_IV3-C323</f>
        <v>657898.62824018975</v>
      </c>
      <c r="F323" s="362">
        <f>IF(C323=0,0,E323/C323)</f>
        <v>7.4503230568849856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727</v>
      </c>
      <c r="C324" s="353">
        <f>C92+C106</f>
        <v>-944063.44517596858</v>
      </c>
      <c r="D324" s="353">
        <f>LN_IC10+LN_IC22</f>
        <v>2404784.6980588529</v>
      </c>
      <c r="E324" s="353">
        <f>LN_IV1-C324</f>
        <v>3348848.1432348215</v>
      </c>
      <c r="F324" s="362">
        <f>IF(C324=0,0,E324/C324)</f>
        <v>-3.547270218275016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728</v>
      </c>
      <c r="C325" s="429">
        <f>C324+C322+C323</f>
        <v>2474631.0424127686</v>
      </c>
      <c r="D325" s="429">
        <f>LN_IV1+LN_IV2+LN_IV3</f>
        <v>7055858.2972744098</v>
      </c>
      <c r="E325" s="353">
        <f>LN_IV4-C325</f>
        <v>4581227.2548616417</v>
      </c>
      <c r="F325" s="362">
        <f>IF(C325=0,0,E325/C325)</f>
        <v>1.8512768878850476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729</v>
      </c>
      <c r="B327" s="446" t="s">
        <v>730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731</v>
      </c>
      <c r="C329" s="431">
        <v>0</v>
      </c>
      <c r="D329" s="431">
        <v>0</v>
      </c>
      <c r="E329" s="431">
        <f t="shared" ref="E329:E335" si="34">D329-C329</f>
        <v>0</v>
      </c>
      <c r="F329" s="462">
        <f t="shared" ref="F329:F335" si="35">IF(C329=0,0,E329/C329)</f>
        <v>0</v>
      </c>
    </row>
    <row r="330" spans="1:22" s="333" customFormat="1" ht="11.25" customHeight="1" x14ac:dyDescent="0.2">
      <c r="A330" s="364">
        <v>2</v>
      </c>
      <c r="B330" s="360" t="s">
        <v>732</v>
      </c>
      <c r="C330" s="429">
        <v>4850843</v>
      </c>
      <c r="D330" s="429">
        <v>-88277</v>
      </c>
      <c r="E330" s="431">
        <f t="shared" si="34"/>
        <v>-4939120</v>
      </c>
      <c r="F330" s="463">
        <f t="shared" si="35"/>
        <v>-1.018198280175219</v>
      </c>
    </row>
    <row r="331" spans="1:22" s="333" customFormat="1" ht="11.25" customHeight="1" x14ac:dyDescent="0.2">
      <c r="A331" s="339">
        <v>3</v>
      </c>
      <c r="B331" s="360" t="s">
        <v>733</v>
      </c>
      <c r="C331" s="429">
        <v>119312297</v>
      </c>
      <c r="D331" s="429">
        <v>118086481</v>
      </c>
      <c r="E331" s="431">
        <f t="shared" si="34"/>
        <v>-1225816</v>
      </c>
      <c r="F331" s="462">
        <f t="shared" si="35"/>
        <v>-1.0274012242007208E-2</v>
      </c>
    </row>
    <row r="332" spans="1:22" s="333" customFormat="1" ht="11.25" customHeight="1" x14ac:dyDescent="0.2">
      <c r="A332" s="364">
        <v>4</v>
      </c>
      <c r="B332" s="360" t="s">
        <v>734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735</v>
      </c>
      <c r="C333" s="429">
        <v>353472922</v>
      </c>
      <c r="D333" s="429">
        <v>381244191</v>
      </c>
      <c r="E333" s="431">
        <f t="shared" si="34"/>
        <v>27771269</v>
      </c>
      <c r="F333" s="462">
        <f t="shared" si="35"/>
        <v>7.8566892317709136E-2</v>
      </c>
    </row>
    <row r="334" spans="1:22" s="333" customFormat="1" ht="11.25" customHeight="1" x14ac:dyDescent="0.2">
      <c r="A334" s="339">
        <v>6</v>
      </c>
      <c r="B334" s="360" t="s">
        <v>736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737</v>
      </c>
      <c r="C335" s="429">
        <v>12058517</v>
      </c>
      <c r="D335" s="429">
        <v>10204809</v>
      </c>
      <c r="E335" s="429">
        <f t="shared" si="34"/>
        <v>-1853708</v>
      </c>
      <c r="F335" s="462">
        <f t="shared" si="35"/>
        <v>-0.15372603447007621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r:id="rId1"/>
  <headerFooter>
    <oddHeader>&amp;LOFFICE OF HEALTH CARE ACCESS&amp;CTWELVE MONTHS ACTUAL FILING&amp;RGRIFFIN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3"/>
  <sheetViews>
    <sheetView zoomScale="75" zoomScaleSheetLayoutView="68" workbookViewId="0">
      <selection activeCell="H27" sqref="H27"/>
    </sheetView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8.5703125" style="330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590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738</v>
      </c>
      <c r="B5" s="710"/>
      <c r="C5" s="710"/>
      <c r="D5" s="710"/>
      <c r="E5" s="710"/>
    </row>
    <row r="6" spans="1:5" s="338" customFormat="1" ht="15.75" customHeight="1" x14ac:dyDescent="0.25">
      <c r="A6" s="710" t="s">
        <v>739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740</v>
      </c>
      <c r="D9" s="494" t="s">
        <v>741</v>
      </c>
      <c r="E9" s="495" t="s">
        <v>742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743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744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620</v>
      </c>
      <c r="C14" s="513">
        <v>52187742</v>
      </c>
      <c r="D14" s="513">
        <v>53498119</v>
      </c>
      <c r="E14" s="514">
        <f t="shared" ref="E14:E22" si="0">D14-C14</f>
        <v>1310377</v>
      </c>
    </row>
    <row r="15" spans="1:5" s="506" customFormat="1" x14ac:dyDescent="0.2">
      <c r="A15" s="512">
        <v>2</v>
      </c>
      <c r="B15" s="511" t="s">
        <v>599</v>
      </c>
      <c r="C15" s="513">
        <v>103908058</v>
      </c>
      <c r="D15" s="515">
        <v>109615387</v>
      </c>
      <c r="E15" s="514">
        <f t="shared" si="0"/>
        <v>5707329</v>
      </c>
    </row>
    <row r="16" spans="1:5" s="506" customFormat="1" x14ac:dyDescent="0.2">
      <c r="A16" s="512">
        <v>3</v>
      </c>
      <c r="B16" s="511" t="s">
        <v>745</v>
      </c>
      <c r="C16" s="513">
        <v>20924632</v>
      </c>
      <c r="D16" s="515">
        <v>21701130</v>
      </c>
      <c r="E16" s="514">
        <f t="shared" si="0"/>
        <v>776498</v>
      </c>
    </row>
    <row r="17" spans="1:5" s="506" customFormat="1" x14ac:dyDescent="0.2">
      <c r="A17" s="512">
        <v>4</v>
      </c>
      <c r="B17" s="511" t="s">
        <v>114</v>
      </c>
      <c r="C17" s="513">
        <v>14971910</v>
      </c>
      <c r="D17" s="515">
        <v>19360773</v>
      </c>
      <c r="E17" s="514">
        <f t="shared" si="0"/>
        <v>4388863</v>
      </c>
    </row>
    <row r="18" spans="1:5" s="506" customFormat="1" x14ac:dyDescent="0.2">
      <c r="A18" s="512">
        <v>5</v>
      </c>
      <c r="B18" s="511" t="s">
        <v>712</v>
      </c>
      <c r="C18" s="513">
        <v>5952722</v>
      </c>
      <c r="D18" s="515">
        <v>2340357</v>
      </c>
      <c r="E18" s="514">
        <f t="shared" si="0"/>
        <v>-3612365</v>
      </c>
    </row>
    <row r="19" spans="1:5" s="506" customFormat="1" x14ac:dyDescent="0.2">
      <c r="A19" s="512">
        <v>6</v>
      </c>
      <c r="B19" s="511" t="s">
        <v>418</v>
      </c>
      <c r="C19" s="513">
        <v>84872</v>
      </c>
      <c r="D19" s="515">
        <v>165814</v>
      </c>
      <c r="E19" s="514">
        <f t="shared" si="0"/>
        <v>80942</v>
      </c>
    </row>
    <row r="20" spans="1:5" s="506" customFormat="1" x14ac:dyDescent="0.2">
      <c r="A20" s="512">
        <v>7</v>
      </c>
      <c r="B20" s="511" t="s">
        <v>727</v>
      </c>
      <c r="C20" s="513">
        <v>3534949</v>
      </c>
      <c r="D20" s="515">
        <v>2077313</v>
      </c>
      <c r="E20" s="514">
        <f t="shared" si="0"/>
        <v>-1457636</v>
      </c>
    </row>
    <row r="21" spans="1:5" s="506" customFormat="1" x14ac:dyDescent="0.2">
      <c r="A21" s="512"/>
      <c r="B21" s="516" t="s">
        <v>746</v>
      </c>
      <c r="C21" s="517">
        <f>SUM(C15+C16+C19)</f>
        <v>124917562</v>
      </c>
      <c r="D21" s="517">
        <f>SUM(D15+D16+D19)</f>
        <v>131482331</v>
      </c>
      <c r="E21" s="517">
        <f t="shared" si="0"/>
        <v>6564769</v>
      </c>
    </row>
    <row r="22" spans="1:5" s="506" customFormat="1" x14ac:dyDescent="0.2">
      <c r="A22" s="512"/>
      <c r="B22" s="516" t="s">
        <v>686</v>
      </c>
      <c r="C22" s="517">
        <f>SUM(C14+C21)</f>
        <v>177105304</v>
      </c>
      <c r="D22" s="517">
        <f>SUM(D14+D21)</f>
        <v>184980450</v>
      </c>
      <c r="E22" s="517">
        <f t="shared" si="0"/>
        <v>7875146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747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620</v>
      </c>
      <c r="C25" s="513">
        <v>95460096</v>
      </c>
      <c r="D25" s="513">
        <v>104069021</v>
      </c>
      <c r="E25" s="514">
        <f t="shared" ref="E25:E33" si="1">D25-C25</f>
        <v>8608925</v>
      </c>
    </row>
    <row r="26" spans="1:5" s="506" customFormat="1" x14ac:dyDescent="0.2">
      <c r="A26" s="512">
        <v>2</v>
      </c>
      <c r="B26" s="511" t="s">
        <v>599</v>
      </c>
      <c r="C26" s="513">
        <v>59549346</v>
      </c>
      <c r="D26" s="515">
        <v>66223956</v>
      </c>
      <c r="E26" s="514">
        <f t="shared" si="1"/>
        <v>6674610</v>
      </c>
    </row>
    <row r="27" spans="1:5" s="506" customFormat="1" x14ac:dyDescent="0.2">
      <c r="A27" s="512">
        <v>3</v>
      </c>
      <c r="B27" s="511" t="s">
        <v>745</v>
      </c>
      <c r="C27" s="513">
        <v>21101445</v>
      </c>
      <c r="D27" s="515">
        <v>25533455</v>
      </c>
      <c r="E27" s="514">
        <f t="shared" si="1"/>
        <v>4432010</v>
      </c>
    </row>
    <row r="28" spans="1:5" s="506" customFormat="1" x14ac:dyDescent="0.2">
      <c r="A28" s="512">
        <v>4</v>
      </c>
      <c r="B28" s="511" t="s">
        <v>114</v>
      </c>
      <c r="C28" s="513">
        <v>16745465</v>
      </c>
      <c r="D28" s="515">
        <v>23091648</v>
      </c>
      <c r="E28" s="514">
        <f t="shared" si="1"/>
        <v>6346183</v>
      </c>
    </row>
    <row r="29" spans="1:5" s="506" customFormat="1" x14ac:dyDescent="0.2">
      <c r="A29" s="512">
        <v>5</v>
      </c>
      <c r="B29" s="511" t="s">
        <v>712</v>
      </c>
      <c r="C29" s="513">
        <v>4355980</v>
      </c>
      <c r="D29" s="515">
        <v>2441807</v>
      </c>
      <c r="E29" s="514">
        <f t="shared" si="1"/>
        <v>-1914173</v>
      </c>
    </row>
    <row r="30" spans="1:5" s="506" customFormat="1" x14ac:dyDescent="0.2">
      <c r="A30" s="512">
        <v>6</v>
      </c>
      <c r="B30" s="511" t="s">
        <v>418</v>
      </c>
      <c r="C30" s="513">
        <v>256731</v>
      </c>
      <c r="D30" s="515">
        <v>437309</v>
      </c>
      <c r="E30" s="514">
        <f t="shared" si="1"/>
        <v>180578</v>
      </c>
    </row>
    <row r="31" spans="1:5" s="506" customFormat="1" x14ac:dyDescent="0.2">
      <c r="A31" s="512">
        <v>7</v>
      </c>
      <c r="B31" s="511" t="s">
        <v>727</v>
      </c>
      <c r="C31" s="514">
        <v>6987504</v>
      </c>
      <c r="D31" s="518">
        <v>7665602</v>
      </c>
      <c r="E31" s="514">
        <f t="shared" si="1"/>
        <v>678098</v>
      </c>
    </row>
    <row r="32" spans="1:5" s="506" customFormat="1" x14ac:dyDescent="0.2">
      <c r="A32" s="512"/>
      <c r="B32" s="516" t="s">
        <v>748</v>
      </c>
      <c r="C32" s="517">
        <f>SUM(C26+C27+C30)</f>
        <v>80907522</v>
      </c>
      <c r="D32" s="517">
        <f>SUM(D26+D27+D30)</f>
        <v>92194720</v>
      </c>
      <c r="E32" s="517">
        <f t="shared" si="1"/>
        <v>11287198</v>
      </c>
    </row>
    <row r="33" spans="1:5" s="506" customFormat="1" x14ac:dyDescent="0.2">
      <c r="A33" s="512"/>
      <c r="B33" s="516" t="s">
        <v>692</v>
      </c>
      <c r="C33" s="517">
        <f>SUM(C25+C32)</f>
        <v>176367618</v>
      </c>
      <c r="D33" s="517">
        <f>SUM(D25+D32)</f>
        <v>196263741</v>
      </c>
      <c r="E33" s="517">
        <f t="shared" si="1"/>
        <v>19896123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617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749</v>
      </c>
      <c r="C36" s="514">
        <f t="shared" ref="C36:D42" si="2">C14+C25</f>
        <v>147647838</v>
      </c>
      <c r="D36" s="514">
        <f t="shared" si="2"/>
        <v>157567140</v>
      </c>
      <c r="E36" s="514">
        <f t="shared" ref="E36:E44" si="3">D36-C36</f>
        <v>9919302</v>
      </c>
    </row>
    <row r="37" spans="1:5" s="506" customFormat="1" x14ac:dyDescent="0.2">
      <c r="A37" s="512">
        <v>2</v>
      </c>
      <c r="B37" s="511" t="s">
        <v>750</v>
      </c>
      <c r="C37" s="514">
        <f t="shared" si="2"/>
        <v>163457404</v>
      </c>
      <c r="D37" s="514">
        <f t="shared" si="2"/>
        <v>175839343</v>
      </c>
      <c r="E37" s="514">
        <f t="shared" si="3"/>
        <v>12381939</v>
      </c>
    </row>
    <row r="38" spans="1:5" s="506" customFormat="1" x14ac:dyDescent="0.2">
      <c r="A38" s="512">
        <v>3</v>
      </c>
      <c r="B38" s="511" t="s">
        <v>751</v>
      </c>
      <c r="C38" s="514">
        <f t="shared" si="2"/>
        <v>42026077</v>
      </c>
      <c r="D38" s="514">
        <f t="shared" si="2"/>
        <v>47234585</v>
      </c>
      <c r="E38" s="514">
        <f t="shared" si="3"/>
        <v>5208508</v>
      </c>
    </row>
    <row r="39" spans="1:5" s="506" customFormat="1" x14ac:dyDescent="0.2">
      <c r="A39" s="512">
        <v>4</v>
      </c>
      <c r="B39" s="511" t="s">
        <v>752</v>
      </c>
      <c r="C39" s="514">
        <f t="shared" si="2"/>
        <v>31717375</v>
      </c>
      <c r="D39" s="514">
        <f t="shared" si="2"/>
        <v>42452421</v>
      </c>
      <c r="E39" s="514">
        <f t="shared" si="3"/>
        <v>10735046</v>
      </c>
    </row>
    <row r="40" spans="1:5" s="506" customFormat="1" x14ac:dyDescent="0.2">
      <c r="A40" s="512">
        <v>5</v>
      </c>
      <c r="B40" s="511" t="s">
        <v>753</v>
      </c>
      <c r="C40" s="514">
        <f t="shared" si="2"/>
        <v>10308702</v>
      </c>
      <c r="D40" s="514">
        <f t="shared" si="2"/>
        <v>4782164</v>
      </c>
      <c r="E40" s="514">
        <f t="shared" si="3"/>
        <v>-5526538</v>
      </c>
    </row>
    <row r="41" spans="1:5" s="506" customFormat="1" x14ac:dyDescent="0.2">
      <c r="A41" s="512">
        <v>6</v>
      </c>
      <c r="B41" s="511" t="s">
        <v>754</v>
      </c>
      <c r="C41" s="514">
        <f t="shared" si="2"/>
        <v>341603</v>
      </c>
      <c r="D41" s="514">
        <f t="shared" si="2"/>
        <v>603123</v>
      </c>
      <c r="E41" s="514">
        <f t="shared" si="3"/>
        <v>261520</v>
      </c>
    </row>
    <row r="42" spans="1:5" s="506" customFormat="1" x14ac:dyDescent="0.2">
      <c r="A42" s="512">
        <v>7</v>
      </c>
      <c r="B42" s="511" t="s">
        <v>755</v>
      </c>
      <c r="C42" s="514">
        <f t="shared" si="2"/>
        <v>10522453</v>
      </c>
      <c r="D42" s="514">
        <f t="shared" si="2"/>
        <v>9742915</v>
      </c>
      <c r="E42" s="514">
        <f t="shared" si="3"/>
        <v>-779538</v>
      </c>
    </row>
    <row r="43" spans="1:5" s="506" customFormat="1" x14ac:dyDescent="0.2">
      <c r="A43" s="512"/>
      <c r="B43" s="516" t="s">
        <v>756</v>
      </c>
      <c r="C43" s="517">
        <f>SUM(C37+C38+C41)</f>
        <v>205825084</v>
      </c>
      <c r="D43" s="517">
        <f>SUM(D37+D38+D41)</f>
        <v>223677051</v>
      </c>
      <c r="E43" s="517">
        <f t="shared" si="3"/>
        <v>17851967</v>
      </c>
    </row>
    <row r="44" spans="1:5" s="506" customFormat="1" x14ac:dyDescent="0.2">
      <c r="A44" s="512"/>
      <c r="B44" s="516" t="s">
        <v>694</v>
      </c>
      <c r="C44" s="517">
        <f>SUM(C36+C43)</f>
        <v>353472922</v>
      </c>
      <c r="D44" s="517">
        <f>SUM(D36+D43)</f>
        <v>381244191</v>
      </c>
      <c r="E44" s="517">
        <f t="shared" si="3"/>
        <v>27771269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757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620</v>
      </c>
      <c r="C47" s="513">
        <v>19689370</v>
      </c>
      <c r="D47" s="513">
        <v>19589882</v>
      </c>
      <c r="E47" s="514">
        <f t="shared" ref="E47:E55" si="4">D47-C47</f>
        <v>-99488</v>
      </c>
    </row>
    <row r="48" spans="1:5" s="506" customFormat="1" x14ac:dyDescent="0.2">
      <c r="A48" s="512">
        <v>2</v>
      </c>
      <c r="B48" s="511" t="s">
        <v>599</v>
      </c>
      <c r="C48" s="513">
        <v>38260545</v>
      </c>
      <c r="D48" s="515">
        <v>37414146</v>
      </c>
      <c r="E48" s="514">
        <f t="shared" si="4"/>
        <v>-846399</v>
      </c>
    </row>
    <row r="49" spans="1:5" s="506" customFormat="1" x14ac:dyDescent="0.2">
      <c r="A49" s="512">
        <v>3</v>
      </c>
      <c r="B49" s="511" t="s">
        <v>745</v>
      </c>
      <c r="C49" s="513">
        <v>5662246</v>
      </c>
      <c r="D49" s="515">
        <v>6137631</v>
      </c>
      <c r="E49" s="514">
        <f t="shared" si="4"/>
        <v>475385</v>
      </c>
    </row>
    <row r="50" spans="1:5" s="506" customFormat="1" x14ac:dyDescent="0.2">
      <c r="A50" s="512">
        <v>4</v>
      </c>
      <c r="B50" s="511" t="s">
        <v>114</v>
      </c>
      <c r="C50" s="513">
        <v>4694083</v>
      </c>
      <c r="D50" s="515">
        <v>6098674</v>
      </c>
      <c r="E50" s="514">
        <f t="shared" si="4"/>
        <v>1404591</v>
      </c>
    </row>
    <row r="51" spans="1:5" s="506" customFormat="1" x14ac:dyDescent="0.2">
      <c r="A51" s="512">
        <v>5</v>
      </c>
      <c r="B51" s="511" t="s">
        <v>712</v>
      </c>
      <c r="C51" s="513">
        <v>968163</v>
      </c>
      <c r="D51" s="515">
        <v>38957</v>
      </c>
      <c r="E51" s="514">
        <f t="shared" si="4"/>
        <v>-929206</v>
      </c>
    </row>
    <row r="52" spans="1:5" s="506" customFormat="1" x14ac:dyDescent="0.2">
      <c r="A52" s="512">
        <v>6</v>
      </c>
      <c r="B52" s="511" t="s">
        <v>418</v>
      </c>
      <c r="C52" s="513">
        <v>30178</v>
      </c>
      <c r="D52" s="515">
        <v>117332</v>
      </c>
      <c r="E52" s="514">
        <f t="shared" si="4"/>
        <v>87154</v>
      </c>
    </row>
    <row r="53" spans="1:5" s="506" customFormat="1" x14ac:dyDescent="0.2">
      <c r="A53" s="512">
        <v>7</v>
      </c>
      <c r="B53" s="511" t="s">
        <v>727</v>
      </c>
      <c r="C53" s="513">
        <v>1331824</v>
      </c>
      <c r="D53" s="515">
        <v>114962</v>
      </c>
      <c r="E53" s="514">
        <f t="shared" si="4"/>
        <v>-1216862</v>
      </c>
    </row>
    <row r="54" spans="1:5" s="506" customFormat="1" x14ac:dyDescent="0.2">
      <c r="A54" s="512"/>
      <c r="B54" s="516" t="s">
        <v>758</v>
      </c>
      <c r="C54" s="517">
        <f>SUM(C48+C49+C52)</f>
        <v>43952969</v>
      </c>
      <c r="D54" s="517">
        <f>SUM(D48+D49+D52)</f>
        <v>43669109</v>
      </c>
      <c r="E54" s="517">
        <f t="shared" si="4"/>
        <v>-283860</v>
      </c>
    </row>
    <row r="55" spans="1:5" s="506" customFormat="1" x14ac:dyDescent="0.2">
      <c r="A55" s="512"/>
      <c r="B55" s="516" t="s">
        <v>687</v>
      </c>
      <c r="C55" s="517">
        <f>SUM(C47+C54)</f>
        <v>63642339</v>
      </c>
      <c r="D55" s="517">
        <f>SUM(D47+D54)</f>
        <v>63258991</v>
      </c>
      <c r="E55" s="517">
        <f t="shared" si="4"/>
        <v>-383348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759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620</v>
      </c>
      <c r="C58" s="513">
        <v>32018163</v>
      </c>
      <c r="D58" s="513">
        <v>35773406</v>
      </c>
      <c r="E58" s="514">
        <f t="shared" ref="E58:E66" si="5">D58-C58</f>
        <v>3755243</v>
      </c>
    </row>
    <row r="59" spans="1:5" s="506" customFormat="1" x14ac:dyDescent="0.2">
      <c r="A59" s="512">
        <v>2</v>
      </c>
      <c r="B59" s="511" t="s">
        <v>599</v>
      </c>
      <c r="C59" s="513">
        <v>13182942</v>
      </c>
      <c r="D59" s="515">
        <v>13263908</v>
      </c>
      <c r="E59" s="514">
        <f t="shared" si="5"/>
        <v>80966</v>
      </c>
    </row>
    <row r="60" spans="1:5" s="506" customFormat="1" x14ac:dyDescent="0.2">
      <c r="A60" s="512">
        <v>3</v>
      </c>
      <c r="B60" s="511" t="s">
        <v>745</v>
      </c>
      <c r="C60" s="513">
        <f>C61+C62</f>
        <v>4937709</v>
      </c>
      <c r="D60" s="515">
        <f>D61+D62</f>
        <v>5229767</v>
      </c>
      <c r="E60" s="514">
        <f t="shared" si="5"/>
        <v>292058</v>
      </c>
    </row>
    <row r="61" spans="1:5" s="506" customFormat="1" x14ac:dyDescent="0.2">
      <c r="A61" s="512">
        <v>4</v>
      </c>
      <c r="B61" s="511" t="s">
        <v>114</v>
      </c>
      <c r="C61" s="513">
        <v>3943322</v>
      </c>
      <c r="D61" s="515">
        <v>5206214</v>
      </c>
      <c r="E61" s="514">
        <f t="shared" si="5"/>
        <v>1262892</v>
      </c>
    </row>
    <row r="62" spans="1:5" s="506" customFormat="1" x14ac:dyDescent="0.2">
      <c r="A62" s="512">
        <v>5</v>
      </c>
      <c r="B62" s="511" t="s">
        <v>712</v>
      </c>
      <c r="C62" s="513">
        <v>994387</v>
      </c>
      <c r="D62" s="515">
        <v>23553</v>
      </c>
      <c r="E62" s="514">
        <f t="shared" si="5"/>
        <v>-970834</v>
      </c>
    </row>
    <row r="63" spans="1:5" s="506" customFormat="1" x14ac:dyDescent="0.2">
      <c r="A63" s="512">
        <v>6</v>
      </c>
      <c r="B63" s="511" t="s">
        <v>418</v>
      </c>
      <c r="C63" s="513">
        <v>84855</v>
      </c>
      <c r="D63" s="515">
        <v>119245</v>
      </c>
      <c r="E63" s="514">
        <f t="shared" si="5"/>
        <v>34390</v>
      </c>
    </row>
    <row r="64" spans="1:5" s="506" customFormat="1" x14ac:dyDescent="0.2">
      <c r="A64" s="512">
        <v>7</v>
      </c>
      <c r="B64" s="511" t="s">
        <v>727</v>
      </c>
      <c r="C64" s="513">
        <v>1414373</v>
      </c>
      <c r="D64" s="515">
        <v>424229</v>
      </c>
      <c r="E64" s="514">
        <f t="shared" si="5"/>
        <v>-990144</v>
      </c>
    </row>
    <row r="65" spans="1:5" s="506" customFormat="1" x14ac:dyDescent="0.2">
      <c r="A65" s="512"/>
      <c r="B65" s="516" t="s">
        <v>760</v>
      </c>
      <c r="C65" s="517">
        <f>SUM(C59+C60+C63)</f>
        <v>18205506</v>
      </c>
      <c r="D65" s="517">
        <f>SUM(D59+D60+D63)</f>
        <v>18612920</v>
      </c>
      <c r="E65" s="517">
        <f t="shared" si="5"/>
        <v>407414</v>
      </c>
    </row>
    <row r="66" spans="1:5" s="506" customFormat="1" x14ac:dyDescent="0.2">
      <c r="A66" s="512"/>
      <c r="B66" s="516" t="s">
        <v>693</v>
      </c>
      <c r="C66" s="517">
        <f>SUM(C58+C65)</f>
        <v>50223669</v>
      </c>
      <c r="D66" s="517">
        <f>SUM(D58+D65)</f>
        <v>54386326</v>
      </c>
      <c r="E66" s="517">
        <f t="shared" si="5"/>
        <v>4162657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618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749</v>
      </c>
      <c r="C69" s="514">
        <f t="shared" ref="C69:D75" si="6">C47+C58</f>
        <v>51707533</v>
      </c>
      <c r="D69" s="514">
        <f t="shared" si="6"/>
        <v>55363288</v>
      </c>
      <c r="E69" s="514">
        <f t="shared" ref="E69:E77" si="7">D69-C69</f>
        <v>3655755</v>
      </c>
    </row>
    <row r="70" spans="1:5" s="506" customFormat="1" x14ac:dyDescent="0.2">
      <c r="A70" s="512">
        <v>2</v>
      </c>
      <c r="B70" s="511" t="s">
        <v>750</v>
      </c>
      <c r="C70" s="514">
        <f t="shared" si="6"/>
        <v>51443487</v>
      </c>
      <c r="D70" s="514">
        <f t="shared" si="6"/>
        <v>50678054</v>
      </c>
      <c r="E70" s="514">
        <f t="shared" si="7"/>
        <v>-765433</v>
      </c>
    </row>
    <row r="71" spans="1:5" s="506" customFormat="1" x14ac:dyDescent="0.2">
      <c r="A71" s="512">
        <v>3</v>
      </c>
      <c r="B71" s="511" t="s">
        <v>751</v>
      </c>
      <c r="C71" s="514">
        <f t="shared" si="6"/>
        <v>10599955</v>
      </c>
      <c r="D71" s="514">
        <f t="shared" si="6"/>
        <v>11367398</v>
      </c>
      <c r="E71" s="514">
        <f t="shared" si="7"/>
        <v>767443</v>
      </c>
    </row>
    <row r="72" spans="1:5" s="506" customFormat="1" x14ac:dyDescent="0.2">
      <c r="A72" s="512">
        <v>4</v>
      </c>
      <c r="B72" s="511" t="s">
        <v>752</v>
      </c>
      <c r="C72" s="514">
        <f t="shared" si="6"/>
        <v>8637405</v>
      </c>
      <c r="D72" s="514">
        <f t="shared" si="6"/>
        <v>11304888</v>
      </c>
      <c r="E72" s="514">
        <f t="shared" si="7"/>
        <v>2667483</v>
      </c>
    </row>
    <row r="73" spans="1:5" s="506" customFormat="1" x14ac:dyDescent="0.2">
      <c r="A73" s="512">
        <v>5</v>
      </c>
      <c r="B73" s="511" t="s">
        <v>753</v>
      </c>
      <c r="C73" s="514">
        <f t="shared" si="6"/>
        <v>1962550</v>
      </c>
      <c r="D73" s="514">
        <f t="shared" si="6"/>
        <v>62510</v>
      </c>
      <c r="E73" s="514">
        <f t="shared" si="7"/>
        <v>-1900040</v>
      </c>
    </row>
    <row r="74" spans="1:5" s="506" customFormat="1" x14ac:dyDescent="0.2">
      <c r="A74" s="512">
        <v>6</v>
      </c>
      <c r="B74" s="511" t="s">
        <v>754</v>
      </c>
      <c r="C74" s="514">
        <f t="shared" si="6"/>
        <v>115033</v>
      </c>
      <c r="D74" s="514">
        <f t="shared" si="6"/>
        <v>236577</v>
      </c>
      <c r="E74" s="514">
        <f t="shared" si="7"/>
        <v>121544</v>
      </c>
    </row>
    <row r="75" spans="1:5" s="506" customFormat="1" x14ac:dyDescent="0.2">
      <c r="A75" s="512">
        <v>7</v>
      </c>
      <c r="B75" s="511" t="s">
        <v>755</v>
      </c>
      <c r="C75" s="514">
        <f t="shared" si="6"/>
        <v>2746197</v>
      </c>
      <c r="D75" s="514">
        <f t="shared" si="6"/>
        <v>539191</v>
      </c>
      <c r="E75" s="514">
        <f t="shared" si="7"/>
        <v>-2207006</v>
      </c>
    </row>
    <row r="76" spans="1:5" s="506" customFormat="1" x14ac:dyDescent="0.2">
      <c r="A76" s="512"/>
      <c r="B76" s="516" t="s">
        <v>761</v>
      </c>
      <c r="C76" s="517">
        <f>SUM(C70+C71+C74)</f>
        <v>62158475</v>
      </c>
      <c r="D76" s="517">
        <f>SUM(D70+D71+D74)</f>
        <v>62282029</v>
      </c>
      <c r="E76" s="517">
        <f t="shared" si="7"/>
        <v>123554</v>
      </c>
    </row>
    <row r="77" spans="1:5" s="506" customFormat="1" x14ac:dyDescent="0.2">
      <c r="A77" s="512"/>
      <c r="B77" s="516" t="s">
        <v>695</v>
      </c>
      <c r="C77" s="517">
        <f>SUM(C69+C76)</f>
        <v>113866008</v>
      </c>
      <c r="D77" s="517">
        <f>SUM(D69+D76)</f>
        <v>117645317</v>
      </c>
      <c r="E77" s="517">
        <f t="shared" si="7"/>
        <v>3779309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762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763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620</v>
      </c>
      <c r="C83" s="523">
        <f t="shared" ref="C83:D89" si="8">IF(C$44=0,0,C14/C$44)</f>
        <v>0.14764282849366323</v>
      </c>
      <c r="D83" s="523">
        <f t="shared" si="8"/>
        <v>0.14032507317600021</v>
      </c>
      <c r="E83" s="523">
        <f t="shared" ref="E83:E91" si="9">D83-C83</f>
        <v>-7.3177553176630161E-3</v>
      </c>
    </row>
    <row r="84" spans="1:5" s="506" customFormat="1" x14ac:dyDescent="0.2">
      <c r="A84" s="512">
        <v>2</v>
      </c>
      <c r="B84" s="511" t="s">
        <v>599</v>
      </c>
      <c r="C84" s="523">
        <f t="shared" si="8"/>
        <v>0.29396327563671198</v>
      </c>
      <c r="D84" s="523">
        <f t="shared" si="8"/>
        <v>0.28752015004472553</v>
      </c>
      <c r="E84" s="523">
        <f t="shared" si="9"/>
        <v>-6.4431255919864538E-3</v>
      </c>
    </row>
    <row r="85" spans="1:5" s="506" customFormat="1" x14ac:dyDescent="0.2">
      <c r="A85" s="512">
        <v>3</v>
      </c>
      <c r="B85" s="511" t="s">
        <v>745</v>
      </c>
      <c r="C85" s="523">
        <f t="shared" si="8"/>
        <v>5.919726999625731E-2</v>
      </c>
      <c r="D85" s="523">
        <f t="shared" si="8"/>
        <v>5.6921864023890135E-2</v>
      </c>
      <c r="E85" s="523">
        <f t="shared" si="9"/>
        <v>-2.2754059723671741E-3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4.2356596695686921E-2</v>
      </c>
      <c r="D86" s="523">
        <f t="shared" si="8"/>
        <v>5.0783129178222676E-2</v>
      </c>
      <c r="E86" s="523">
        <f t="shared" si="9"/>
        <v>8.4265324825357549E-3</v>
      </c>
    </row>
    <row r="87" spans="1:5" s="506" customFormat="1" x14ac:dyDescent="0.2">
      <c r="A87" s="512">
        <v>5</v>
      </c>
      <c r="B87" s="511" t="s">
        <v>712</v>
      </c>
      <c r="C87" s="523">
        <f t="shared" si="8"/>
        <v>1.6840673300570388E-2</v>
      </c>
      <c r="D87" s="523">
        <f t="shared" si="8"/>
        <v>6.1387348456674587E-3</v>
      </c>
      <c r="E87" s="523">
        <f t="shared" si="9"/>
        <v>-1.0701938454902929E-2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2.4010891561306074E-4</v>
      </c>
      <c r="D88" s="523">
        <f t="shared" si="8"/>
        <v>4.3492859409889341E-4</v>
      </c>
      <c r="E88" s="523">
        <f t="shared" si="9"/>
        <v>1.9481967848583267E-4</v>
      </c>
    </row>
    <row r="89" spans="1:5" s="506" customFormat="1" x14ac:dyDescent="0.2">
      <c r="A89" s="512">
        <v>7</v>
      </c>
      <c r="B89" s="511" t="s">
        <v>727</v>
      </c>
      <c r="C89" s="523">
        <f t="shared" si="8"/>
        <v>1.0000621773228784E-2</v>
      </c>
      <c r="D89" s="523">
        <f t="shared" si="8"/>
        <v>5.4487728574990927E-3</v>
      </c>
      <c r="E89" s="523">
        <f t="shared" si="9"/>
        <v>-4.5518489157296916E-3</v>
      </c>
    </row>
    <row r="90" spans="1:5" s="506" customFormat="1" x14ac:dyDescent="0.2">
      <c r="A90" s="512"/>
      <c r="B90" s="516" t="s">
        <v>764</v>
      </c>
      <c r="C90" s="524">
        <f>SUM(C84+C85+C88)</f>
        <v>0.35340065454858233</v>
      </c>
      <c r="D90" s="524">
        <f>SUM(D84+D85+D88)</f>
        <v>0.34487694266271457</v>
      </c>
      <c r="E90" s="525">
        <f t="shared" si="9"/>
        <v>-8.5237118858677574E-3</v>
      </c>
    </row>
    <row r="91" spans="1:5" s="506" customFormat="1" x14ac:dyDescent="0.2">
      <c r="A91" s="512"/>
      <c r="B91" s="516" t="s">
        <v>765</v>
      </c>
      <c r="C91" s="524">
        <f>SUM(C83+C90)</f>
        <v>0.50104348304224555</v>
      </c>
      <c r="D91" s="524">
        <f>SUM(D83+D90)</f>
        <v>0.48520201583871481</v>
      </c>
      <c r="E91" s="525">
        <f t="shared" si="9"/>
        <v>-1.5841467203530746E-2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766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620</v>
      </c>
      <c r="C95" s="523">
        <f t="shared" ref="C95:D101" si="10">IF(C$44=0,0,C25/C$44)</f>
        <v>0.27006339116409034</v>
      </c>
      <c r="D95" s="523">
        <f t="shared" si="10"/>
        <v>0.27297208313398275</v>
      </c>
      <c r="E95" s="523">
        <f t="shared" ref="E95:E103" si="11">D95-C95</f>
        <v>2.9086919698924074E-3</v>
      </c>
    </row>
    <row r="96" spans="1:5" s="506" customFormat="1" x14ac:dyDescent="0.2">
      <c r="A96" s="512">
        <v>2</v>
      </c>
      <c r="B96" s="511" t="s">
        <v>599</v>
      </c>
      <c r="C96" s="523">
        <f t="shared" si="10"/>
        <v>0.16846932903109335</v>
      </c>
      <c r="D96" s="523">
        <f t="shared" si="10"/>
        <v>0.17370482636416093</v>
      </c>
      <c r="E96" s="523">
        <f t="shared" si="11"/>
        <v>5.2354973330675791E-3</v>
      </c>
    </row>
    <row r="97" spans="1:5" s="506" customFormat="1" x14ac:dyDescent="0.2">
      <c r="A97" s="512">
        <v>3</v>
      </c>
      <c r="B97" s="511" t="s">
        <v>745</v>
      </c>
      <c r="C97" s="523">
        <f t="shared" si="10"/>
        <v>5.9697486530524112E-2</v>
      </c>
      <c r="D97" s="523">
        <f t="shared" si="10"/>
        <v>6.6974017185746443E-2</v>
      </c>
      <c r="E97" s="523">
        <f t="shared" si="11"/>
        <v>7.2765306552223311E-3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4.7374109748638683E-2</v>
      </c>
      <c r="D98" s="523">
        <f t="shared" si="10"/>
        <v>6.0569179924894911E-2</v>
      </c>
      <c r="E98" s="523">
        <f t="shared" si="11"/>
        <v>1.3195070176256228E-2</v>
      </c>
    </row>
    <row r="99" spans="1:5" s="506" customFormat="1" x14ac:dyDescent="0.2">
      <c r="A99" s="512">
        <v>5</v>
      </c>
      <c r="B99" s="511" t="s">
        <v>712</v>
      </c>
      <c r="C99" s="523">
        <f t="shared" si="10"/>
        <v>1.2323376781885432E-2</v>
      </c>
      <c r="D99" s="523">
        <f t="shared" si="10"/>
        <v>6.4048372608515366E-3</v>
      </c>
      <c r="E99" s="523">
        <f t="shared" si="11"/>
        <v>-5.9185395210338953E-3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7.2631023204657247E-4</v>
      </c>
      <c r="D100" s="523">
        <f t="shared" si="10"/>
        <v>1.1470574773951112E-3</v>
      </c>
      <c r="E100" s="523">
        <f t="shared" si="11"/>
        <v>4.2074724534853876E-4</v>
      </c>
    </row>
    <row r="101" spans="1:5" s="506" customFormat="1" x14ac:dyDescent="0.2">
      <c r="A101" s="512">
        <v>7</v>
      </c>
      <c r="B101" s="511" t="s">
        <v>727</v>
      </c>
      <c r="C101" s="523">
        <f t="shared" si="10"/>
        <v>1.9768145068832173E-2</v>
      </c>
      <c r="D101" s="523">
        <f t="shared" si="10"/>
        <v>2.0106803410940365E-2</v>
      </c>
      <c r="E101" s="523">
        <f t="shared" si="11"/>
        <v>3.386583421081911E-4</v>
      </c>
    </row>
    <row r="102" spans="1:5" s="506" customFormat="1" x14ac:dyDescent="0.2">
      <c r="A102" s="512"/>
      <c r="B102" s="516" t="s">
        <v>767</v>
      </c>
      <c r="C102" s="524">
        <f>SUM(C96+C97+C100)</f>
        <v>0.22889312579366405</v>
      </c>
      <c r="D102" s="524">
        <f>SUM(D96+D97+D100)</f>
        <v>0.24182590102730248</v>
      </c>
      <c r="E102" s="525">
        <f t="shared" si="11"/>
        <v>1.2932775233638422E-2</v>
      </c>
    </row>
    <row r="103" spans="1:5" s="506" customFormat="1" x14ac:dyDescent="0.2">
      <c r="A103" s="512"/>
      <c r="B103" s="516" t="s">
        <v>768</v>
      </c>
      <c r="C103" s="524">
        <f>SUM(C95+C102)</f>
        <v>0.49895651695775439</v>
      </c>
      <c r="D103" s="524">
        <f>SUM(D95+D102)</f>
        <v>0.51479798416128519</v>
      </c>
      <c r="E103" s="525">
        <f t="shared" si="11"/>
        <v>1.5841467203530801E-2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769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770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620</v>
      </c>
      <c r="C109" s="523">
        <f t="shared" ref="C109:D115" si="12">IF(C$77=0,0,C47/C$77)</f>
        <v>0.17291701312651622</v>
      </c>
      <c r="D109" s="523">
        <f t="shared" si="12"/>
        <v>0.16651646235948347</v>
      </c>
      <c r="E109" s="523">
        <f t="shared" ref="E109:E117" si="13">D109-C109</f>
        <v>-6.4005507670327477E-3</v>
      </c>
    </row>
    <row r="110" spans="1:5" s="506" customFormat="1" x14ac:dyDescent="0.2">
      <c r="A110" s="512">
        <v>2</v>
      </c>
      <c r="B110" s="511" t="s">
        <v>599</v>
      </c>
      <c r="C110" s="523">
        <f t="shared" si="12"/>
        <v>0.33601375574701803</v>
      </c>
      <c r="D110" s="523">
        <f t="shared" si="12"/>
        <v>0.31802494951839011</v>
      </c>
      <c r="E110" s="523">
        <f t="shared" si="13"/>
        <v>-1.7988806228627918E-2</v>
      </c>
    </row>
    <row r="111" spans="1:5" s="506" customFormat="1" x14ac:dyDescent="0.2">
      <c r="A111" s="512">
        <v>3</v>
      </c>
      <c r="B111" s="511" t="s">
        <v>745</v>
      </c>
      <c r="C111" s="523">
        <f t="shared" si="12"/>
        <v>4.9727272427079382E-2</v>
      </c>
      <c r="D111" s="523">
        <f t="shared" si="12"/>
        <v>5.2170635912350001E-2</v>
      </c>
      <c r="E111" s="523">
        <f t="shared" si="13"/>
        <v>2.4433634852706193E-3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4.1224620784106172E-2</v>
      </c>
      <c r="D112" s="523">
        <f t="shared" si="12"/>
        <v>5.1839496509665572E-2</v>
      </c>
      <c r="E112" s="523">
        <f t="shared" si="13"/>
        <v>1.06148757255594E-2</v>
      </c>
    </row>
    <row r="113" spans="1:5" s="506" customFormat="1" x14ac:dyDescent="0.2">
      <c r="A113" s="512">
        <v>5</v>
      </c>
      <c r="B113" s="511" t="s">
        <v>712</v>
      </c>
      <c r="C113" s="523">
        <f t="shared" si="12"/>
        <v>8.5026516429732042E-3</v>
      </c>
      <c r="D113" s="523">
        <f t="shared" si="12"/>
        <v>3.3113940268442643E-4</v>
      </c>
      <c r="E113" s="523">
        <f t="shared" si="13"/>
        <v>-8.1715122402887773E-3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2.6503080708687002E-4</v>
      </c>
      <c r="D114" s="523">
        <f t="shared" si="12"/>
        <v>9.973367660694901E-4</v>
      </c>
      <c r="E114" s="523">
        <f t="shared" si="13"/>
        <v>7.3230595898262003E-4</v>
      </c>
    </row>
    <row r="115" spans="1:5" s="506" customFormat="1" x14ac:dyDescent="0.2">
      <c r="A115" s="512">
        <v>7</v>
      </c>
      <c r="B115" s="511" t="s">
        <v>727</v>
      </c>
      <c r="C115" s="523">
        <f t="shared" si="12"/>
        <v>1.1696414262630512E-2</v>
      </c>
      <c r="D115" s="523">
        <f t="shared" si="12"/>
        <v>9.7719146780827658E-4</v>
      </c>
      <c r="E115" s="523">
        <f t="shared" si="13"/>
        <v>-1.0719222794822235E-2</v>
      </c>
    </row>
    <row r="116" spans="1:5" s="506" customFormat="1" x14ac:dyDescent="0.2">
      <c r="A116" s="512"/>
      <c r="B116" s="516" t="s">
        <v>764</v>
      </c>
      <c r="C116" s="524">
        <f>SUM(C110+C111+C114)</f>
        <v>0.38600605898118429</v>
      </c>
      <c r="D116" s="524">
        <f>SUM(D110+D111+D114)</f>
        <v>0.3711929221968096</v>
      </c>
      <c r="E116" s="525">
        <f t="shared" si="13"/>
        <v>-1.4813136784374681E-2</v>
      </c>
    </row>
    <row r="117" spans="1:5" s="506" customFormat="1" x14ac:dyDescent="0.2">
      <c r="A117" s="512"/>
      <c r="B117" s="516" t="s">
        <v>765</v>
      </c>
      <c r="C117" s="524">
        <f>SUM(C109+C116)</f>
        <v>0.55892307210770054</v>
      </c>
      <c r="D117" s="524">
        <f>SUM(D109+D116)</f>
        <v>0.53770938455629302</v>
      </c>
      <c r="E117" s="525">
        <f t="shared" si="13"/>
        <v>-2.1213687551407512E-2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771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620</v>
      </c>
      <c r="C121" s="523">
        <f t="shared" ref="C121:D127" si="14">IF(C$77=0,0,C58/C$77)</f>
        <v>0.28119158265388561</v>
      </c>
      <c r="D121" s="523">
        <f t="shared" si="14"/>
        <v>0.30407845303353637</v>
      </c>
      <c r="E121" s="523">
        <f t="shared" ref="E121:E129" si="15">D121-C121</f>
        <v>2.2886870379650759E-2</v>
      </c>
    </row>
    <row r="122" spans="1:5" s="506" customFormat="1" x14ac:dyDescent="0.2">
      <c r="A122" s="512">
        <v>2</v>
      </c>
      <c r="B122" s="511" t="s">
        <v>599</v>
      </c>
      <c r="C122" s="523">
        <f t="shared" si="14"/>
        <v>0.11577592146727406</v>
      </c>
      <c r="D122" s="523">
        <f t="shared" si="14"/>
        <v>0.11274488724442809</v>
      </c>
      <c r="E122" s="523">
        <f t="shared" si="15"/>
        <v>-3.0310342228459658E-3</v>
      </c>
    </row>
    <row r="123" spans="1:5" s="506" customFormat="1" x14ac:dyDescent="0.2">
      <c r="A123" s="512">
        <v>3</v>
      </c>
      <c r="B123" s="511" t="s">
        <v>745</v>
      </c>
      <c r="C123" s="523">
        <f t="shared" si="14"/>
        <v>4.3364205760159785E-2</v>
      </c>
      <c r="D123" s="523">
        <f t="shared" si="14"/>
        <v>4.4453677658924579E-2</v>
      </c>
      <c r="E123" s="523">
        <f t="shared" si="15"/>
        <v>1.0894718987647933E-3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3.4631248335324091E-2</v>
      </c>
      <c r="D124" s="523">
        <f t="shared" si="14"/>
        <v>4.4253474194812188E-2</v>
      </c>
      <c r="E124" s="523">
        <f t="shared" si="15"/>
        <v>9.6222258594880969E-3</v>
      </c>
    </row>
    <row r="125" spans="1:5" s="506" customFormat="1" x14ac:dyDescent="0.2">
      <c r="A125" s="512">
        <v>5</v>
      </c>
      <c r="B125" s="511" t="s">
        <v>712</v>
      </c>
      <c r="C125" s="523">
        <f t="shared" si="14"/>
        <v>8.7329574248356887E-3</v>
      </c>
      <c r="D125" s="523">
        <f t="shared" si="14"/>
        <v>2.0020346411238791E-4</v>
      </c>
      <c r="E125" s="523">
        <f t="shared" si="15"/>
        <v>-8.5327539607233001E-3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7.452180109800635E-4</v>
      </c>
      <c r="D126" s="523">
        <f t="shared" si="14"/>
        <v>1.0135975068178871E-3</v>
      </c>
      <c r="E126" s="523">
        <f t="shared" si="15"/>
        <v>2.6837949583782361E-4</v>
      </c>
    </row>
    <row r="127" spans="1:5" s="506" customFormat="1" x14ac:dyDescent="0.2">
      <c r="A127" s="512">
        <v>7</v>
      </c>
      <c r="B127" s="511" t="s">
        <v>727</v>
      </c>
      <c r="C127" s="523">
        <f t="shared" si="14"/>
        <v>1.2421380400022454E-2</v>
      </c>
      <c r="D127" s="523">
        <f t="shared" si="14"/>
        <v>3.6059998886313512E-3</v>
      </c>
      <c r="E127" s="523">
        <f t="shared" si="15"/>
        <v>-8.8153805113911025E-3</v>
      </c>
    </row>
    <row r="128" spans="1:5" s="506" customFormat="1" x14ac:dyDescent="0.2">
      <c r="A128" s="512"/>
      <c r="B128" s="516" t="s">
        <v>767</v>
      </c>
      <c r="C128" s="524">
        <f>SUM(C122+C123+C126)</f>
        <v>0.15988534523841391</v>
      </c>
      <c r="D128" s="524">
        <f>SUM(D122+D123+D126)</f>
        <v>0.15821216241017055</v>
      </c>
      <c r="E128" s="525">
        <f t="shared" si="15"/>
        <v>-1.6731828282433581E-3</v>
      </c>
    </row>
    <row r="129" spans="1:5" s="506" customFormat="1" x14ac:dyDescent="0.2">
      <c r="A129" s="512"/>
      <c r="B129" s="516" t="s">
        <v>768</v>
      </c>
      <c r="C129" s="524">
        <f>SUM(C121+C128)</f>
        <v>0.44107692789229952</v>
      </c>
      <c r="D129" s="524">
        <f>SUM(D121+D128)</f>
        <v>0.46229061544370692</v>
      </c>
      <c r="E129" s="525">
        <f t="shared" si="15"/>
        <v>2.1213687551407401E-2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772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773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774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620</v>
      </c>
      <c r="C137" s="530">
        <v>2727</v>
      </c>
      <c r="D137" s="530">
        <v>2697</v>
      </c>
      <c r="E137" s="531">
        <f t="shared" ref="E137:E145" si="16">D137-C137</f>
        <v>-30</v>
      </c>
    </row>
    <row r="138" spans="1:5" s="506" customFormat="1" x14ac:dyDescent="0.2">
      <c r="A138" s="512">
        <v>2</v>
      </c>
      <c r="B138" s="511" t="s">
        <v>599</v>
      </c>
      <c r="C138" s="530">
        <v>3622</v>
      </c>
      <c r="D138" s="530">
        <v>3673</v>
      </c>
      <c r="E138" s="531">
        <f t="shared" si="16"/>
        <v>51</v>
      </c>
    </row>
    <row r="139" spans="1:5" s="506" customFormat="1" x14ac:dyDescent="0.2">
      <c r="A139" s="512">
        <v>3</v>
      </c>
      <c r="B139" s="511" t="s">
        <v>745</v>
      </c>
      <c r="C139" s="530">
        <f>C140+C141</f>
        <v>1178</v>
      </c>
      <c r="D139" s="530">
        <f>D140+D141</f>
        <v>1339</v>
      </c>
      <c r="E139" s="531">
        <f t="shared" si="16"/>
        <v>161</v>
      </c>
    </row>
    <row r="140" spans="1:5" s="506" customFormat="1" x14ac:dyDescent="0.2">
      <c r="A140" s="512">
        <v>4</v>
      </c>
      <c r="B140" s="511" t="s">
        <v>114</v>
      </c>
      <c r="C140" s="530">
        <v>1024</v>
      </c>
      <c r="D140" s="530">
        <v>1278</v>
      </c>
      <c r="E140" s="531">
        <f t="shared" si="16"/>
        <v>254</v>
      </c>
    </row>
    <row r="141" spans="1:5" s="506" customFormat="1" x14ac:dyDescent="0.2">
      <c r="A141" s="512">
        <v>5</v>
      </c>
      <c r="B141" s="511" t="s">
        <v>712</v>
      </c>
      <c r="C141" s="530">
        <v>154</v>
      </c>
      <c r="D141" s="530">
        <v>61</v>
      </c>
      <c r="E141" s="531">
        <f t="shared" si="16"/>
        <v>-93</v>
      </c>
    </row>
    <row r="142" spans="1:5" s="506" customFormat="1" x14ac:dyDescent="0.2">
      <c r="A142" s="512">
        <v>6</v>
      </c>
      <c r="B142" s="511" t="s">
        <v>418</v>
      </c>
      <c r="C142" s="530">
        <v>6</v>
      </c>
      <c r="D142" s="530">
        <v>10</v>
      </c>
      <c r="E142" s="531">
        <f t="shared" si="16"/>
        <v>4</v>
      </c>
    </row>
    <row r="143" spans="1:5" s="506" customFormat="1" x14ac:dyDescent="0.2">
      <c r="A143" s="512">
        <v>7</v>
      </c>
      <c r="B143" s="511" t="s">
        <v>727</v>
      </c>
      <c r="C143" s="530">
        <v>89</v>
      </c>
      <c r="D143" s="530">
        <v>103</v>
      </c>
      <c r="E143" s="531">
        <f t="shared" si="16"/>
        <v>14</v>
      </c>
    </row>
    <row r="144" spans="1:5" s="506" customFormat="1" x14ac:dyDescent="0.2">
      <c r="A144" s="512"/>
      <c r="B144" s="516" t="s">
        <v>775</v>
      </c>
      <c r="C144" s="532">
        <f>SUM(C138+C139+C142)</f>
        <v>4806</v>
      </c>
      <c r="D144" s="532">
        <f>SUM(D138+D139+D142)</f>
        <v>5022</v>
      </c>
      <c r="E144" s="533">
        <f t="shared" si="16"/>
        <v>216</v>
      </c>
    </row>
    <row r="145" spans="1:5" s="506" customFormat="1" x14ac:dyDescent="0.2">
      <c r="A145" s="512"/>
      <c r="B145" s="516" t="s">
        <v>689</v>
      </c>
      <c r="C145" s="532">
        <f>SUM(C137+C144)</f>
        <v>7533</v>
      </c>
      <c r="D145" s="532">
        <f>SUM(D137+D144)</f>
        <v>7719</v>
      </c>
      <c r="E145" s="533">
        <f t="shared" si="16"/>
        <v>186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620</v>
      </c>
      <c r="C149" s="534">
        <v>9867</v>
      </c>
      <c r="D149" s="534">
        <v>9500</v>
      </c>
      <c r="E149" s="531">
        <f t="shared" ref="E149:E157" si="17">D149-C149</f>
        <v>-367</v>
      </c>
    </row>
    <row r="150" spans="1:5" s="506" customFormat="1" x14ac:dyDescent="0.2">
      <c r="A150" s="512">
        <v>2</v>
      </c>
      <c r="B150" s="511" t="s">
        <v>599</v>
      </c>
      <c r="C150" s="534">
        <v>18712</v>
      </c>
      <c r="D150" s="534">
        <v>18623</v>
      </c>
      <c r="E150" s="531">
        <f t="shared" si="17"/>
        <v>-89</v>
      </c>
    </row>
    <row r="151" spans="1:5" s="506" customFormat="1" x14ac:dyDescent="0.2">
      <c r="A151" s="512">
        <v>3</v>
      </c>
      <c r="B151" s="511" t="s">
        <v>745</v>
      </c>
      <c r="C151" s="534">
        <f>C152+C153</f>
        <v>4986</v>
      </c>
      <c r="D151" s="534">
        <f>D152+D153</f>
        <v>5281</v>
      </c>
      <c r="E151" s="531">
        <f t="shared" si="17"/>
        <v>295</v>
      </c>
    </row>
    <row r="152" spans="1:5" s="506" customFormat="1" x14ac:dyDescent="0.2">
      <c r="A152" s="512">
        <v>4</v>
      </c>
      <c r="B152" s="511" t="s">
        <v>114</v>
      </c>
      <c r="C152" s="534">
        <v>4139</v>
      </c>
      <c r="D152" s="534">
        <v>4905</v>
      </c>
      <c r="E152" s="531">
        <f t="shared" si="17"/>
        <v>766</v>
      </c>
    </row>
    <row r="153" spans="1:5" s="506" customFormat="1" x14ac:dyDescent="0.2">
      <c r="A153" s="512">
        <v>5</v>
      </c>
      <c r="B153" s="511" t="s">
        <v>712</v>
      </c>
      <c r="C153" s="535">
        <v>847</v>
      </c>
      <c r="D153" s="534">
        <v>376</v>
      </c>
      <c r="E153" s="531">
        <f t="shared" si="17"/>
        <v>-471</v>
      </c>
    </row>
    <row r="154" spans="1:5" s="506" customFormat="1" x14ac:dyDescent="0.2">
      <c r="A154" s="512">
        <v>6</v>
      </c>
      <c r="B154" s="511" t="s">
        <v>418</v>
      </c>
      <c r="C154" s="534">
        <v>16</v>
      </c>
      <c r="D154" s="534">
        <v>25</v>
      </c>
      <c r="E154" s="531">
        <f t="shared" si="17"/>
        <v>9</v>
      </c>
    </row>
    <row r="155" spans="1:5" s="506" customFormat="1" x14ac:dyDescent="0.2">
      <c r="A155" s="512">
        <v>7</v>
      </c>
      <c r="B155" s="511" t="s">
        <v>727</v>
      </c>
      <c r="C155" s="534">
        <v>459</v>
      </c>
      <c r="D155" s="534">
        <v>326</v>
      </c>
      <c r="E155" s="531">
        <f t="shared" si="17"/>
        <v>-133</v>
      </c>
    </row>
    <row r="156" spans="1:5" s="506" customFormat="1" x14ac:dyDescent="0.2">
      <c r="A156" s="512"/>
      <c r="B156" s="516" t="s">
        <v>776</v>
      </c>
      <c r="C156" s="532">
        <f>SUM(C150+C151+C154)</f>
        <v>23714</v>
      </c>
      <c r="D156" s="532">
        <f>SUM(D150+D151+D154)</f>
        <v>23929</v>
      </c>
      <c r="E156" s="533">
        <f t="shared" si="17"/>
        <v>215</v>
      </c>
    </row>
    <row r="157" spans="1:5" s="506" customFormat="1" x14ac:dyDescent="0.2">
      <c r="A157" s="512"/>
      <c r="B157" s="516" t="s">
        <v>777</v>
      </c>
      <c r="C157" s="532">
        <f>SUM(C149+C156)</f>
        <v>33581</v>
      </c>
      <c r="D157" s="532">
        <f>SUM(D149+D156)</f>
        <v>33429</v>
      </c>
      <c r="E157" s="533">
        <f t="shared" si="17"/>
        <v>-152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778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620</v>
      </c>
      <c r="C161" s="536">
        <f t="shared" ref="C161:D169" si="18">IF(C137=0,0,C149/C137)</f>
        <v>3.6182618261826183</v>
      </c>
      <c r="D161" s="536">
        <f t="shared" si="18"/>
        <v>3.5224323322209861</v>
      </c>
      <c r="E161" s="537">
        <f t="shared" ref="E161:E169" si="19">D161-C161</f>
        <v>-9.5829493961632206E-2</v>
      </c>
    </row>
    <row r="162" spans="1:5" s="506" customFormat="1" x14ac:dyDescent="0.2">
      <c r="A162" s="512">
        <v>2</v>
      </c>
      <c r="B162" s="511" t="s">
        <v>599</v>
      </c>
      <c r="C162" s="536">
        <f t="shared" si="18"/>
        <v>5.1662065157371622</v>
      </c>
      <c r="D162" s="536">
        <f t="shared" si="18"/>
        <v>5.0702423087394504</v>
      </c>
      <c r="E162" s="537">
        <f t="shared" si="19"/>
        <v>-9.5964206997711798E-2</v>
      </c>
    </row>
    <row r="163" spans="1:5" s="506" customFormat="1" x14ac:dyDescent="0.2">
      <c r="A163" s="512">
        <v>3</v>
      </c>
      <c r="B163" s="511" t="s">
        <v>745</v>
      </c>
      <c r="C163" s="536">
        <f t="shared" si="18"/>
        <v>4.2325976230899833</v>
      </c>
      <c r="D163" s="536">
        <f t="shared" si="18"/>
        <v>3.9439880507841671</v>
      </c>
      <c r="E163" s="537">
        <f t="shared" si="19"/>
        <v>-0.28860957230581619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4.0419921875</v>
      </c>
      <c r="D164" s="536">
        <f t="shared" si="18"/>
        <v>3.8380281690140845</v>
      </c>
      <c r="E164" s="537">
        <f t="shared" si="19"/>
        <v>-0.2039640184859155</v>
      </c>
    </row>
    <row r="165" spans="1:5" s="506" customFormat="1" x14ac:dyDescent="0.2">
      <c r="A165" s="512">
        <v>5</v>
      </c>
      <c r="B165" s="511" t="s">
        <v>712</v>
      </c>
      <c r="C165" s="536">
        <f t="shared" si="18"/>
        <v>5.5</v>
      </c>
      <c r="D165" s="536">
        <f t="shared" si="18"/>
        <v>6.1639344262295079</v>
      </c>
      <c r="E165" s="537">
        <f t="shared" si="19"/>
        <v>0.66393442622950793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2.6666666666666665</v>
      </c>
      <c r="D166" s="536">
        <f t="shared" si="18"/>
        <v>2.5</v>
      </c>
      <c r="E166" s="537">
        <f t="shared" si="19"/>
        <v>-0.16666666666666652</v>
      </c>
    </row>
    <row r="167" spans="1:5" s="506" customFormat="1" x14ac:dyDescent="0.2">
      <c r="A167" s="512">
        <v>7</v>
      </c>
      <c r="B167" s="511" t="s">
        <v>727</v>
      </c>
      <c r="C167" s="536">
        <f t="shared" si="18"/>
        <v>5.1573033707865168</v>
      </c>
      <c r="D167" s="536">
        <f t="shared" si="18"/>
        <v>3.1650485436893203</v>
      </c>
      <c r="E167" s="537">
        <f t="shared" si="19"/>
        <v>-1.9922548270971965</v>
      </c>
    </row>
    <row r="168" spans="1:5" s="506" customFormat="1" x14ac:dyDescent="0.2">
      <c r="A168" s="512"/>
      <c r="B168" s="516" t="s">
        <v>779</v>
      </c>
      <c r="C168" s="538">
        <f t="shared" si="18"/>
        <v>4.9342488555971702</v>
      </c>
      <c r="D168" s="538">
        <f t="shared" si="18"/>
        <v>4.7648347272003182</v>
      </c>
      <c r="E168" s="539">
        <f t="shared" si="19"/>
        <v>-0.16941412839685199</v>
      </c>
    </row>
    <row r="169" spans="1:5" s="506" customFormat="1" x14ac:dyDescent="0.2">
      <c r="A169" s="512"/>
      <c r="B169" s="516" t="s">
        <v>713</v>
      </c>
      <c r="C169" s="538">
        <f t="shared" si="18"/>
        <v>4.4578521173503249</v>
      </c>
      <c r="D169" s="538">
        <f t="shared" si="18"/>
        <v>4.330742324135251</v>
      </c>
      <c r="E169" s="539">
        <f t="shared" si="19"/>
        <v>-0.12710979321507399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780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620</v>
      </c>
      <c r="C173" s="541">
        <f t="shared" ref="C173:D181" si="20">IF(C137=0,0,C203/C137)</f>
        <v>0.95430999999999999</v>
      </c>
      <c r="D173" s="541">
        <f t="shared" si="20"/>
        <v>0.96779999999999988</v>
      </c>
      <c r="E173" s="542">
        <f t="shared" ref="E173:E181" si="21">D173-C173</f>
        <v>1.3489999999999891E-2</v>
      </c>
    </row>
    <row r="174" spans="1:5" s="506" customFormat="1" x14ac:dyDescent="0.2">
      <c r="A174" s="512">
        <v>2</v>
      </c>
      <c r="B174" s="511" t="s">
        <v>599</v>
      </c>
      <c r="C174" s="541">
        <f t="shared" si="20"/>
        <v>1.3376199999999998</v>
      </c>
      <c r="D174" s="541">
        <f t="shared" si="20"/>
        <v>1.3216300000000001</v>
      </c>
      <c r="E174" s="542">
        <f t="shared" si="21"/>
        <v>-1.5989999999999727E-2</v>
      </c>
    </row>
    <row r="175" spans="1:5" s="506" customFormat="1" x14ac:dyDescent="0.2">
      <c r="A175" s="512">
        <v>0</v>
      </c>
      <c r="B175" s="511" t="s">
        <v>745</v>
      </c>
      <c r="C175" s="541">
        <f t="shared" si="20"/>
        <v>0.81160809847198645</v>
      </c>
      <c r="D175" s="541">
        <f t="shared" si="20"/>
        <v>0.72338365197908894</v>
      </c>
      <c r="E175" s="542">
        <f t="shared" si="21"/>
        <v>-8.8224446492897513E-2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0.76856000000000002</v>
      </c>
      <c r="D176" s="541">
        <f t="shared" si="20"/>
        <v>0.71443000000000001</v>
      </c>
      <c r="E176" s="542">
        <f t="shared" si="21"/>
        <v>-5.4130000000000011E-2</v>
      </c>
    </row>
    <row r="177" spans="1:5" s="506" customFormat="1" x14ac:dyDescent="0.2">
      <c r="A177" s="512">
        <v>5</v>
      </c>
      <c r="B177" s="511" t="s">
        <v>712</v>
      </c>
      <c r="C177" s="541">
        <f t="shared" si="20"/>
        <v>1.09785</v>
      </c>
      <c r="D177" s="541">
        <f t="shared" si="20"/>
        <v>0.91096999999999995</v>
      </c>
      <c r="E177" s="542">
        <f t="shared" si="21"/>
        <v>-0.18688000000000005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0.47225</v>
      </c>
      <c r="D178" s="541">
        <f t="shared" si="20"/>
        <v>0.82528000000000001</v>
      </c>
      <c r="E178" s="542">
        <f t="shared" si="21"/>
        <v>0.35303000000000001</v>
      </c>
    </row>
    <row r="179" spans="1:5" s="506" customFormat="1" x14ac:dyDescent="0.2">
      <c r="A179" s="512">
        <v>7</v>
      </c>
      <c r="B179" s="511" t="s">
        <v>727</v>
      </c>
      <c r="C179" s="541">
        <f t="shared" si="20"/>
        <v>0.97438999999999998</v>
      </c>
      <c r="D179" s="541">
        <f t="shared" si="20"/>
        <v>0.84659999999999991</v>
      </c>
      <c r="E179" s="542">
        <f t="shared" si="21"/>
        <v>-0.12779000000000007</v>
      </c>
    </row>
    <row r="180" spans="1:5" s="506" customFormat="1" x14ac:dyDescent="0.2">
      <c r="A180" s="512"/>
      <c r="B180" s="516" t="s">
        <v>781</v>
      </c>
      <c r="C180" s="543">
        <f t="shared" si="20"/>
        <v>1.2076087141073657</v>
      </c>
      <c r="D180" s="543">
        <f t="shared" si="20"/>
        <v>1.1611331142970929</v>
      </c>
      <c r="E180" s="544">
        <f t="shared" si="21"/>
        <v>-4.6475599810272827E-2</v>
      </c>
    </row>
    <row r="181" spans="1:5" s="506" customFormat="1" x14ac:dyDescent="0.2">
      <c r="A181" s="512"/>
      <c r="B181" s="516" t="s">
        <v>690</v>
      </c>
      <c r="C181" s="543">
        <f t="shared" si="20"/>
        <v>1.1159127638391078</v>
      </c>
      <c r="D181" s="543">
        <f t="shared" si="20"/>
        <v>1.0935829900246146</v>
      </c>
      <c r="E181" s="544">
        <f t="shared" si="21"/>
        <v>-2.2329773814493192E-2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782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783</v>
      </c>
      <c r="C185" s="513">
        <v>137125385</v>
      </c>
      <c r="D185" s="513">
        <v>147824225</v>
      </c>
      <c r="E185" s="514">
        <f>D185-C185</f>
        <v>10698840</v>
      </c>
    </row>
    <row r="186" spans="1:5" s="506" customFormat="1" ht="25.5" x14ac:dyDescent="0.2">
      <c r="A186" s="512">
        <v>2</v>
      </c>
      <c r="B186" s="511" t="s">
        <v>784</v>
      </c>
      <c r="C186" s="513">
        <v>53243598</v>
      </c>
      <c r="D186" s="513">
        <v>55825182</v>
      </c>
      <c r="E186" s="514">
        <f>D186-C186</f>
        <v>2581584</v>
      </c>
    </row>
    <row r="187" spans="1:5" s="506" customFormat="1" x14ac:dyDescent="0.2">
      <c r="A187" s="512"/>
      <c r="B187" s="511" t="s">
        <v>632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716</v>
      </c>
      <c r="C188" s="546">
        <f>+C185-C186</f>
        <v>83881787</v>
      </c>
      <c r="D188" s="546">
        <f>+D185-D186</f>
        <v>91999043</v>
      </c>
      <c r="E188" s="514">
        <f t="shared" ref="E188:E197" si="22">D188-C188</f>
        <v>8117256</v>
      </c>
    </row>
    <row r="189" spans="1:5" s="506" customFormat="1" x14ac:dyDescent="0.2">
      <c r="A189" s="512">
        <v>4</v>
      </c>
      <c r="B189" s="511" t="s">
        <v>634</v>
      </c>
      <c r="C189" s="547">
        <f>IF(C185=0,0,+C188/C185)</f>
        <v>0.61171596345928214</v>
      </c>
      <c r="D189" s="547">
        <f>IF(D185=0,0,+D188/D185)</f>
        <v>0.62235430627151944</v>
      </c>
      <c r="E189" s="523">
        <f t="shared" si="22"/>
        <v>1.06383428122373E-2</v>
      </c>
    </row>
    <row r="190" spans="1:5" s="506" customFormat="1" x14ac:dyDescent="0.2">
      <c r="A190" s="512">
        <v>5</v>
      </c>
      <c r="B190" s="511" t="s">
        <v>731</v>
      </c>
      <c r="C190" s="513">
        <v>0</v>
      </c>
      <c r="D190" s="513">
        <v>0</v>
      </c>
      <c r="E190" s="546">
        <f t="shared" si="22"/>
        <v>0</v>
      </c>
    </row>
    <row r="191" spans="1:5" s="506" customFormat="1" x14ac:dyDescent="0.2">
      <c r="A191" s="512">
        <v>6</v>
      </c>
      <c r="B191" s="511" t="s">
        <v>717</v>
      </c>
      <c r="C191" s="513">
        <v>0</v>
      </c>
      <c r="D191" s="513">
        <v>0</v>
      </c>
      <c r="E191" s="546">
        <f t="shared" si="22"/>
        <v>0</v>
      </c>
    </row>
    <row r="192" spans="1:5" ht="29.25" x14ac:dyDescent="0.2">
      <c r="A192" s="512">
        <v>7</v>
      </c>
      <c r="B192" s="548" t="s">
        <v>785</v>
      </c>
      <c r="C192" s="513">
        <v>595446</v>
      </c>
      <c r="D192" s="513">
        <v>529441</v>
      </c>
      <c r="E192" s="546">
        <f t="shared" si="22"/>
        <v>-66005</v>
      </c>
    </row>
    <row r="193" spans="1:5" s="506" customFormat="1" x14ac:dyDescent="0.2">
      <c r="A193" s="512">
        <v>8</v>
      </c>
      <c r="B193" s="511" t="s">
        <v>786</v>
      </c>
      <c r="C193" s="513">
        <v>5752621</v>
      </c>
      <c r="D193" s="513">
        <v>8958645</v>
      </c>
      <c r="E193" s="546">
        <f t="shared" si="22"/>
        <v>3206024</v>
      </c>
    </row>
    <row r="194" spans="1:5" s="506" customFormat="1" x14ac:dyDescent="0.2">
      <c r="A194" s="512">
        <v>9</v>
      </c>
      <c r="B194" s="511" t="s">
        <v>787</v>
      </c>
      <c r="C194" s="513">
        <v>6305896</v>
      </c>
      <c r="D194" s="513">
        <v>1246161</v>
      </c>
      <c r="E194" s="546">
        <f t="shared" si="22"/>
        <v>-5059735</v>
      </c>
    </row>
    <row r="195" spans="1:5" s="506" customFormat="1" x14ac:dyDescent="0.2">
      <c r="A195" s="512">
        <v>10</v>
      </c>
      <c r="B195" s="511" t="s">
        <v>788</v>
      </c>
      <c r="C195" s="513">
        <f>+C193+C194</f>
        <v>12058517</v>
      </c>
      <c r="D195" s="513">
        <f>+D193+D194</f>
        <v>10204806</v>
      </c>
      <c r="E195" s="549">
        <f t="shared" si="22"/>
        <v>-1853711</v>
      </c>
    </row>
    <row r="196" spans="1:5" s="506" customFormat="1" x14ac:dyDescent="0.2">
      <c r="A196" s="512">
        <v>11</v>
      </c>
      <c r="B196" s="511" t="s">
        <v>789</v>
      </c>
      <c r="C196" s="513">
        <v>137125385</v>
      </c>
      <c r="D196" s="513">
        <v>147824225</v>
      </c>
      <c r="E196" s="546">
        <f t="shared" si="22"/>
        <v>10698840</v>
      </c>
    </row>
    <row r="197" spans="1:5" s="506" customFormat="1" x14ac:dyDescent="0.2">
      <c r="A197" s="512">
        <v>12</v>
      </c>
      <c r="B197" s="511" t="s">
        <v>674</v>
      </c>
      <c r="C197" s="513">
        <v>119759030</v>
      </c>
      <c r="D197" s="513">
        <v>120493484</v>
      </c>
      <c r="E197" s="546">
        <f t="shared" si="22"/>
        <v>734454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790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791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620</v>
      </c>
      <c r="C203" s="553">
        <v>2602.40337</v>
      </c>
      <c r="D203" s="553">
        <v>2610.1565999999998</v>
      </c>
      <c r="E203" s="554">
        <f t="shared" ref="E203:E211" si="23">D203-C203</f>
        <v>7.7532299999998031</v>
      </c>
    </row>
    <row r="204" spans="1:5" s="506" customFormat="1" x14ac:dyDescent="0.2">
      <c r="A204" s="512">
        <v>2</v>
      </c>
      <c r="B204" s="511" t="s">
        <v>599</v>
      </c>
      <c r="C204" s="553">
        <v>4844.8596399999997</v>
      </c>
      <c r="D204" s="553">
        <v>4854.34699</v>
      </c>
      <c r="E204" s="554">
        <f t="shared" si="23"/>
        <v>9.4873500000003332</v>
      </c>
    </row>
    <row r="205" spans="1:5" s="506" customFormat="1" x14ac:dyDescent="0.2">
      <c r="A205" s="512">
        <v>3</v>
      </c>
      <c r="B205" s="511" t="s">
        <v>745</v>
      </c>
      <c r="C205" s="553">
        <f>C206+C207</f>
        <v>956.07434000000001</v>
      </c>
      <c r="D205" s="553">
        <f>D206+D207</f>
        <v>968.61071000000004</v>
      </c>
      <c r="E205" s="554">
        <f t="shared" si="23"/>
        <v>12.536370000000034</v>
      </c>
    </row>
    <row r="206" spans="1:5" s="506" customFormat="1" x14ac:dyDescent="0.2">
      <c r="A206" s="512">
        <v>4</v>
      </c>
      <c r="B206" s="511" t="s">
        <v>114</v>
      </c>
      <c r="C206" s="553">
        <v>787.00544000000002</v>
      </c>
      <c r="D206" s="553">
        <v>913.04154000000005</v>
      </c>
      <c r="E206" s="554">
        <f t="shared" si="23"/>
        <v>126.03610000000003</v>
      </c>
    </row>
    <row r="207" spans="1:5" s="506" customFormat="1" x14ac:dyDescent="0.2">
      <c r="A207" s="512">
        <v>5</v>
      </c>
      <c r="B207" s="511" t="s">
        <v>712</v>
      </c>
      <c r="C207" s="553">
        <v>169.06889999999999</v>
      </c>
      <c r="D207" s="553">
        <v>55.56917</v>
      </c>
      <c r="E207" s="554">
        <f t="shared" si="23"/>
        <v>-113.49972999999999</v>
      </c>
    </row>
    <row r="208" spans="1:5" s="506" customFormat="1" x14ac:dyDescent="0.2">
      <c r="A208" s="512">
        <v>6</v>
      </c>
      <c r="B208" s="511" t="s">
        <v>418</v>
      </c>
      <c r="C208" s="553">
        <v>2.8334999999999999</v>
      </c>
      <c r="D208" s="553">
        <v>8.2528000000000006</v>
      </c>
      <c r="E208" s="554">
        <f t="shared" si="23"/>
        <v>5.4193000000000007</v>
      </c>
    </row>
    <row r="209" spans="1:5" s="506" customFormat="1" x14ac:dyDescent="0.2">
      <c r="A209" s="512">
        <v>7</v>
      </c>
      <c r="B209" s="511" t="s">
        <v>727</v>
      </c>
      <c r="C209" s="553">
        <v>86.720709999999997</v>
      </c>
      <c r="D209" s="553">
        <v>87.199799999999996</v>
      </c>
      <c r="E209" s="554">
        <f t="shared" si="23"/>
        <v>0.47908999999999935</v>
      </c>
    </row>
    <row r="210" spans="1:5" s="506" customFormat="1" x14ac:dyDescent="0.2">
      <c r="A210" s="512"/>
      <c r="B210" s="516" t="s">
        <v>792</v>
      </c>
      <c r="C210" s="555">
        <f>C204+C205+C208</f>
        <v>5803.7674799999995</v>
      </c>
      <c r="D210" s="555">
        <f>D204+D205+D208</f>
        <v>5831.2105000000001</v>
      </c>
      <c r="E210" s="556">
        <f t="shared" si="23"/>
        <v>27.443020000000615</v>
      </c>
    </row>
    <row r="211" spans="1:5" s="506" customFormat="1" x14ac:dyDescent="0.2">
      <c r="A211" s="512"/>
      <c r="B211" s="516" t="s">
        <v>691</v>
      </c>
      <c r="C211" s="555">
        <f>C210+C203</f>
        <v>8406.1708499999986</v>
      </c>
      <c r="D211" s="555">
        <f>D210+D203</f>
        <v>8441.3670999999995</v>
      </c>
      <c r="E211" s="556">
        <f t="shared" si="23"/>
        <v>35.196250000000873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793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620</v>
      </c>
      <c r="C215" s="557">
        <f>IF(C14*C137=0,0,C25/C14*C137)</f>
        <v>4988.1384366466746</v>
      </c>
      <c r="D215" s="557">
        <f>IF(D14*D137=0,0,D25/D14*D137)</f>
        <v>5246.4302462110863</v>
      </c>
      <c r="E215" s="557">
        <f t="shared" ref="E215:E223" si="24">D215-C215</f>
        <v>258.29180956441178</v>
      </c>
    </row>
    <row r="216" spans="1:5" s="506" customFormat="1" x14ac:dyDescent="0.2">
      <c r="A216" s="512">
        <v>2</v>
      </c>
      <c r="B216" s="511" t="s">
        <v>599</v>
      </c>
      <c r="C216" s="557">
        <f>IF(C15*C138=0,0,C26/C15*C138)</f>
        <v>2075.7555801110248</v>
      </c>
      <c r="D216" s="557">
        <f>IF(D15*D138=0,0,D26/D15*D138)</f>
        <v>2219.0369166693722</v>
      </c>
      <c r="E216" s="557">
        <f t="shared" si="24"/>
        <v>143.28133655834745</v>
      </c>
    </row>
    <row r="217" spans="1:5" s="506" customFormat="1" x14ac:dyDescent="0.2">
      <c r="A217" s="512">
        <v>3</v>
      </c>
      <c r="B217" s="511" t="s">
        <v>745</v>
      </c>
      <c r="C217" s="557">
        <f>C218+C219</f>
        <v>1257.9933037137005</v>
      </c>
      <c r="D217" s="557">
        <f>D218+D219</f>
        <v>1587.9184006959679</v>
      </c>
      <c r="E217" s="557">
        <f t="shared" si="24"/>
        <v>329.92509698226741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1145.3018459234661</v>
      </c>
      <c r="D218" s="557">
        <f t="shared" si="25"/>
        <v>1524.2741673589171</v>
      </c>
      <c r="E218" s="557">
        <f t="shared" si="24"/>
        <v>378.97232143545102</v>
      </c>
    </row>
    <row r="219" spans="1:5" s="506" customFormat="1" x14ac:dyDescent="0.2">
      <c r="A219" s="512">
        <v>5</v>
      </c>
      <c r="B219" s="511" t="s">
        <v>712</v>
      </c>
      <c r="C219" s="557">
        <f t="shared" si="25"/>
        <v>112.69145779023444</v>
      </c>
      <c r="D219" s="557">
        <f t="shared" si="25"/>
        <v>63.644233337050714</v>
      </c>
      <c r="E219" s="557">
        <f t="shared" si="24"/>
        <v>-49.047224453183723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18.149519276086341</v>
      </c>
      <c r="D220" s="557">
        <f t="shared" si="25"/>
        <v>26.373466655409072</v>
      </c>
      <c r="E220" s="557">
        <f t="shared" si="24"/>
        <v>8.2239473793227305</v>
      </c>
    </row>
    <row r="221" spans="1:5" s="506" customFormat="1" x14ac:dyDescent="0.2">
      <c r="A221" s="512">
        <v>7</v>
      </c>
      <c r="B221" s="511" t="s">
        <v>727</v>
      </c>
      <c r="C221" s="557">
        <f t="shared" si="25"/>
        <v>175.92555253272394</v>
      </c>
      <c r="D221" s="557">
        <f t="shared" si="25"/>
        <v>380.08571938846001</v>
      </c>
      <c r="E221" s="557">
        <f t="shared" si="24"/>
        <v>204.16016685573607</v>
      </c>
    </row>
    <row r="222" spans="1:5" s="506" customFormat="1" x14ac:dyDescent="0.2">
      <c r="A222" s="512"/>
      <c r="B222" s="516" t="s">
        <v>794</v>
      </c>
      <c r="C222" s="558">
        <f>C216+C218+C219+C220</f>
        <v>3351.8984031008117</v>
      </c>
      <c r="D222" s="558">
        <f>D216+D218+D219+D220</f>
        <v>3833.328784020749</v>
      </c>
      <c r="E222" s="558">
        <f t="shared" si="24"/>
        <v>481.43038091993731</v>
      </c>
    </row>
    <row r="223" spans="1:5" s="506" customFormat="1" x14ac:dyDescent="0.2">
      <c r="A223" s="512"/>
      <c r="B223" s="516" t="s">
        <v>795</v>
      </c>
      <c r="C223" s="558">
        <f>C215+C222</f>
        <v>8340.0368397474867</v>
      </c>
      <c r="D223" s="558">
        <f>D215+D222</f>
        <v>9079.7590302318349</v>
      </c>
      <c r="E223" s="558">
        <f t="shared" si="24"/>
        <v>739.72219048434818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796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620</v>
      </c>
      <c r="C227" s="560">
        <f t="shared" ref="C227:D235" si="26">IF(C203=0,0,C47/C203)</f>
        <v>7565.8409557008836</v>
      </c>
      <c r="D227" s="560">
        <f t="shared" si="26"/>
        <v>7505.2516006127762</v>
      </c>
      <c r="E227" s="560">
        <f t="shared" ref="E227:E235" si="27">D227-C227</f>
        <v>-60.589355088107368</v>
      </c>
    </row>
    <row r="228" spans="1:5" s="506" customFormat="1" x14ac:dyDescent="0.2">
      <c r="A228" s="512">
        <v>2</v>
      </c>
      <c r="B228" s="511" t="s">
        <v>599</v>
      </c>
      <c r="C228" s="560">
        <f t="shared" si="26"/>
        <v>7897.142093470432</v>
      </c>
      <c r="D228" s="560">
        <f t="shared" si="26"/>
        <v>7707.3489136795306</v>
      </c>
      <c r="E228" s="560">
        <f t="shared" si="27"/>
        <v>-189.79317979090138</v>
      </c>
    </row>
    <row r="229" spans="1:5" s="506" customFormat="1" x14ac:dyDescent="0.2">
      <c r="A229" s="512">
        <v>3</v>
      </c>
      <c r="B229" s="511" t="s">
        <v>745</v>
      </c>
      <c r="C229" s="560">
        <f t="shared" si="26"/>
        <v>5922.3909303956425</v>
      </c>
      <c r="D229" s="560">
        <f t="shared" si="26"/>
        <v>6336.5301835243999</v>
      </c>
      <c r="E229" s="560">
        <f t="shared" si="27"/>
        <v>414.13925312875745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5964.4860904646348</v>
      </c>
      <c r="D230" s="560">
        <f t="shared" si="26"/>
        <v>6679.5142748926837</v>
      </c>
      <c r="E230" s="560">
        <f t="shared" si="27"/>
        <v>715.02818442804892</v>
      </c>
    </row>
    <row r="231" spans="1:5" s="506" customFormat="1" x14ac:dyDescent="0.2">
      <c r="A231" s="512">
        <v>5</v>
      </c>
      <c r="B231" s="511" t="s">
        <v>712</v>
      </c>
      <c r="C231" s="560">
        <f t="shared" si="26"/>
        <v>5726.4405221776451</v>
      </c>
      <c r="D231" s="560">
        <f t="shared" si="26"/>
        <v>701.05419965783187</v>
      </c>
      <c r="E231" s="560">
        <f t="shared" si="27"/>
        <v>-5025.3863225198129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10650.432327510147</v>
      </c>
      <c r="D232" s="560">
        <f t="shared" si="26"/>
        <v>14217.235362543621</v>
      </c>
      <c r="E232" s="560">
        <f t="shared" si="27"/>
        <v>3566.8030350334739</v>
      </c>
    </row>
    <row r="233" spans="1:5" s="506" customFormat="1" x14ac:dyDescent="0.2">
      <c r="A233" s="512">
        <v>7</v>
      </c>
      <c r="B233" s="511" t="s">
        <v>727</v>
      </c>
      <c r="C233" s="560">
        <f t="shared" si="26"/>
        <v>15357.623340491562</v>
      </c>
      <c r="D233" s="560">
        <f t="shared" si="26"/>
        <v>1318.3745834279437</v>
      </c>
      <c r="E233" s="560">
        <f t="shared" si="27"/>
        <v>-14039.248757063619</v>
      </c>
    </row>
    <row r="234" spans="1:5" x14ac:dyDescent="0.2">
      <c r="A234" s="512"/>
      <c r="B234" s="516" t="s">
        <v>797</v>
      </c>
      <c r="C234" s="561">
        <f t="shared" si="26"/>
        <v>7573.1788276259485</v>
      </c>
      <c r="D234" s="561">
        <f t="shared" si="26"/>
        <v>7488.8582739381472</v>
      </c>
      <c r="E234" s="561">
        <f t="shared" si="27"/>
        <v>-84.320553687801294</v>
      </c>
    </row>
    <row r="235" spans="1:5" s="506" customFormat="1" x14ac:dyDescent="0.2">
      <c r="A235" s="512"/>
      <c r="B235" s="516" t="s">
        <v>798</v>
      </c>
      <c r="C235" s="561">
        <f t="shared" si="26"/>
        <v>7570.9071509056957</v>
      </c>
      <c r="D235" s="561">
        <f t="shared" si="26"/>
        <v>7493.9272573514781</v>
      </c>
      <c r="E235" s="561">
        <f t="shared" si="27"/>
        <v>-76.979893554217597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799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620</v>
      </c>
      <c r="C239" s="560">
        <f t="shared" ref="C239:D247" si="28">IF(C215=0,0,C58/C215)</f>
        <v>6418.8601432490568</v>
      </c>
      <c r="D239" s="560">
        <f t="shared" si="28"/>
        <v>6818.6184359994413</v>
      </c>
      <c r="E239" s="562">
        <f t="shared" ref="E239:E247" si="29">D239-C239</f>
        <v>399.7582927503845</v>
      </c>
    </row>
    <row r="240" spans="1:5" s="506" customFormat="1" x14ac:dyDescent="0.2">
      <c r="A240" s="512">
        <v>2</v>
      </c>
      <c r="B240" s="511" t="s">
        <v>599</v>
      </c>
      <c r="C240" s="560">
        <f t="shared" si="28"/>
        <v>6350.9124707711935</v>
      </c>
      <c r="D240" s="560">
        <f t="shared" si="28"/>
        <v>5977.3264249736994</v>
      </c>
      <c r="E240" s="562">
        <f t="shared" si="29"/>
        <v>-373.58604579749408</v>
      </c>
    </row>
    <row r="241" spans="1:5" x14ac:dyDescent="0.2">
      <c r="A241" s="512">
        <v>3</v>
      </c>
      <c r="B241" s="511" t="s">
        <v>745</v>
      </c>
      <c r="C241" s="560">
        <f t="shared" si="28"/>
        <v>3925.0677928280493</v>
      </c>
      <c r="D241" s="560">
        <f t="shared" si="28"/>
        <v>3293.473391143933</v>
      </c>
      <c r="E241" s="562">
        <f t="shared" si="29"/>
        <v>-631.59440168411629</v>
      </c>
    </row>
    <row r="242" spans="1:5" x14ac:dyDescent="0.2">
      <c r="A242" s="512">
        <v>4</v>
      </c>
      <c r="B242" s="511" t="s">
        <v>114</v>
      </c>
      <c r="C242" s="560">
        <f t="shared" si="28"/>
        <v>3443.0416872509863</v>
      </c>
      <c r="D242" s="560">
        <f t="shared" si="28"/>
        <v>3415.5364641655738</v>
      </c>
      <c r="E242" s="562">
        <f t="shared" si="29"/>
        <v>-27.505223085412581</v>
      </c>
    </row>
    <row r="243" spans="1:5" x14ac:dyDescent="0.2">
      <c r="A243" s="512">
        <v>5</v>
      </c>
      <c r="B243" s="511" t="s">
        <v>712</v>
      </c>
      <c r="C243" s="560">
        <f t="shared" si="28"/>
        <v>8823.9784940129775</v>
      </c>
      <c r="D243" s="560">
        <f t="shared" si="28"/>
        <v>370.07280573664383</v>
      </c>
      <c r="E243" s="562">
        <f t="shared" si="29"/>
        <v>-8453.9056882763343</v>
      </c>
    </row>
    <row r="244" spans="1:5" x14ac:dyDescent="0.2">
      <c r="A244" s="512">
        <v>6</v>
      </c>
      <c r="B244" s="511" t="s">
        <v>418</v>
      </c>
      <c r="C244" s="560">
        <f t="shared" si="28"/>
        <v>4675.3304431486658</v>
      </c>
      <c r="D244" s="560">
        <f t="shared" si="28"/>
        <v>4521.4002981873227</v>
      </c>
      <c r="E244" s="562">
        <f t="shared" si="29"/>
        <v>-153.9301449613431</v>
      </c>
    </row>
    <row r="245" spans="1:5" x14ac:dyDescent="0.2">
      <c r="A245" s="512">
        <v>7</v>
      </c>
      <c r="B245" s="511" t="s">
        <v>727</v>
      </c>
      <c r="C245" s="560">
        <f t="shared" si="28"/>
        <v>8039.6109583734988</v>
      </c>
      <c r="D245" s="560">
        <f t="shared" si="28"/>
        <v>1116.1403292987816</v>
      </c>
      <c r="E245" s="562">
        <f t="shared" si="29"/>
        <v>-6923.4706290747172</v>
      </c>
    </row>
    <row r="246" spans="1:5" ht="25.5" x14ac:dyDescent="0.2">
      <c r="A246" s="512"/>
      <c r="B246" s="516" t="s">
        <v>800</v>
      </c>
      <c r="C246" s="561">
        <f t="shared" si="28"/>
        <v>5431.4014956892033</v>
      </c>
      <c r="D246" s="561">
        <f t="shared" si="28"/>
        <v>4855.5501102822318</v>
      </c>
      <c r="E246" s="563">
        <f t="shared" si="29"/>
        <v>-575.85138540697153</v>
      </c>
    </row>
    <row r="247" spans="1:5" x14ac:dyDescent="0.2">
      <c r="A247" s="512"/>
      <c r="B247" s="516" t="s">
        <v>801</v>
      </c>
      <c r="C247" s="561">
        <f t="shared" si="28"/>
        <v>6021.9960612932537</v>
      </c>
      <c r="D247" s="561">
        <f t="shared" si="28"/>
        <v>5989.8424417339793</v>
      </c>
      <c r="E247" s="563">
        <f t="shared" si="29"/>
        <v>-32.153619559274375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729</v>
      </c>
      <c r="B249" s="550" t="s">
        <v>726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3330389.7760726088</v>
      </c>
      <c r="D251" s="546">
        <f>((IF((IF(D15=0,0,D26/D15)*D138)=0,0,D59/(IF(D15=0,0,D26/D15)*D138)))-(IF((IF(D17=0,0,D28/D17)*D140)=0,0,D61/(IF(D17=0,0,D28/D17)*D140))))*(IF(D17=0,0,D28/D17)*D140)</f>
        <v>3904870.2594592385</v>
      </c>
      <c r="E251" s="546">
        <f>D251-C251</f>
        <v>574480.48338662973</v>
      </c>
    </row>
    <row r="252" spans="1:5" x14ac:dyDescent="0.2">
      <c r="A252" s="512">
        <v>2</v>
      </c>
      <c r="B252" s="511" t="s">
        <v>712</v>
      </c>
      <c r="C252" s="546">
        <f>IF(C231=0,0,(C228-C231)*C207)+IF(C243=0,0,(C240-C243)*C219)</f>
        <v>88304.711516128562</v>
      </c>
      <c r="D252" s="546">
        <f>IF(D231=0,0,(D228-D231)*D207)+IF(D243=0,0,(D240-D243)*D219)</f>
        <v>746203.33975631837</v>
      </c>
      <c r="E252" s="546">
        <f>D252-C252</f>
        <v>657898.62824018975</v>
      </c>
    </row>
    <row r="253" spans="1:5" x14ac:dyDescent="0.2">
      <c r="A253" s="512">
        <v>3</v>
      </c>
      <c r="B253" s="511" t="s">
        <v>727</v>
      </c>
      <c r="C253" s="546">
        <f>IF(C233=0,0,(C228-C233)*C209+IF(C221=0,0,(C240-C245)*C221))</f>
        <v>-944063.44517596858</v>
      </c>
      <c r="D253" s="546">
        <f>IF(D233=0,0,(D228-D233)*D209+IF(D221=0,0,(D240-D245)*D221))</f>
        <v>2404784.6980588529</v>
      </c>
      <c r="E253" s="546">
        <f>D253-C253</f>
        <v>3348848.1432348215</v>
      </c>
    </row>
    <row r="254" spans="1:5" ht="15" customHeight="1" x14ac:dyDescent="0.2">
      <c r="A254" s="512"/>
      <c r="B254" s="516" t="s">
        <v>728</v>
      </c>
      <c r="C254" s="564">
        <f>+C251+C252+C253</f>
        <v>2474631.0424127686</v>
      </c>
      <c r="D254" s="564">
        <f>+D251+D252+D253</f>
        <v>7055858.2972744098</v>
      </c>
      <c r="E254" s="564">
        <f>D254-C254</f>
        <v>4581227.2548616417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802</v>
      </c>
      <c r="B256" s="550" t="s">
        <v>803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694</v>
      </c>
      <c r="C258" s="546">
        <f>+C44</f>
        <v>353472922</v>
      </c>
      <c r="D258" s="549">
        <f>+D44</f>
        <v>381244191</v>
      </c>
      <c r="E258" s="546">
        <f t="shared" ref="E258:E271" si="30">D258-C258</f>
        <v>27771269</v>
      </c>
    </row>
    <row r="259" spans="1:5" x14ac:dyDescent="0.2">
      <c r="A259" s="512">
        <v>2</v>
      </c>
      <c r="B259" s="511" t="s">
        <v>711</v>
      </c>
      <c r="C259" s="546">
        <f>+(C43-C76)</f>
        <v>143666609</v>
      </c>
      <c r="D259" s="549">
        <f>+(D43-D76)</f>
        <v>161395022</v>
      </c>
      <c r="E259" s="546">
        <f t="shared" si="30"/>
        <v>17728413</v>
      </c>
    </row>
    <row r="260" spans="1:5" x14ac:dyDescent="0.2">
      <c r="A260" s="512">
        <v>3</v>
      </c>
      <c r="B260" s="511" t="s">
        <v>715</v>
      </c>
      <c r="C260" s="546">
        <f>C195</f>
        <v>12058517</v>
      </c>
      <c r="D260" s="546">
        <f>D195</f>
        <v>10204806</v>
      </c>
      <c r="E260" s="546">
        <f t="shared" si="30"/>
        <v>-1853711</v>
      </c>
    </row>
    <row r="261" spans="1:5" x14ac:dyDescent="0.2">
      <c r="A261" s="512">
        <v>4</v>
      </c>
      <c r="B261" s="511" t="s">
        <v>716</v>
      </c>
      <c r="C261" s="546">
        <f>C188</f>
        <v>83881787</v>
      </c>
      <c r="D261" s="546">
        <f>D188</f>
        <v>91999043</v>
      </c>
      <c r="E261" s="546">
        <f t="shared" si="30"/>
        <v>8117256</v>
      </c>
    </row>
    <row r="262" spans="1:5" x14ac:dyDescent="0.2">
      <c r="A262" s="512">
        <v>5</v>
      </c>
      <c r="B262" s="511" t="s">
        <v>717</v>
      </c>
      <c r="C262" s="546">
        <f>C191</f>
        <v>0</v>
      </c>
      <c r="D262" s="546">
        <f>D191</f>
        <v>0</v>
      </c>
      <c r="E262" s="546">
        <f t="shared" si="30"/>
        <v>0</v>
      </c>
    </row>
    <row r="263" spans="1:5" x14ac:dyDescent="0.2">
      <c r="A263" s="512">
        <v>6</v>
      </c>
      <c r="B263" s="511" t="s">
        <v>718</v>
      </c>
      <c r="C263" s="546">
        <f>+C259+C260+C261+C262</f>
        <v>239606913</v>
      </c>
      <c r="D263" s="546">
        <f>+D259+D260+D261+D262</f>
        <v>263598871</v>
      </c>
      <c r="E263" s="546">
        <f t="shared" si="30"/>
        <v>23991958</v>
      </c>
    </row>
    <row r="264" spans="1:5" x14ac:dyDescent="0.2">
      <c r="A264" s="512">
        <v>7</v>
      </c>
      <c r="B264" s="511" t="s">
        <v>618</v>
      </c>
      <c r="C264" s="546">
        <f>+C258-C263</f>
        <v>113866009</v>
      </c>
      <c r="D264" s="546">
        <f>+D258-D263</f>
        <v>117645320</v>
      </c>
      <c r="E264" s="546">
        <f t="shared" si="30"/>
        <v>3779311</v>
      </c>
    </row>
    <row r="265" spans="1:5" x14ac:dyDescent="0.2">
      <c r="A265" s="512">
        <v>8</v>
      </c>
      <c r="B265" s="511" t="s">
        <v>804</v>
      </c>
      <c r="C265" s="565">
        <f>C192</f>
        <v>595446</v>
      </c>
      <c r="D265" s="565">
        <f>D192</f>
        <v>529441</v>
      </c>
      <c r="E265" s="546">
        <f t="shared" si="30"/>
        <v>-66005</v>
      </c>
    </row>
    <row r="266" spans="1:5" x14ac:dyDescent="0.2">
      <c r="A266" s="512">
        <v>9</v>
      </c>
      <c r="B266" s="511" t="s">
        <v>805</v>
      </c>
      <c r="C266" s="546">
        <f>+C264+C265</f>
        <v>114461455</v>
      </c>
      <c r="D266" s="546">
        <f>+D264+D265</f>
        <v>118174761</v>
      </c>
      <c r="E266" s="565">
        <f t="shared" si="30"/>
        <v>3713306</v>
      </c>
    </row>
    <row r="267" spans="1:5" x14ac:dyDescent="0.2">
      <c r="A267" s="512">
        <v>10</v>
      </c>
      <c r="B267" s="511" t="s">
        <v>806</v>
      </c>
      <c r="C267" s="566">
        <f>IF(C258=0,0,C266/C258)</f>
        <v>0.32381958525241716</v>
      </c>
      <c r="D267" s="566">
        <f>IF(D258=0,0,D266/D258)</f>
        <v>0.30997130917596066</v>
      </c>
      <c r="E267" s="567">
        <f t="shared" si="30"/>
        <v>-1.38482760764565E-2</v>
      </c>
    </row>
    <row r="268" spans="1:5" x14ac:dyDescent="0.2">
      <c r="A268" s="512">
        <v>11</v>
      </c>
      <c r="B268" s="511" t="s">
        <v>680</v>
      </c>
      <c r="C268" s="546">
        <f>+C260*C267</f>
        <v>3904783.9736992219</v>
      </c>
      <c r="D268" s="568">
        <f>+D260*D267</f>
        <v>3163197.0757066985</v>
      </c>
      <c r="E268" s="546">
        <f t="shared" si="30"/>
        <v>-741586.89799252339</v>
      </c>
    </row>
    <row r="269" spans="1:5" x14ac:dyDescent="0.2">
      <c r="A269" s="512">
        <v>12</v>
      </c>
      <c r="B269" s="511" t="s">
        <v>807</v>
      </c>
      <c r="C269" s="546">
        <f>((C17+C18+C28+C29)*C267)-(C50+C51+C61+C62)</f>
        <v>3008911.8239261489</v>
      </c>
      <c r="D269" s="568">
        <f>((D17+D18+D28+D29)*D267)-(D50+D51+D61+D62)</f>
        <v>3273968.1508331932</v>
      </c>
      <c r="E269" s="546">
        <f t="shared" si="30"/>
        <v>265056.32690704428</v>
      </c>
    </row>
    <row r="270" spans="1:5" s="569" customFormat="1" x14ac:dyDescent="0.2">
      <c r="A270" s="570">
        <v>13</v>
      </c>
      <c r="B270" s="571" t="s">
        <v>808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809</v>
      </c>
      <c r="C271" s="546">
        <f>+C268+C269+C270</f>
        <v>6913695.7976253703</v>
      </c>
      <c r="D271" s="546">
        <f>+D268+D269+D270</f>
        <v>6437165.2265398912</v>
      </c>
      <c r="E271" s="549">
        <f t="shared" si="30"/>
        <v>-476530.57108547911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810</v>
      </c>
      <c r="B273" s="550" t="s">
        <v>811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812</v>
      </c>
      <c r="C275" s="340"/>
      <c r="D275" s="340"/>
      <c r="E275" s="520"/>
    </row>
    <row r="276" spans="1:5" x14ac:dyDescent="0.2">
      <c r="A276" s="512">
        <v>1</v>
      </c>
      <c r="B276" s="511" t="s">
        <v>620</v>
      </c>
      <c r="C276" s="547">
        <f t="shared" ref="C276:D284" si="31">IF(C14=0,0,+C47/C14)</f>
        <v>0.37727959182445564</v>
      </c>
      <c r="D276" s="547">
        <f t="shared" si="31"/>
        <v>0.36617889313080337</v>
      </c>
      <c r="E276" s="574">
        <f t="shared" ref="E276:E284" si="32">D276-C276</f>
        <v>-1.1100698693652267E-2</v>
      </c>
    </row>
    <row r="277" spans="1:5" x14ac:dyDescent="0.2">
      <c r="A277" s="512">
        <v>2</v>
      </c>
      <c r="B277" s="511" t="s">
        <v>599</v>
      </c>
      <c r="C277" s="547">
        <f t="shared" si="31"/>
        <v>0.36821537940782223</v>
      </c>
      <c r="D277" s="547">
        <f t="shared" si="31"/>
        <v>0.34132202625895941</v>
      </c>
      <c r="E277" s="574">
        <f t="shared" si="32"/>
        <v>-2.689335314886282E-2</v>
      </c>
    </row>
    <row r="278" spans="1:5" x14ac:dyDescent="0.2">
      <c r="A278" s="512">
        <v>3</v>
      </c>
      <c r="B278" s="511" t="s">
        <v>745</v>
      </c>
      <c r="C278" s="547">
        <f t="shared" si="31"/>
        <v>0.27060193937938787</v>
      </c>
      <c r="D278" s="547">
        <f t="shared" si="31"/>
        <v>0.28282541047401677</v>
      </c>
      <c r="E278" s="574">
        <f t="shared" si="32"/>
        <v>1.2223471094628902E-2</v>
      </c>
    </row>
    <row r="279" spans="1:5" x14ac:dyDescent="0.2">
      <c r="A279" s="512">
        <v>4</v>
      </c>
      <c r="B279" s="511" t="s">
        <v>114</v>
      </c>
      <c r="C279" s="547">
        <f t="shared" si="31"/>
        <v>0.31352599634916323</v>
      </c>
      <c r="D279" s="547">
        <f t="shared" si="31"/>
        <v>0.31500157560857722</v>
      </c>
      <c r="E279" s="574">
        <f t="shared" si="32"/>
        <v>1.4755792594139949E-3</v>
      </c>
    </row>
    <row r="280" spans="1:5" x14ac:dyDescent="0.2">
      <c r="A280" s="512">
        <v>5</v>
      </c>
      <c r="B280" s="511" t="s">
        <v>712</v>
      </c>
      <c r="C280" s="547">
        <f t="shared" si="31"/>
        <v>0.16264206526022884</v>
      </c>
      <c r="D280" s="547">
        <f t="shared" si="31"/>
        <v>1.6645751054219504E-2</v>
      </c>
      <c r="E280" s="574">
        <f t="shared" si="32"/>
        <v>-0.14599631420600934</v>
      </c>
    </row>
    <row r="281" spans="1:5" x14ac:dyDescent="0.2">
      <c r="A281" s="512">
        <v>6</v>
      </c>
      <c r="B281" s="511" t="s">
        <v>418</v>
      </c>
      <c r="C281" s="547">
        <f t="shared" si="31"/>
        <v>0.35557074182298049</v>
      </c>
      <c r="D281" s="547">
        <f t="shared" si="31"/>
        <v>0.70761214372730896</v>
      </c>
      <c r="E281" s="574">
        <f t="shared" si="32"/>
        <v>0.35204140190432848</v>
      </c>
    </row>
    <row r="282" spans="1:5" x14ac:dyDescent="0.2">
      <c r="A282" s="512">
        <v>7</v>
      </c>
      <c r="B282" s="511" t="s">
        <v>727</v>
      </c>
      <c r="C282" s="547">
        <f t="shared" si="31"/>
        <v>0.37675904235110608</v>
      </c>
      <c r="D282" s="547">
        <f t="shared" si="31"/>
        <v>5.5341684185291284E-2</v>
      </c>
      <c r="E282" s="574">
        <f t="shared" si="32"/>
        <v>-0.32141735816581479</v>
      </c>
    </row>
    <row r="283" spans="1:5" ht="29.25" customHeight="1" x14ac:dyDescent="0.2">
      <c r="A283" s="512"/>
      <c r="B283" s="516" t="s">
        <v>813</v>
      </c>
      <c r="C283" s="575">
        <f t="shared" si="31"/>
        <v>0.35185580230904601</v>
      </c>
      <c r="D283" s="575">
        <f t="shared" si="31"/>
        <v>0.33212910562104347</v>
      </c>
      <c r="E283" s="576">
        <f t="shared" si="32"/>
        <v>-1.9726696688002532E-2</v>
      </c>
    </row>
    <row r="284" spans="1:5" x14ac:dyDescent="0.2">
      <c r="A284" s="512"/>
      <c r="B284" s="516" t="s">
        <v>814</v>
      </c>
      <c r="C284" s="575">
        <f t="shared" si="31"/>
        <v>0.35934744788896894</v>
      </c>
      <c r="D284" s="575">
        <f t="shared" si="31"/>
        <v>0.34197663050338561</v>
      </c>
      <c r="E284" s="576">
        <f t="shared" si="32"/>
        <v>-1.7370817385583326E-2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815</v>
      </c>
      <c r="C286" s="520"/>
      <c r="D286" s="520"/>
      <c r="E286" s="520"/>
    </row>
    <row r="287" spans="1:5" x14ac:dyDescent="0.2">
      <c r="A287" s="512">
        <v>1</v>
      </c>
      <c r="B287" s="511" t="s">
        <v>620</v>
      </c>
      <c r="C287" s="547">
        <f t="shared" ref="C287:D295" si="33">IF(C25=0,0,+C58/C25)</f>
        <v>0.33540887073903636</v>
      </c>
      <c r="D287" s="547">
        <f t="shared" si="33"/>
        <v>0.34374692541789165</v>
      </c>
      <c r="E287" s="574">
        <f t="shared" ref="E287:E295" si="34">D287-C287</f>
        <v>8.3380546788552889E-3</v>
      </c>
    </row>
    <row r="288" spans="1:5" x14ac:dyDescent="0.2">
      <c r="A288" s="512">
        <v>2</v>
      </c>
      <c r="B288" s="511" t="s">
        <v>599</v>
      </c>
      <c r="C288" s="547">
        <f t="shared" si="33"/>
        <v>0.22137845141070064</v>
      </c>
      <c r="D288" s="547">
        <f t="shared" si="33"/>
        <v>0.20028866895236522</v>
      </c>
      <c r="E288" s="574">
        <f t="shared" si="34"/>
        <v>-2.1089782458335427E-2</v>
      </c>
    </row>
    <row r="289" spans="1:5" x14ac:dyDescent="0.2">
      <c r="A289" s="512">
        <v>3</v>
      </c>
      <c r="B289" s="511" t="s">
        <v>745</v>
      </c>
      <c r="C289" s="547">
        <f t="shared" si="33"/>
        <v>0.23399861952581921</v>
      </c>
      <c r="D289" s="547">
        <f t="shared" si="33"/>
        <v>0.20482018590903581</v>
      </c>
      <c r="E289" s="574">
        <f t="shared" si="34"/>
        <v>-2.9178433616783406E-2</v>
      </c>
    </row>
    <row r="290" spans="1:5" x14ac:dyDescent="0.2">
      <c r="A290" s="512">
        <v>4</v>
      </c>
      <c r="B290" s="511" t="s">
        <v>114</v>
      </c>
      <c r="C290" s="547">
        <f t="shared" si="33"/>
        <v>0.23548596590181281</v>
      </c>
      <c r="D290" s="547">
        <f t="shared" si="33"/>
        <v>0.22545874595005086</v>
      </c>
      <c r="E290" s="574">
        <f t="shared" si="34"/>
        <v>-1.0027219951761951E-2</v>
      </c>
    </row>
    <row r="291" spans="1:5" x14ac:dyDescent="0.2">
      <c r="A291" s="512">
        <v>5</v>
      </c>
      <c r="B291" s="511" t="s">
        <v>712</v>
      </c>
      <c r="C291" s="547">
        <f t="shared" si="33"/>
        <v>0.22828089201511487</v>
      </c>
      <c r="D291" s="547">
        <f t="shared" si="33"/>
        <v>9.6457254811702971E-3</v>
      </c>
      <c r="E291" s="574">
        <f t="shared" si="34"/>
        <v>-0.21863516653394457</v>
      </c>
    </row>
    <row r="292" spans="1:5" x14ac:dyDescent="0.2">
      <c r="A292" s="512">
        <v>6</v>
      </c>
      <c r="B292" s="511" t="s">
        <v>418</v>
      </c>
      <c r="C292" s="547">
        <f t="shared" si="33"/>
        <v>0.33052105121703262</v>
      </c>
      <c r="D292" s="547">
        <f t="shared" si="33"/>
        <v>0.27267904387972808</v>
      </c>
      <c r="E292" s="574">
        <f t="shared" si="34"/>
        <v>-5.7842007337304546E-2</v>
      </c>
    </row>
    <row r="293" spans="1:5" x14ac:dyDescent="0.2">
      <c r="A293" s="512">
        <v>7</v>
      </c>
      <c r="B293" s="511" t="s">
        <v>727</v>
      </c>
      <c r="C293" s="547">
        <f t="shared" si="33"/>
        <v>0.20241462473581409</v>
      </c>
      <c r="D293" s="547">
        <f t="shared" si="33"/>
        <v>5.5341902697270219E-2</v>
      </c>
      <c r="E293" s="574">
        <f t="shared" si="34"/>
        <v>-0.14707272203854388</v>
      </c>
    </row>
    <row r="294" spans="1:5" ht="29.25" customHeight="1" x14ac:dyDescent="0.2">
      <c r="A294" s="512"/>
      <c r="B294" s="516" t="s">
        <v>816</v>
      </c>
      <c r="C294" s="575">
        <f t="shared" si="33"/>
        <v>0.22501623520245745</v>
      </c>
      <c r="D294" s="575">
        <f t="shared" si="33"/>
        <v>0.20188704949697769</v>
      </c>
      <c r="E294" s="576">
        <f t="shared" si="34"/>
        <v>-2.3129185705479754E-2</v>
      </c>
    </row>
    <row r="295" spans="1:5" x14ac:dyDescent="0.2">
      <c r="A295" s="512"/>
      <c r="B295" s="516" t="s">
        <v>817</v>
      </c>
      <c r="C295" s="575">
        <f t="shared" si="33"/>
        <v>0.28476695194692714</v>
      </c>
      <c r="D295" s="575">
        <f t="shared" si="33"/>
        <v>0.27710837326798943</v>
      </c>
      <c r="E295" s="576">
        <f t="shared" si="34"/>
        <v>-7.6585786789377108E-3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818</v>
      </c>
      <c r="B297" s="501" t="s">
        <v>819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820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618</v>
      </c>
      <c r="C301" s="514">
        <f>+C48+C47+C50+C51+C52+C59+C58+C61+C62+C63</f>
        <v>113866008</v>
      </c>
      <c r="D301" s="514">
        <f>+D48+D47+D50+D51+D52+D59+D58+D61+D62+D63</f>
        <v>117645317</v>
      </c>
      <c r="E301" s="514">
        <f>D301-C301</f>
        <v>3779309</v>
      </c>
    </row>
    <row r="302" spans="1:5" ht="25.5" x14ac:dyDescent="0.2">
      <c r="A302" s="512">
        <v>2</v>
      </c>
      <c r="B302" s="511" t="s">
        <v>821</v>
      </c>
      <c r="C302" s="546">
        <f>C265</f>
        <v>595446</v>
      </c>
      <c r="D302" s="546">
        <f>D265</f>
        <v>529441</v>
      </c>
      <c r="E302" s="514">
        <f>D302-C302</f>
        <v>-66005</v>
      </c>
    </row>
    <row r="303" spans="1:5" x14ac:dyDescent="0.2">
      <c r="A303" s="512"/>
      <c r="B303" s="516" t="s">
        <v>822</v>
      </c>
      <c r="C303" s="517">
        <f>+C301+C302</f>
        <v>114461454</v>
      </c>
      <c r="D303" s="517">
        <f>+D301+D302</f>
        <v>118174758</v>
      </c>
      <c r="E303" s="517">
        <f>D303-C303</f>
        <v>3713304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823</v>
      </c>
      <c r="C305" s="513">
        <v>4850843</v>
      </c>
      <c r="D305" s="578">
        <v>-88277</v>
      </c>
      <c r="E305" s="579">
        <f>D305-C305</f>
        <v>-4939120</v>
      </c>
    </row>
    <row r="306" spans="1:5" x14ac:dyDescent="0.2">
      <c r="A306" s="512">
        <v>4</v>
      </c>
      <c r="B306" s="516" t="s">
        <v>824</v>
      </c>
      <c r="C306" s="580">
        <f>+C303+C305</f>
        <v>119312297</v>
      </c>
      <c r="D306" s="580">
        <f>+D303+D305</f>
        <v>118086481</v>
      </c>
      <c r="E306" s="580">
        <f>D306-C306</f>
        <v>-1225816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825</v>
      </c>
      <c r="C308" s="513">
        <v>119312297</v>
      </c>
      <c r="D308" s="513">
        <v>118086481</v>
      </c>
      <c r="E308" s="514">
        <f>D308-C308</f>
        <v>-1225816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826</v>
      </c>
      <c r="C310" s="581">
        <f>C306-C308</f>
        <v>0</v>
      </c>
      <c r="D310" s="582">
        <f>D306-D308</f>
        <v>0</v>
      </c>
      <c r="E310" s="580">
        <f>D310-C310</f>
        <v>0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827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828</v>
      </c>
      <c r="C314" s="514">
        <f>+C14+C15+C16+C19+C25+C26+C27+C30</f>
        <v>353472922</v>
      </c>
      <c r="D314" s="514">
        <f>+D14+D15+D16+D19+D25+D26+D27+D30</f>
        <v>381244191</v>
      </c>
      <c r="E314" s="514">
        <f>D314-C314</f>
        <v>27771269</v>
      </c>
    </row>
    <row r="315" spans="1:5" x14ac:dyDescent="0.2">
      <c r="A315" s="512">
        <v>2</v>
      </c>
      <c r="B315" s="583" t="s">
        <v>829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830</v>
      </c>
      <c r="C316" s="581">
        <f>C314+C315</f>
        <v>353472922</v>
      </c>
      <c r="D316" s="581">
        <f>D314+D315</f>
        <v>381244191</v>
      </c>
      <c r="E316" s="517">
        <f>D316-C316</f>
        <v>27771269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831</v>
      </c>
      <c r="C318" s="513">
        <v>353472922</v>
      </c>
      <c r="D318" s="513">
        <v>381244191</v>
      </c>
      <c r="E318" s="514">
        <f>D318-C318</f>
        <v>27771269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826</v>
      </c>
      <c r="C320" s="581">
        <f>C316-C318</f>
        <v>0</v>
      </c>
      <c r="D320" s="581">
        <f>D316-D318</f>
        <v>0</v>
      </c>
      <c r="E320" s="517">
        <f>D320-C320</f>
        <v>0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832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833</v>
      </c>
      <c r="C324" s="513">
        <f>+C193+C194</f>
        <v>12058517</v>
      </c>
      <c r="D324" s="513">
        <f>+D193+D194</f>
        <v>10204806</v>
      </c>
      <c r="E324" s="514">
        <f>D324-C324</f>
        <v>-1853711</v>
      </c>
    </row>
    <row r="325" spans="1:5" x14ac:dyDescent="0.2">
      <c r="A325" s="512">
        <v>2</v>
      </c>
      <c r="B325" s="511" t="s">
        <v>834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835</v>
      </c>
      <c r="C326" s="581">
        <f>C324+C325</f>
        <v>12058517</v>
      </c>
      <c r="D326" s="581">
        <f>D324+D325</f>
        <v>10204806</v>
      </c>
      <c r="E326" s="517">
        <f>D326-C326</f>
        <v>-1853711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836</v>
      </c>
      <c r="C328" s="513">
        <v>12058517</v>
      </c>
      <c r="D328" s="513">
        <v>10204809</v>
      </c>
      <c r="E328" s="514">
        <f>D328-C328</f>
        <v>-1853708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837</v>
      </c>
      <c r="C330" s="581">
        <f>C326-C328</f>
        <v>0</v>
      </c>
      <c r="D330" s="581">
        <f>D326-D328</f>
        <v>-3</v>
      </c>
      <c r="E330" s="517">
        <f>D330-C330</f>
        <v>-3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9" fitToHeight="0" orientation="portrait" r:id="rId1"/>
  <headerFooter>
    <oddHeader>&amp;LOFFICE OF HEALTH CARE ACCESS&amp;CTWELVE MONTHS ACTUAL FILING&amp;RGRIFFIN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>
      <selection activeCell="H27" sqref="H27"/>
    </sheetView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590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838</v>
      </c>
      <c r="B5" s="696"/>
      <c r="C5" s="697"/>
      <c r="D5" s="585"/>
    </row>
    <row r="6" spans="1:58" s="338" customFormat="1" ht="15.75" customHeight="1" x14ac:dyDescent="0.25">
      <c r="A6" s="695" t="s">
        <v>839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840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841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744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620</v>
      </c>
      <c r="C14" s="513">
        <v>53498119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599</v>
      </c>
      <c r="C15" s="515">
        <v>109615387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745</v>
      </c>
      <c r="C16" s="515">
        <v>21701130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19360773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712</v>
      </c>
      <c r="C18" s="515">
        <v>2340357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165814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727</v>
      </c>
      <c r="C20" s="515">
        <v>2077313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746</v>
      </c>
      <c r="C21" s="517">
        <f>SUM(C15+C16+C19)</f>
        <v>131482331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686</v>
      </c>
      <c r="C22" s="517">
        <f>SUM(C14+C21)</f>
        <v>184980450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747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620</v>
      </c>
      <c r="C25" s="513">
        <v>104069021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599</v>
      </c>
      <c r="C26" s="515">
        <v>66223956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745</v>
      </c>
      <c r="C27" s="515">
        <v>25533455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23091648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712</v>
      </c>
      <c r="C29" s="515">
        <v>2441807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437309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727</v>
      </c>
      <c r="C31" s="518">
        <v>7665602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748</v>
      </c>
      <c r="C32" s="517">
        <f>SUM(C26+C27+C30)</f>
        <v>92194720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692</v>
      </c>
      <c r="C33" s="517">
        <f>SUM(C25+C32)</f>
        <v>196263741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617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842</v>
      </c>
      <c r="C36" s="514">
        <f>SUM(C14+C25)</f>
        <v>157567140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843</v>
      </c>
      <c r="C37" s="518">
        <f>SUM(C21+C32)</f>
        <v>223677051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617</v>
      </c>
      <c r="C38" s="517">
        <f>SUM(+C36+C37)</f>
        <v>381244191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757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620</v>
      </c>
      <c r="C41" s="513">
        <v>19589882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599</v>
      </c>
      <c r="C42" s="515">
        <v>37414146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745</v>
      </c>
      <c r="C43" s="515">
        <v>6137631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6098674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712</v>
      </c>
      <c r="C45" s="515">
        <v>38957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117332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727</v>
      </c>
      <c r="C47" s="515">
        <v>114962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758</v>
      </c>
      <c r="C48" s="517">
        <f>SUM(C42+C43+C46)</f>
        <v>43669109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687</v>
      </c>
      <c r="C49" s="517">
        <f>SUM(C41+C48)</f>
        <v>63258991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759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620</v>
      </c>
      <c r="C52" s="513">
        <v>35773406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599</v>
      </c>
      <c r="C53" s="515">
        <v>13263908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745</v>
      </c>
      <c r="C54" s="515">
        <v>5229767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5206214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712</v>
      </c>
      <c r="C56" s="515">
        <v>23553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119245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727</v>
      </c>
      <c r="C58" s="515">
        <v>424229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760</v>
      </c>
      <c r="C59" s="517">
        <f>SUM(C53+C54+C57)</f>
        <v>18612920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693</v>
      </c>
      <c r="C60" s="517">
        <f>SUM(C52+C59)</f>
        <v>54386326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618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844</v>
      </c>
      <c r="C63" s="514">
        <f>SUM(C41+C52)</f>
        <v>55363288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845</v>
      </c>
      <c r="C64" s="518">
        <f>SUM(C48+C59)</f>
        <v>62282029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618</v>
      </c>
      <c r="C65" s="517">
        <f>SUM(+C63+C64)</f>
        <v>117645317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846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847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620</v>
      </c>
      <c r="C70" s="530">
        <v>2697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599</v>
      </c>
      <c r="C71" s="530">
        <v>3673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745</v>
      </c>
      <c r="C72" s="530">
        <v>1339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1278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712</v>
      </c>
      <c r="C74" s="530">
        <v>61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10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727</v>
      </c>
      <c r="C76" s="545">
        <v>103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775</v>
      </c>
      <c r="C77" s="532">
        <f>SUM(C71+C72+C75)</f>
        <v>5022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689</v>
      </c>
      <c r="C78" s="596">
        <f>SUM(C70+C77)</f>
        <v>7719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780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620</v>
      </c>
      <c r="C81" s="541">
        <v>0.96779999999999999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599</v>
      </c>
      <c r="C82" s="541">
        <v>1.3216300000000001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745</v>
      </c>
      <c r="C83" s="541">
        <f>((C73*C84)+(C74*C85))/(C73+C74)</f>
        <v>0.72338365197908894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0.71443000000000001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712</v>
      </c>
      <c r="C85" s="541">
        <v>0.91096999999999995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0.82528000000000001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727</v>
      </c>
      <c r="C87" s="541">
        <v>0.84660000000000002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781</v>
      </c>
      <c r="C88" s="543">
        <f>((C71*C82)+(C73*C84)+(C74*C85)+(C75*C86))/(C71+C73+C74+C75)</f>
        <v>1.1611331142970929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690</v>
      </c>
      <c r="C89" s="543">
        <f>((C70*C81)+(C71*C82)+(C73*C84)+(C74*C85)+(C75*C86))/(C70+C71+C73+C74+C75)</f>
        <v>1.0935829900246148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782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783</v>
      </c>
      <c r="C92" s="513">
        <v>147824225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784</v>
      </c>
      <c r="C93" s="546">
        <v>55825182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632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716</v>
      </c>
      <c r="C95" s="513">
        <f>+C92-C93</f>
        <v>91999043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634</v>
      </c>
      <c r="C96" s="597">
        <f>(+C92-C93)/C92</f>
        <v>0.62235430627151944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731</v>
      </c>
      <c r="C98" s="513">
        <v>0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717</v>
      </c>
      <c r="C99" s="513">
        <v>0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848</v>
      </c>
      <c r="C101" s="513">
        <v>529441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786</v>
      </c>
      <c r="C103" s="513">
        <v>8958645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787</v>
      </c>
      <c r="C104" s="513">
        <v>1246161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788</v>
      </c>
      <c r="C105" s="578">
        <f>+C103+C104</f>
        <v>10204806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789</v>
      </c>
      <c r="C107" s="513">
        <v>3781488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674</v>
      </c>
      <c r="C108" s="513">
        <v>120493484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819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820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618</v>
      </c>
      <c r="C114" s="514">
        <f>+C65</f>
        <v>117645317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821</v>
      </c>
      <c r="C115" s="546">
        <f>+C101</f>
        <v>529441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822</v>
      </c>
      <c r="C116" s="517">
        <f>+C114+C115</f>
        <v>118174758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823</v>
      </c>
      <c r="C118" s="578">
        <v>-88277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824</v>
      </c>
      <c r="C119" s="580">
        <f>+C116+C118</f>
        <v>118086481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825</v>
      </c>
      <c r="C121" s="513">
        <v>118086481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826</v>
      </c>
      <c r="C123" s="582">
        <f>C119-C121</f>
        <v>0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827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828</v>
      </c>
      <c r="C127" s="514">
        <f>+C38</f>
        <v>381244191</v>
      </c>
      <c r="D127" s="588"/>
      <c r="AR127" s="507"/>
    </row>
    <row r="128" spans="1:58" s="506" customFormat="1" x14ac:dyDescent="0.2">
      <c r="A128" s="512">
        <v>2</v>
      </c>
      <c r="B128" s="583" t="s">
        <v>829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830</v>
      </c>
      <c r="C129" s="581">
        <f>C127+C128</f>
        <v>381244191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831</v>
      </c>
      <c r="C131" s="513">
        <v>381244191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826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832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833</v>
      </c>
      <c r="C137" s="513">
        <f>C105</f>
        <v>10204806</v>
      </c>
      <c r="D137" s="588"/>
      <c r="AR137" s="507"/>
    </row>
    <row r="138" spans="1:44" s="506" customFormat="1" x14ac:dyDescent="0.2">
      <c r="A138" s="512">
        <v>2</v>
      </c>
      <c r="B138" s="511" t="s">
        <v>849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835</v>
      </c>
      <c r="C139" s="581">
        <f>C137+C138</f>
        <v>10204806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850</v>
      </c>
      <c r="C141" s="513">
        <v>10204809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837</v>
      </c>
      <c r="C143" s="581">
        <f>C139-C141</f>
        <v>-3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r:id="rId1"/>
  <headerFooter>
    <oddHeader>&amp;LOFFICE OF HEALTH CARE ACCESS&amp;CTWELVE MONTHS ACTUAL FILING&amp;RGRIFFIN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opLeftCell="A3" zoomScale="75" zoomScaleSheetLayoutView="90" workbookViewId="0">
      <selection activeCell="H27" sqref="H27"/>
    </sheetView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590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591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851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594</v>
      </c>
      <c r="D8" s="35" t="s">
        <v>594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596</v>
      </c>
      <c r="D9" s="607" t="s">
        <v>597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852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853</v>
      </c>
      <c r="C12" s="49">
        <v>376</v>
      </c>
      <c r="D12" s="49">
        <v>455</v>
      </c>
      <c r="E12" s="49">
        <f>+D12-C12</f>
        <v>79</v>
      </c>
      <c r="F12" s="70">
        <f>IF(C12=0,0,+E12/C12)</f>
        <v>0.21010638297872342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854</v>
      </c>
      <c r="C13" s="49">
        <v>311</v>
      </c>
      <c r="D13" s="49">
        <v>362</v>
      </c>
      <c r="E13" s="49">
        <f>+D13-C13</f>
        <v>51</v>
      </c>
      <c r="F13" s="70">
        <f>IF(C13=0,0,+E13/C13)</f>
        <v>0.16398713826366559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855</v>
      </c>
      <c r="C15" s="51">
        <v>5752621</v>
      </c>
      <c r="D15" s="51">
        <v>8958645</v>
      </c>
      <c r="E15" s="51">
        <f>+D15-C15</f>
        <v>3206024</v>
      </c>
      <c r="F15" s="70">
        <f>IF(C15=0,0,+E15/C15)</f>
        <v>0.55731535242804975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856</v>
      </c>
      <c r="C16" s="27">
        <f>IF(C13=0,0,+C15/+C13)</f>
        <v>18497.173633440514</v>
      </c>
      <c r="D16" s="27">
        <f>IF(D13=0,0,+D15/+D13)</f>
        <v>24747.638121546963</v>
      </c>
      <c r="E16" s="27">
        <f>+D16-C16</f>
        <v>6250.4644881064487</v>
      </c>
      <c r="F16" s="28">
        <f>IF(C16=0,0,+E16/C16)</f>
        <v>0.3379145707323854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857</v>
      </c>
      <c r="C18" s="210">
        <v>0.35547200000000001</v>
      </c>
      <c r="D18" s="210">
        <v>0.33571400000000001</v>
      </c>
      <c r="E18" s="210">
        <f>+D18-C18</f>
        <v>-1.9757999999999998E-2</v>
      </c>
      <c r="F18" s="70">
        <f>IF(C18=0,0,+E18/C18)</f>
        <v>-5.5582436872665071E-2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858</v>
      </c>
      <c r="C19" s="27">
        <f>+C15*C18</f>
        <v>2044895.692112</v>
      </c>
      <c r="D19" s="27">
        <f>+D15*D18</f>
        <v>3007542.5475300001</v>
      </c>
      <c r="E19" s="27">
        <f>+D19-C19</f>
        <v>962646.85541800014</v>
      </c>
      <c r="F19" s="28">
        <f>IF(C19=0,0,+E19/C19)</f>
        <v>0.47075597016088561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859</v>
      </c>
      <c r="C20" s="27">
        <f>IF(C13=0,0,+C19/C13)</f>
        <v>6575.2273058263663</v>
      </c>
      <c r="D20" s="27">
        <f>IF(D13=0,0,+D19/D13)</f>
        <v>8308.1285843370169</v>
      </c>
      <c r="E20" s="27">
        <f>+D20-C20</f>
        <v>1732.9012785106506</v>
      </c>
      <c r="F20" s="28">
        <f>IF(C20=0,0,+E20/C20)</f>
        <v>0.2635500185636338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860</v>
      </c>
      <c r="C22" s="51">
        <v>3315250</v>
      </c>
      <c r="D22" s="51">
        <v>4246224</v>
      </c>
      <c r="E22" s="51">
        <f>+D22-C22</f>
        <v>930974</v>
      </c>
      <c r="F22" s="70">
        <f>IF(C22=0,0,+E22/C22)</f>
        <v>0.28081562476434657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861</v>
      </c>
      <c r="C23" s="49">
        <v>884035</v>
      </c>
      <c r="D23" s="49">
        <v>2844741</v>
      </c>
      <c r="E23" s="49">
        <f>+D23-C23</f>
        <v>1960706</v>
      </c>
      <c r="F23" s="70">
        <f>IF(C23=0,0,+E23/C23)</f>
        <v>2.2179053996730898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862</v>
      </c>
      <c r="C24" s="49">
        <v>1553336</v>
      </c>
      <c r="D24" s="49">
        <v>1867680</v>
      </c>
      <c r="E24" s="49">
        <f>+D24-C24</f>
        <v>314344</v>
      </c>
      <c r="F24" s="70">
        <f>IF(C24=0,0,+E24/C24)</f>
        <v>0.20236703456303079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855</v>
      </c>
      <c r="C25" s="27">
        <f>+C22+C23+C24</f>
        <v>5752621</v>
      </c>
      <c r="D25" s="27">
        <f>+D22+D23+D24</f>
        <v>8958645</v>
      </c>
      <c r="E25" s="27">
        <f>+E22+E23+E24</f>
        <v>3206024</v>
      </c>
      <c r="F25" s="28">
        <f>IF(C25=0,0,+E25/C25)</f>
        <v>0.55731535242804975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863</v>
      </c>
      <c r="C27" s="49">
        <v>4105</v>
      </c>
      <c r="D27" s="49">
        <v>9288</v>
      </c>
      <c r="E27" s="49">
        <f>+D27-C27</f>
        <v>5183</v>
      </c>
      <c r="F27" s="70">
        <f>IF(C27=0,0,+E27/C27)</f>
        <v>1.2626065773447015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864</v>
      </c>
      <c r="C28" s="49">
        <v>390</v>
      </c>
      <c r="D28" s="49">
        <v>1404</v>
      </c>
      <c r="E28" s="49">
        <f>+D28-C28</f>
        <v>1014</v>
      </c>
      <c r="F28" s="70">
        <f>IF(C28=0,0,+E28/C28)</f>
        <v>2.6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865</v>
      </c>
      <c r="C29" s="49">
        <v>1995</v>
      </c>
      <c r="D29" s="49">
        <v>2214</v>
      </c>
      <c r="E29" s="49">
        <f>+D29-C29</f>
        <v>219</v>
      </c>
      <c r="F29" s="70">
        <f>IF(C29=0,0,+E29/C29)</f>
        <v>0.10977443609022557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866</v>
      </c>
      <c r="C30" s="49">
        <v>1720</v>
      </c>
      <c r="D30" s="49">
        <v>5670</v>
      </c>
      <c r="E30" s="49">
        <f>+D30-C30</f>
        <v>3950</v>
      </c>
      <c r="F30" s="70">
        <f>IF(C30=0,0,+E30/C30)</f>
        <v>2.2965116279069768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867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868</v>
      </c>
      <c r="C33" s="51">
        <v>2506445</v>
      </c>
      <c r="D33" s="51">
        <v>124616</v>
      </c>
      <c r="E33" s="51">
        <f>+D33-C33</f>
        <v>-2381829</v>
      </c>
      <c r="F33" s="70">
        <f>IF(C33=0,0,+E33/C33)</f>
        <v>-0.95028177358769095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869</v>
      </c>
      <c r="C34" s="49">
        <v>907245</v>
      </c>
      <c r="D34" s="49">
        <v>573234</v>
      </c>
      <c r="E34" s="49">
        <f>+D34-C34</f>
        <v>-334011</v>
      </c>
      <c r="F34" s="70">
        <f>IF(C34=0,0,+E34/C34)</f>
        <v>-0.36815964816560026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870</v>
      </c>
      <c r="C35" s="49">
        <v>2892206</v>
      </c>
      <c r="D35" s="49">
        <v>548311</v>
      </c>
      <c r="E35" s="49">
        <f>+D35-C35</f>
        <v>-2343895</v>
      </c>
      <c r="F35" s="70">
        <f>IF(C35=0,0,+E35/C35)</f>
        <v>-0.81041772266567458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871</v>
      </c>
      <c r="C36" s="27">
        <f>+C33+C34+C35</f>
        <v>6305896</v>
      </c>
      <c r="D36" s="27">
        <f>+D33+D34+D35</f>
        <v>1246161</v>
      </c>
      <c r="E36" s="27">
        <f>+E33+E34+E35</f>
        <v>-5059735</v>
      </c>
      <c r="F36" s="28">
        <f>IF(C36=0,0,+E36/C36)</f>
        <v>-0.8023816123830777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872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873</v>
      </c>
      <c r="C39" s="51">
        <f>+C25</f>
        <v>5752621</v>
      </c>
      <c r="D39" s="51">
        <f>+D25</f>
        <v>8958645</v>
      </c>
      <c r="E39" s="51">
        <f>+D39-C39</f>
        <v>3206024</v>
      </c>
      <c r="F39" s="70">
        <f>IF(C39=0,0,+E39/C39)</f>
        <v>0.55731535242804975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874</v>
      </c>
      <c r="C40" s="49">
        <f>+C36</f>
        <v>6305896</v>
      </c>
      <c r="D40" s="49">
        <f>+D36</f>
        <v>1246161</v>
      </c>
      <c r="E40" s="49">
        <f>+D40-C40</f>
        <v>-5059735</v>
      </c>
      <c r="F40" s="70">
        <f>IF(C40=0,0,+E40/C40)</f>
        <v>-0.8023816123830777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875</v>
      </c>
      <c r="C41" s="27">
        <f>+C39+C40</f>
        <v>12058517</v>
      </c>
      <c r="D41" s="27">
        <f>+D39+D40</f>
        <v>10204806</v>
      </c>
      <c r="E41" s="27">
        <f>+E39+E40</f>
        <v>-1853711</v>
      </c>
      <c r="F41" s="28">
        <f>IF(C41=0,0,+E41/C41)</f>
        <v>-0.15372628325688806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876</v>
      </c>
      <c r="C43" s="51">
        <f t="shared" ref="C43:D45" si="0">+C22+C33</f>
        <v>5821695</v>
      </c>
      <c r="D43" s="51">
        <f t="shared" si="0"/>
        <v>4370840</v>
      </c>
      <c r="E43" s="51">
        <f>+D43-C43</f>
        <v>-1450855</v>
      </c>
      <c r="F43" s="70">
        <f>IF(C43=0,0,+E43/C43)</f>
        <v>-0.24921521996600646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877</v>
      </c>
      <c r="C44" s="49">
        <f t="shared" si="0"/>
        <v>1791280</v>
      </c>
      <c r="D44" s="49">
        <f t="shared" si="0"/>
        <v>3417975</v>
      </c>
      <c r="E44" s="49">
        <f>+D44-C44</f>
        <v>1626695</v>
      </c>
      <c r="F44" s="70">
        <f>IF(C44=0,0,+E44/C44)</f>
        <v>0.90811877540083064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878</v>
      </c>
      <c r="C45" s="49">
        <f t="shared" si="0"/>
        <v>4445542</v>
      </c>
      <c r="D45" s="49">
        <f t="shared" si="0"/>
        <v>2415991</v>
      </c>
      <c r="E45" s="49">
        <f>+D45-C45</f>
        <v>-2029551</v>
      </c>
      <c r="F45" s="70">
        <f>IF(C45=0,0,+E45/C45)</f>
        <v>-0.45653623337716753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875</v>
      </c>
      <c r="C46" s="27">
        <f>+C43+C44+C45</f>
        <v>12058517</v>
      </c>
      <c r="D46" s="27">
        <f>+D43+D44+D45</f>
        <v>10204806</v>
      </c>
      <c r="E46" s="27">
        <f>+E43+E44+E45</f>
        <v>-1853711</v>
      </c>
      <c r="F46" s="28">
        <f>IF(C46=0,0,+E46/C46)</f>
        <v>-0.15372628325688806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879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r:id="rId1"/>
  <headerFooter>
    <oddHeader>&amp;LOFFICE OF HEALTH CARE ACCESS&amp;CTWELVE MONTHS ACTUAL FILING&amp;RGRIFFIN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>
      <selection activeCell="H27" sqref="H27"/>
    </sheetView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590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591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880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881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596</v>
      </c>
      <c r="D9" s="35" t="s">
        <v>597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882</v>
      </c>
      <c r="D10" s="35" t="s">
        <v>882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883</v>
      </c>
      <c r="D11" s="605" t="s">
        <v>883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884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137125385</v>
      </c>
      <c r="D15" s="51">
        <v>147824225</v>
      </c>
      <c r="E15" s="51">
        <f>+D15-C15</f>
        <v>10698840</v>
      </c>
      <c r="F15" s="70">
        <f>+E15/C15</f>
        <v>7.8022315124220074E-2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504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885</v>
      </c>
      <c r="C17" s="51">
        <v>83881787</v>
      </c>
      <c r="D17" s="51">
        <v>91999043</v>
      </c>
      <c r="E17" s="51">
        <f>+D17-C17</f>
        <v>8117256</v>
      </c>
      <c r="F17" s="70">
        <f>+E17/C17</f>
        <v>9.677018445017152E-2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886</v>
      </c>
      <c r="C19" s="27">
        <f>+C15-C17</f>
        <v>53243598</v>
      </c>
      <c r="D19" s="27">
        <f>+D15-D17</f>
        <v>55825182</v>
      </c>
      <c r="E19" s="27">
        <f>+D19-C19</f>
        <v>2581584</v>
      </c>
      <c r="F19" s="28">
        <f>+E19/C19</f>
        <v>4.84862799843091E-2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887</v>
      </c>
      <c r="C21" s="628">
        <f>+C17/C15</f>
        <v>0.61171596345928214</v>
      </c>
      <c r="D21" s="628">
        <f>+D17/D15</f>
        <v>0.62235430627151944</v>
      </c>
      <c r="E21" s="628">
        <f>+D21-C21</f>
        <v>1.06383428122373E-2</v>
      </c>
      <c r="F21" s="28">
        <f>+E21/C21</f>
        <v>1.7390984456375765E-2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504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504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504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504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888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r:id="rId1"/>
  <headerFooter>
    <oddHeader>&amp;L&amp;12OFFICE OF HEALTH CARE ACCESS&amp;C&amp;12TWELVE MONTHS ACTUAL FILING&amp;R&amp;12GRIFFIN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889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890</v>
      </c>
      <c r="B6" s="632" t="s">
        <v>891</v>
      </c>
      <c r="C6" s="632" t="s">
        <v>892</v>
      </c>
      <c r="D6" s="632" t="s">
        <v>893</v>
      </c>
      <c r="E6" s="632" t="s">
        <v>894</v>
      </c>
    </row>
    <row r="7" spans="1:6" ht="37.5" customHeight="1" x14ac:dyDescent="0.25">
      <c r="A7" s="633" t="s">
        <v>8</v>
      </c>
      <c r="B7" s="634" t="s">
        <v>895</v>
      </c>
      <c r="C7" s="631" t="s">
        <v>896</v>
      </c>
      <c r="D7" s="631" t="s">
        <v>897</v>
      </c>
      <c r="E7" s="631" t="s">
        <v>898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899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900</v>
      </c>
      <c r="C10" s="641">
        <v>172404039</v>
      </c>
      <c r="D10" s="641">
        <v>177105304</v>
      </c>
      <c r="E10" s="641">
        <v>184980450</v>
      </c>
    </row>
    <row r="11" spans="1:6" ht="26.1" customHeight="1" x14ac:dyDescent="0.25">
      <c r="A11" s="639">
        <v>2</v>
      </c>
      <c r="B11" s="640" t="s">
        <v>901</v>
      </c>
      <c r="C11" s="641">
        <v>151291469</v>
      </c>
      <c r="D11" s="641">
        <v>176367618</v>
      </c>
      <c r="E11" s="641">
        <v>196263741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323695508</v>
      </c>
      <c r="D12" s="641">
        <f>+D11+D10</f>
        <v>353472922</v>
      </c>
      <c r="E12" s="641">
        <f>+E11+E10</f>
        <v>381244191</v>
      </c>
    </row>
    <row r="13" spans="1:6" ht="26.1" customHeight="1" x14ac:dyDescent="0.25">
      <c r="A13" s="639">
        <v>4</v>
      </c>
      <c r="B13" s="640" t="s">
        <v>484</v>
      </c>
      <c r="C13" s="641">
        <v>115006758</v>
      </c>
      <c r="D13" s="641">
        <v>119312297</v>
      </c>
      <c r="E13" s="641">
        <v>118086481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902</v>
      </c>
      <c r="C16" s="641">
        <v>116164408</v>
      </c>
      <c r="D16" s="641">
        <v>119759030</v>
      </c>
      <c r="E16" s="641">
        <v>120493484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903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34817</v>
      </c>
      <c r="D19" s="644">
        <v>33581</v>
      </c>
      <c r="E19" s="644">
        <v>33429</v>
      </c>
    </row>
    <row r="20" spans="1:5" ht="26.1" customHeight="1" x14ac:dyDescent="0.25">
      <c r="A20" s="639">
        <v>2</v>
      </c>
      <c r="B20" s="640" t="s">
        <v>373</v>
      </c>
      <c r="C20" s="645">
        <v>7617</v>
      </c>
      <c r="D20" s="645">
        <v>7533</v>
      </c>
      <c r="E20" s="645">
        <v>7719</v>
      </c>
    </row>
    <row r="21" spans="1:5" ht="26.1" customHeight="1" x14ac:dyDescent="0.25">
      <c r="A21" s="639">
        <v>3</v>
      </c>
      <c r="B21" s="640" t="s">
        <v>904</v>
      </c>
      <c r="C21" s="646">
        <f>IF(C20=0,0,+C19/C20)</f>
        <v>4.5709596954181437</v>
      </c>
      <c r="D21" s="646">
        <f>IF(D20=0,0,+D19/D20)</f>
        <v>4.4578521173503249</v>
      </c>
      <c r="E21" s="646">
        <f>IF(E20=0,0,+E19/E20)</f>
        <v>4.330742324135251</v>
      </c>
    </row>
    <row r="22" spans="1:5" ht="26.1" customHeight="1" x14ac:dyDescent="0.25">
      <c r="A22" s="639">
        <v>4</v>
      </c>
      <c r="B22" s="640" t="s">
        <v>905</v>
      </c>
      <c r="C22" s="645">
        <f>IF(C10=0,0,C19*(C12/C10))</f>
        <v>65370.315958989799</v>
      </c>
      <c r="D22" s="645">
        <f>IF(D10=0,0,D19*(D12/D10))</f>
        <v>67022.127093844683</v>
      </c>
      <c r="E22" s="645">
        <f>IF(E10=0,0,E19*(E12/E10))</f>
        <v>68897.075669017999</v>
      </c>
    </row>
    <row r="23" spans="1:5" ht="26.1" customHeight="1" x14ac:dyDescent="0.25">
      <c r="A23" s="639">
        <v>0</v>
      </c>
      <c r="B23" s="640" t="s">
        <v>906</v>
      </c>
      <c r="C23" s="645">
        <f>IF(C10=0,0,C20*(C12/C10))</f>
        <v>14301.223444283693</v>
      </c>
      <c r="D23" s="645">
        <f>IF(D10=0,0,D20*(D12/D10))</f>
        <v>15034.623251181682</v>
      </c>
      <c r="E23" s="645">
        <f>IF(E10=0,0,E20*(E12/E10))</f>
        <v>15908.837449195307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907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1.0902974425626888</v>
      </c>
      <c r="D26" s="647">
        <v>1.115912763839108</v>
      </c>
      <c r="E26" s="647">
        <v>1.0935829900246148</v>
      </c>
    </row>
    <row r="27" spans="1:5" ht="26.1" customHeight="1" x14ac:dyDescent="0.25">
      <c r="A27" s="639">
        <v>2</v>
      </c>
      <c r="B27" s="640" t="s">
        <v>908</v>
      </c>
      <c r="C27" s="645">
        <f>C19*C26</f>
        <v>37960.886057705138</v>
      </c>
      <c r="D27" s="645">
        <f>D19*D26</f>
        <v>37473.466522481081</v>
      </c>
      <c r="E27" s="645">
        <f>E19*E26</f>
        <v>36557.385773532849</v>
      </c>
    </row>
    <row r="28" spans="1:5" ht="26.1" customHeight="1" x14ac:dyDescent="0.25">
      <c r="A28" s="639">
        <v>3</v>
      </c>
      <c r="B28" s="640" t="s">
        <v>909</v>
      </c>
      <c r="C28" s="645">
        <f>C20*C26</f>
        <v>8304.7956200000008</v>
      </c>
      <c r="D28" s="645">
        <f>D20*D26</f>
        <v>8406.1708500000004</v>
      </c>
      <c r="E28" s="645">
        <f>E20*E26</f>
        <v>8441.3671000000013</v>
      </c>
    </row>
    <row r="29" spans="1:5" ht="26.1" customHeight="1" x14ac:dyDescent="0.25">
      <c r="A29" s="639">
        <v>4</v>
      </c>
      <c r="B29" s="640" t="s">
        <v>910</v>
      </c>
      <c r="C29" s="645">
        <f>C22*C26</f>
        <v>71273.088309601502</v>
      </c>
      <c r="D29" s="645">
        <f>D22*D26</f>
        <v>74790.847083668181</v>
      </c>
      <c r="E29" s="645">
        <f>E22*E26</f>
        <v>75344.670014076837</v>
      </c>
    </row>
    <row r="30" spans="1:5" ht="26.1" customHeight="1" x14ac:dyDescent="0.25">
      <c r="A30" s="639">
        <v>5</v>
      </c>
      <c r="B30" s="640" t="s">
        <v>911</v>
      </c>
      <c r="C30" s="645">
        <f>C23*C26</f>
        <v>15592.587346820077</v>
      </c>
      <c r="D30" s="645">
        <f>D23*D26</f>
        <v>16777.327985505864</v>
      </c>
      <c r="E30" s="645">
        <f>E23*E26</f>
        <v>17397.63402550657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912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913</v>
      </c>
      <c r="C33" s="641">
        <f>IF(C19=0,0,C12/C19)</f>
        <v>9297.0533934572195</v>
      </c>
      <c r="D33" s="641">
        <f>IF(D19=0,0,D12/D19)</f>
        <v>10525.979631339151</v>
      </c>
      <c r="E33" s="641">
        <f>IF(E19=0,0,E12/E19)</f>
        <v>11404.594543659696</v>
      </c>
    </row>
    <row r="34" spans="1:5" ht="26.1" customHeight="1" x14ac:dyDescent="0.25">
      <c r="A34" s="639">
        <v>2</v>
      </c>
      <c r="B34" s="640" t="s">
        <v>914</v>
      </c>
      <c r="C34" s="641">
        <f>IF(C20=0,0,C12/C20)</f>
        <v>42496.456347643427</v>
      </c>
      <c r="D34" s="641">
        <f>IF(D20=0,0,D12/D20)</f>
        <v>46923.260586751625</v>
      </c>
      <c r="E34" s="641">
        <f>IF(E20=0,0,E12/E20)</f>
        <v>49390.360279828994</v>
      </c>
    </row>
    <row r="35" spans="1:5" ht="26.1" customHeight="1" x14ac:dyDescent="0.25">
      <c r="A35" s="639">
        <v>3</v>
      </c>
      <c r="B35" s="640" t="s">
        <v>915</v>
      </c>
      <c r="C35" s="641">
        <f>IF(C22=0,0,C12/C22)</f>
        <v>4951.720107993222</v>
      </c>
      <c r="D35" s="641">
        <f>IF(D22=0,0,D12/D22)</f>
        <v>5273.9734969179008</v>
      </c>
      <c r="E35" s="641">
        <f>IF(E22=0,0,E12/E22)</f>
        <v>5533.5322624068922</v>
      </c>
    </row>
    <row r="36" spans="1:5" ht="26.1" customHeight="1" x14ac:dyDescent="0.25">
      <c r="A36" s="639">
        <v>4</v>
      </c>
      <c r="B36" s="640" t="s">
        <v>916</v>
      </c>
      <c r="C36" s="641">
        <f>IF(C23=0,0,C12/C23)</f>
        <v>22634.113036628594</v>
      </c>
      <c r="D36" s="641">
        <f>IF(D23=0,0,D12/D23)</f>
        <v>23510.593920084961</v>
      </c>
      <c r="E36" s="641">
        <f>IF(E23=0,0,E12/E23)</f>
        <v>23964.302370773417</v>
      </c>
    </row>
    <row r="37" spans="1:5" ht="26.1" customHeight="1" x14ac:dyDescent="0.25">
      <c r="A37" s="639">
        <v>5</v>
      </c>
      <c r="B37" s="640" t="s">
        <v>917</v>
      </c>
      <c r="C37" s="641">
        <f>IF(C29=0,0,C12/C29)</f>
        <v>4541.6231522605931</v>
      </c>
      <c r="D37" s="641">
        <f>IF(D29=0,0,D12/D29)</f>
        <v>4726.1521400415677</v>
      </c>
      <c r="E37" s="641">
        <f>IF(E29=0,0,E12/E29)</f>
        <v>5060.002133246734</v>
      </c>
    </row>
    <row r="38" spans="1:5" ht="26.1" customHeight="1" x14ac:dyDescent="0.25">
      <c r="A38" s="639">
        <v>6</v>
      </c>
      <c r="B38" s="640" t="s">
        <v>918</v>
      </c>
      <c r="C38" s="641">
        <f>IF(C30=0,0,C12/C30)</f>
        <v>20759.576380761071</v>
      </c>
      <c r="D38" s="641">
        <f>IF(D30=0,0,D12/D30)</f>
        <v>21068.487324404072</v>
      </c>
      <c r="E38" s="641">
        <f>IF(E30=0,0,E12/E30)</f>
        <v>21913.565398666284</v>
      </c>
    </row>
    <row r="39" spans="1:5" ht="26.1" customHeight="1" x14ac:dyDescent="0.25">
      <c r="A39" s="639">
        <v>7</v>
      </c>
      <c r="B39" s="640" t="s">
        <v>919</v>
      </c>
      <c r="C39" s="641">
        <f>IF(C22=0,0,C10/C22)</f>
        <v>2637.3444348679304</v>
      </c>
      <c r="D39" s="641">
        <f>IF(D22=0,0,D10/D22)</f>
        <v>2642.4900503682366</v>
      </c>
      <c r="E39" s="641">
        <f>IF(E22=0,0,E10/E22)</f>
        <v>2684.8810084283882</v>
      </c>
    </row>
    <row r="40" spans="1:5" ht="26.1" customHeight="1" x14ac:dyDescent="0.25">
      <c r="A40" s="639">
        <v>8</v>
      </c>
      <c r="B40" s="640" t="s">
        <v>920</v>
      </c>
      <c r="C40" s="641">
        <f>IF(C23=0,0,C10/C23)</f>
        <v>12055.195114716651</v>
      </c>
      <c r="D40" s="641">
        <f>IF(D23=0,0,D10/D23)</f>
        <v>11779.829866111211</v>
      </c>
      <c r="E40" s="641">
        <f>IF(E23=0,0,E10/E23)</f>
        <v>11627.527818467754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921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922</v>
      </c>
      <c r="C43" s="641">
        <f>IF(C19=0,0,C13/C19)</f>
        <v>3303.178274980613</v>
      </c>
      <c r="D43" s="641">
        <f>IF(D19=0,0,D13/D19)</f>
        <v>3552.9703403710432</v>
      </c>
      <c r="E43" s="641">
        <f>IF(E19=0,0,E13/E19)</f>
        <v>3532.4562804750367</v>
      </c>
    </row>
    <row r="44" spans="1:5" ht="26.1" customHeight="1" x14ac:dyDescent="0.25">
      <c r="A44" s="639">
        <v>2</v>
      </c>
      <c r="B44" s="640" t="s">
        <v>923</v>
      </c>
      <c r="C44" s="641">
        <f>IF(C20=0,0,C13/C20)</f>
        <v>15098.694761717212</v>
      </c>
      <c r="D44" s="641">
        <f>IF(D20=0,0,D13/D20)</f>
        <v>15838.61635470596</v>
      </c>
      <c r="E44" s="641">
        <f>IF(E20=0,0,E13/E20)</f>
        <v>15298.157922010623</v>
      </c>
    </row>
    <row r="45" spans="1:5" ht="26.1" customHeight="1" x14ac:dyDescent="0.25">
      <c r="A45" s="639">
        <v>3</v>
      </c>
      <c r="B45" s="640" t="s">
        <v>924</v>
      </c>
      <c r="C45" s="641">
        <f>IF(C22=0,0,C13/C22)</f>
        <v>1759.3116434093683</v>
      </c>
      <c r="D45" s="641">
        <f>IF(D22=0,0,D13/D22)</f>
        <v>1780.1926344853005</v>
      </c>
      <c r="E45" s="641">
        <f>IF(E22=0,0,E13/E22)</f>
        <v>1713.9549081486161</v>
      </c>
    </row>
    <row r="46" spans="1:5" ht="26.1" customHeight="1" x14ac:dyDescent="0.25">
      <c r="A46" s="639">
        <v>4</v>
      </c>
      <c r="B46" s="640" t="s">
        <v>925</v>
      </c>
      <c r="C46" s="641">
        <f>IF(C23=0,0,C13/C23)</f>
        <v>8041.7426137040793</v>
      </c>
      <c r="D46" s="641">
        <f>IF(D23=0,0,D13/D23)</f>
        <v>7935.8355049317497</v>
      </c>
      <c r="E46" s="641">
        <f>IF(E23=0,0,E13/E23)</f>
        <v>7422.6970623785583</v>
      </c>
    </row>
    <row r="47" spans="1:5" ht="26.1" customHeight="1" x14ac:dyDescent="0.25">
      <c r="A47" s="639">
        <v>5</v>
      </c>
      <c r="B47" s="640" t="s">
        <v>926</v>
      </c>
      <c r="C47" s="641">
        <f>IF(C29=0,0,C13/C29)</f>
        <v>1613.6070532039362</v>
      </c>
      <c r="D47" s="641">
        <f>IF(D29=0,0,D13/D29)</f>
        <v>1595.2793911603364</v>
      </c>
      <c r="E47" s="641">
        <f>IF(E29=0,0,E13/E29)</f>
        <v>1567.2838035913835</v>
      </c>
    </row>
    <row r="48" spans="1:5" ht="26.1" customHeight="1" x14ac:dyDescent="0.25">
      <c r="A48" s="639">
        <v>6</v>
      </c>
      <c r="B48" s="640" t="s">
        <v>927</v>
      </c>
      <c r="C48" s="641">
        <f>IF(C30=0,0,C13/C30)</f>
        <v>7375.7328044376327</v>
      </c>
      <c r="D48" s="641">
        <f>IF(D30=0,0,D13/D30)</f>
        <v>7111.5196116494435</v>
      </c>
      <c r="E48" s="641">
        <f>IF(E30=0,0,E13/E30)</f>
        <v>6787.5023021448833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928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929</v>
      </c>
      <c r="C51" s="641">
        <f>IF(C19=0,0,C16/C19)</f>
        <v>3336.4278369761896</v>
      </c>
      <c r="D51" s="641">
        <f>IF(D19=0,0,D16/D19)</f>
        <v>3566.2734879842769</v>
      </c>
      <c r="E51" s="641">
        <f>IF(E19=0,0,E16/E19)</f>
        <v>3604.4597206018725</v>
      </c>
    </row>
    <row r="52" spans="1:6" ht="26.1" customHeight="1" x14ac:dyDescent="0.25">
      <c r="A52" s="639">
        <v>2</v>
      </c>
      <c r="B52" s="640" t="s">
        <v>930</v>
      </c>
      <c r="C52" s="641">
        <f>IF(C20=0,0,C16/C20)</f>
        <v>15250.6771694893</v>
      </c>
      <c r="D52" s="641">
        <f>IF(D20=0,0,D16/D20)</f>
        <v>15897.919819461038</v>
      </c>
      <c r="E52" s="641">
        <f>IF(E20=0,0,E16/E20)</f>
        <v>15609.986267651249</v>
      </c>
    </row>
    <row r="53" spans="1:6" ht="26.1" customHeight="1" x14ac:dyDescent="0.25">
      <c r="A53" s="639">
        <v>3</v>
      </c>
      <c r="B53" s="640" t="s">
        <v>931</v>
      </c>
      <c r="C53" s="641">
        <f>IF(C22=0,0,C16/C22)</f>
        <v>1777.0207516340595</v>
      </c>
      <c r="D53" s="641">
        <f>IF(D22=0,0,D16/D22)</f>
        <v>1786.8580899008603</v>
      </c>
      <c r="E53" s="641">
        <f>IF(E22=0,0,E16/E22)</f>
        <v>1748.8911224454791</v>
      </c>
    </row>
    <row r="54" spans="1:6" ht="26.1" customHeight="1" x14ac:dyDescent="0.25">
      <c r="A54" s="639">
        <v>4</v>
      </c>
      <c r="B54" s="640" t="s">
        <v>932</v>
      </c>
      <c r="C54" s="641">
        <f>IF(C23=0,0,C16/C23)</f>
        <v>8122.6902336409403</v>
      </c>
      <c r="D54" s="641">
        <f>IF(D23=0,0,D16/D23)</f>
        <v>7965.5491194691067</v>
      </c>
      <c r="E54" s="641">
        <f>IF(E23=0,0,E16/E23)</f>
        <v>7573.9968042790415</v>
      </c>
    </row>
    <row r="55" spans="1:6" ht="26.1" customHeight="1" x14ac:dyDescent="0.25">
      <c r="A55" s="639">
        <v>5</v>
      </c>
      <c r="B55" s="640" t="s">
        <v>933</v>
      </c>
      <c r="C55" s="641">
        <f>IF(C29=0,0,C16/C29)</f>
        <v>1629.8495091919708</v>
      </c>
      <c r="D55" s="641">
        <f>IF(D29=0,0,D16/D29)</f>
        <v>1601.2524883696813</v>
      </c>
      <c r="E55" s="641">
        <f>IF(E29=0,0,E16/E29)</f>
        <v>1599.2303633088829</v>
      </c>
    </row>
    <row r="56" spans="1:6" ht="26.1" customHeight="1" x14ac:dyDescent="0.25">
      <c r="A56" s="639">
        <v>6</v>
      </c>
      <c r="B56" s="640" t="s">
        <v>934</v>
      </c>
      <c r="C56" s="641">
        <f>IF(C30=0,0,C16/C30)</f>
        <v>7449.9764161135417</v>
      </c>
      <c r="D56" s="641">
        <f>IF(D30=0,0,D16/D30)</f>
        <v>7138.1467956912611</v>
      </c>
      <c r="E56" s="641">
        <f>IF(E30=0,0,E16/E30)</f>
        <v>6925.8546204239728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935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936</v>
      </c>
      <c r="C59" s="649">
        <v>15864900</v>
      </c>
      <c r="D59" s="649">
        <v>17033289</v>
      </c>
      <c r="E59" s="649">
        <v>18665249</v>
      </c>
    </row>
    <row r="60" spans="1:6" ht="26.1" customHeight="1" x14ac:dyDescent="0.25">
      <c r="A60" s="639">
        <v>2</v>
      </c>
      <c r="B60" s="640" t="s">
        <v>937</v>
      </c>
      <c r="C60" s="649">
        <v>3795573</v>
      </c>
      <c r="D60" s="649">
        <v>4526561</v>
      </c>
      <c r="E60" s="649">
        <v>5608641</v>
      </c>
    </row>
    <row r="61" spans="1:6" ht="26.1" customHeight="1" x14ac:dyDescent="0.25">
      <c r="A61" s="650">
        <v>3</v>
      </c>
      <c r="B61" s="651" t="s">
        <v>938</v>
      </c>
      <c r="C61" s="652">
        <f>C59+C60</f>
        <v>19660473</v>
      </c>
      <c r="D61" s="652">
        <f>D59+D60</f>
        <v>21559850</v>
      </c>
      <c r="E61" s="652">
        <f>E59+E60</f>
        <v>24273890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939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940</v>
      </c>
      <c r="C64" s="641">
        <v>6979406</v>
      </c>
      <c r="D64" s="641">
        <v>6156928</v>
      </c>
      <c r="E64" s="649">
        <v>5144632</v>
      </c>
      <c r="F64" s="653"/>
    </row>
    <row r="65" spans="1:6" ht="26.1" customHeight="1" x14ac:dyDescent="0.25">
      <c r="A65" s="639">
        <v>2</v>
      </c>
      <c r="B65" s="640" t="s">
        <v>941</v>
      </c>
      <c r="C65" s="649">
        <v>1669777</v>
      </c>
      <c r="D65" s="649">
        <v>1636192</v>
      </c>
      <c r="E65" s="649">
        <v>1545889</v>
      </c>
      <c r="F65" s="653"/>
    </row>
    <row r="66" spans="1:6" ht="26.1" customHeight="1" x14ac:dyDescent="0.25">
      <c r="A66" s="650">
        <v>3</v>
      </c>
      <c r="B66" s="651" t="s">
        <v>942</v>
      </c>
      <c r="C66" s="654">
        <f>C64+C65</f>
        <v>8649183</v>
      </c>
      <c r="D66" s="654">
        <f>D64+D65</f>
        <v>7793120</v>
      </c>
      <c r="E66" s="654">
        <f>E64+E65</f>
        <v>6690521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943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944</v>
      </c>
      <c r="C69" s="649">
        <v>28697744</v>
      </c>
      <c r="D69" s="649">
        <v>30325007</v>
      </c>
      <c r="E69" s="649">
        <v>30294911</v>
      </c>
    </row>
    <row r="70" spans="1:6" ht="26.1" customHeight="1" x14ac:dyDescent="0.25">
      <c r="A70" s="639">
        <v>2</v>
      </c>
      <c r="B70" s="640" t="s">
        <v>945</v>
      </c>
      <c r="C70" s="649">
        <v>6865748</v>
      </c>
      <c r="D70" s="649">
        <v>8058813</v>
      </c>
      <c r="E70" s="649">
        <v>9103188</v>
      </c>
    </row>
    <row r="71" spans="1:6" ht="26.1" customHeight="1" x14ac:dyDescent="0.25">
      <c r="A71" s="650">
        <v>3</v>
      </c>
      <c r="B71" s="651" t="s">
        <v>946</v>
      </c>
      <c r="C71" s="652">
        <f>C69+C70</f>
        <v>35563492</v>
      </c>
      <c r="D71" s="652">
        <f>D69+D70</f>
        <v>38383820</v>
      </c>
      <c r="E71" s="652">
        <f>E69+E70</f>
        <v>39398099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947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948</v>
      </c>
      <c r="C75" s="641">
        <f t="shared" ref="C75:E76" si="0">+C59+C64+C69</f>
        <v>51542050</v>
      </c>
      <c r="D75" s="641">
        <f t="shared" si="0"/>
        <v>53515224</v>
      </c>
      <c r="E75" s="641">
        <f t="shared" si="0"/>
        <v>54104792</v>
      </c>
    </row>
    <row r="76" spans="1:6" ht="26.1" customHeight="1" x14ac:dyDescent="0.25">
      <c r="A76" s="639">
        <v>2</v>
      </c>
      <c r="B76" s="640" t="s">
        <v>949</v>
      </c>
      <c r="C76" s="641">
        <f t="shared" si="0"/>
        <v>12331098</v>
      </c>
      <c r="D76" s="641">
        <f t="shared" si="0"/>
        <v>14221566</v>
      </c>
      <c r="E76" s="641">
        <f t="shared" si="0"/>
        <v>16257718</v>
      </c>
    </row>
    <row r="77" spans="1:6" ht="26.1" customHeight="1" x14ac:dyDescent="0.25">
      <c r="A77" s="650">
        <v>3</v>
      </c>
      <c r="B77" s="651" t="s">
        <v>947</v>
      </c>
      <c r="C77" s="654">
        <f>C75+C76</f>
        <v>63873148</v>
      </c>
      <c r="D77" s="654">
        <f>D75+D76</f>
        <v>67736790</v>
      </c>
      <c r="E77" s="654">
        <f>E75+E76</f>
        <v>70362510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950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578</v>
      </c>
      <c r="C80" s="646">
        <v>248</v>
      </c>
      <c r="D80" s="646">
        <v>278.3</v>
      </c>
      <c r="E80" s="646">
        <v>305</v>
      </c>
    </row>
    <row r="81" spans="1:5" ht="26.1" customHeight="1" x14ac:dyDescent="0.25">
      <c r="A81" s="639">
        <v>2</v>
      </c>
      <c r="B81" s="640" t="s">
        <v>579</v>
      </c>
      <c r="C81" s="646">
        <v>68</v>
      </c>
      <c r="D81" s="646">
        <v>63.1</v>
      </c>
      <c r="E81" s="646">
        <v>64</v>
      </c>
    </row>
    <row r="82" spans="1:5" ht="26.1" customHeight="1" x14ac:dyDescent="0.25">
      <c r="A82" s="639">
        <v>3</v>
      </c>
      <c r="B82" s="640" t="s">
        <v>951</v>
      </c>
      <c r="C82" s="646">
        <v>579</v>
      </c>
      <c r="D82" s="646">
        <v>587.70000000000005</v>
      </c>
      <c r="E82" s="646">
        <v>589</v>
      </c>
    </row>
    <row r="83" spans="1:5" ht="26.1" customHeight="1" x14ac:dyDescent="0.25">
      <c r="A83" s="650">
        <v>4</v>
      </c>
      <c r="B83" s="651" t="s">
        <v>950</v>
      </c>
      <c r="C83" s="656">
        <f>C80+C81+C82</f>
        <v>895</v>
      </c>
      <c r="D83" s="656">
        <f>D80+D81+D82</f>
        <v>929.10000000000014</v>
      </c>
      <c r="E83" s="656">
        <f>E80+E81+E82</f>
        <v>958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952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953</v>
      </c>
      <c r="C86" s="649">
        <f>IF(C80=0,0,C59/C80)</f>
        <v>63971.370967741932</v>
      </c>
      <c r="D86" s="649">
        <f>IF(D80=0,0,D59/D80)</f>
        <v>61204.77542220625</v>
      </c>
      <c r="E86" s="649">
        <f>IF(E80=0,0,E59/E80)</f>
        <v>61197.537704918032</v>
      </c>
    </row>
    <row r="87" spans="1:5" ht="26.1" customHeight="1" x14ac:dyDescent="0.25">
      <c r="A87" s="639">
        <v>2</v>
      </c>
      <c r="B87" s="640" t="s">
        <v>954</v>
      </c>
      <c r="C87" s="649">
        <f>IF(C80=0,0,C60/C80)</f>
        <v>15304.729838709678</v>
      </c>
      <c r="D87" s="649">
        <f>IF(D80=0,0,D60/D80)</f>
        <v>16265.041322314049</v>
      </c>
      <c r="E87" s="649">
        <f>IF(E80=0,0,E60/E80)</f>
        <v>18388.9868852459</v>
      </c>
    </row>
    <row r="88" spans="1:5" ht="26.1" customHeight="1" x14ac:dyDescent="0.25">
      <c r="A88" s="650">
        <v>3</v>
      </c>
      <c r="B88" s="651" t="s">
        <v>955</v>
      </c>
      <c r="C88" s="652">
        <f>+C86+C87</f>
        <v>79276.100806451606</v>
      </c>
      <c r="D88" s="652">
        <f>+D86+D87</f>
        <v>77469.8167445203</v>
      </c>
      <c r="E88" s="652">
        <f>+E86+E87</f>
        <v>79586.524590163928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576</v>
      </c>
      <c r="B90" s="642" t="s">
        <v>956</v>
      </c>
    </row>
    <row r="91" spans="1:5" ht="26.1" customHeight="1" x14ac:dyDescent="0.25">
      <c r="A91" s="639">
        <v>1</v>
      </c>
      <c r="B91" s="640" t="s">
        <v>957</v>
      </c>
      <c r="C91" s="641">
        <f>IF(C81=0,0,C64/C81)</f>
        <v>102638.32352941176</v>
      </c>
      <c r="D91" s="641">
        <f>IF(D81=0,0,D64/D81)</f>
        <v>97574.136291600633</v>
      </c>
      <c r="E91" s="641">
        <f>IF(E81=0,0,E64/E81)</f>
        <v>80384.875</v>
      </c>
    </row>
    <row r="92" spans="1:5" ht="26.1" customHeight="1" x14ac:dyDescent="0.25">
      <c r="A92" s="639">
        <v>2</v>
      </c>
      <c r="B92" s="640" t="s">
        <v>958</v>
      </c>
      <c r="C92" s="641">
        <f>IF(C81=0,0,C65/C81)</f>
        <v>24555.544117647059</v>
      </c>
      <c r="D92" s="641">
        <f>IF(D81=0,0,D65/D81)</f>
        <v>25930.142630744849</v>
      </c>
      <c r="E92" s="641">
        <f>IF(E81=0,0,E65/E81)</f>
        <v>24154.515625</v>
      </c>
    </row>
    <row r="93" spans="1:5" ht="26.1" customHeight="1" x14ac:dyDescent="0.25">
      <c r="A93" s="650">
        <v>3</v>
      </c>
      <c r="B93" s="651" t="s">
        <v>959</v>
      </c>
      <c r="C93" s="654">
        <f>+C91+C92</f>
        <v>127193.86764705883</v>
      </c>
      <c r="D93" s="654">
        <f>+D91+D92</f>
        <v>123504.27892234549</v>
      </c>
      <c r="E93" s="654">
        <f>+E91+E92</f>
        <v>104539.390625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960</v>
      </c>
      <c r="B95" s="642" t="s">
        <v>961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962</v>
      </c>
      <c r="C96" s="649">
        <f>IF(C82=0,0,C69/C82)</f>
        <v>49564.324697754746</v>
      </c>
      <c r="D96" s="649">
        <f>IF(D82=0,0,D69/D82)</f>
        <v>51599.467415347965</v>
      </c>
      <c r="E96" s="649">
        <f>IF(E82=0,0,E69/E82)</f>
        <v>51434.483870967742</v>
      </c>
    </row>
    <row r="97" spans="1:5" ht="26.1" customHeight="1" x14ac:dyDescent="0.25">
      <c r="A97" s="639">
        <v>2</v>
      </c>
      <c r="B97" s="640" t="s">
        <v>963</v>
      </c>
      <c r="C97" s="649">
        <f>IF(C82=0,0,C70/C82)</f>
        <v>11857.941278065631</v>
      </c>
      <c r="D97" s="649">
        <f>IF(D82=0,0,D70/D82)</f>
        <v>13712.460438999489</v>
      </c>
      <c r="E97" s="649">
        <f>IF(E82=0,0,E70/E82)</f>
        <v>15455.327674023769</v>
      </c>
    </row>
    <row r="98" spans="1:5" ht="26.1" customHeight="1" x14ac:dyDescent="0.25">
      <c r="A98" s="650">
        <v>3</v>
      </c>
      <c r="B98" s="651" t="s">
        <v>964</v>
      </c>
      <c r="C98" s="654">
        <f>+C96+C97</f>
        <v>61422.265975820381</v>
      </c>
      <c r="D98" s="654">
        <f>+D96+D97</f>
        <v>65311.92785434745</v>
      </c>
      <c r="E98" s="654">
        <f>+E96+E97</f>
        <v>66889.811544991506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965</v>
      </c>
      <c r="B100" s="642" t="s">
        <v>966</v>
      </c>
    </row>
    <row r="101" spans="1:5" ht="26.1" customHeight="1" x14ac:dyDescent="0.25">
      <c r="A101" s="639">
        <v>1</v>
      </c>
      <c r="B101" s="640" t="s">
        <v>967</v>
      </c>
      <c r="C101" s="641">
        <f>IF(C83=0,0,C75/C83)</f>
        <v>57588.882681564246</v>
      </c>
      <c r="D101" s="641">
        <f>IF(D83=0,0,D75/D83)</f>
        <v>57598.992573458178</v>
      </c>
      <c r="E101" s="641">
        <f>IF(E83=0,0,E75/E83)</f>
        <v>56476.818371607515</v>
      </c>
    </row>
    <row r="102" spans="1:5" ht="26.1" customHeight="1" x14ac:dyDescent="0.25">
      <c r="A102" s="639">
        <v>2</v>
      </c>
      <c r="B102" s="640" t="s">
        <v>968</v>
      </c>
      <c r="C102" s="658">
        <f>IF(C83=0,0,C76/C83)</f>
        <v>13777.763128491621</v>
      </c>
      <c r="D102" s="658">
        <f>IF(D83=0,0,D76/D83)</f>
        <v>15306.819502744589</v>
      </c>
      <c r="E102" s="658">
        <f>IF(E83=0,0,E76/E83)</f>
        <v>16970.478079331941</v>
      </c>
    </row>
    <row r="103" spans="1:5" ht="26.1" customHeight="1" x14ac:dyDescent="0.25">
      <c r="A103" s="650">
        <v>3</v>
      </c>
      <c r="B103" s="651" t="s">
        <v>966</v>
      </c>
      <c r="C103" s="654">
        <f>+C101+C102</f>
        <v>71366.645810055867</v>
      </c>
      <c r="D103" s="654">
        <f>+D101+D102</f>
        <v>72905.812076202768</v>
      </c>
      <c r="E103" s="654">
        <f>+E101+E102</f>
        <v>73447.296450939451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969</v>
      </c>
      <c r="B107" s="634" t="s">
        <v>970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971</v>
      </c>
      <c r="C108" s="641">
        <f>IF(C19=0,0,C77/C19)</f>
        <v>1834.5391044604646</v>
      </c>
      <c r="D108" s="641">
        <f>IF(D19=0,0,D77/D19)</f>
        <v>2017.1165242250081</v>
      </c>
      <c r="E108" s="641">
        <f>IF(E19=0,0,E77/E19)</f>
        <v>2104.8344251996768</v>
      </c>
    </row>
    <row r="109" spans="1:5" ht="26.1" customHeight="1" x14ac:dyDescent="0.25">
      <c r="A109" s="639">
        <v>2</v>
      </c>
      <c r="B109" s="640" t="s">
        <v>972</v>
      </c>
      <c r="C109" s="641">
        <f>IF(C20=0,0,C77/C20)</f>
        <v>8385.60430615728</v>
      </c>
      <c r="D109" s="641">
        <f>IF(D20=0,0,D77/D20)</f>
        <v>8992.007168458782</v>
      </c>
      <c r="E109" s="641">
        <f>IF(E20=0,0,E77/E20)</f>
        <v>9115.4955305091335</v>
      </c>
    </row>
    <row r="110" spans="1:5" ht="26.1" customHeight="1" x14ac:dyDescent="0.25">
      <c r="A110" s="639">
        <v>3</v>
      </c>
      <c r="B110" s="640" t="s">
        <v>973</v>
      </c>
      <c r="C110" s="641">
        <f>IF(C22=0,0,C77/C22)</f>
        <v>977.09712830623232</v>
      </c>
      <c r="D110" s="641">
        <f>IF(D22=0,0,D77/D22)</f>
        <v>1010.6630889997664</v>
      </c>
      <c r="E110" s="641">
        <f>IF(E22=0,0,E77/E22)</f>
        <v>1021.2699061136057</v>
      </c>
    </row>
    <row r="111" spans="1:5" ht="26.1" customHeight="1" x14ac:dyDescent="0.25">
      <c r="A111" s="639">
        <v>4</v>
      </c>
      <c r="B111" s="640" t="s">
        <v>974</v>
      </c>
      <c r="C111" s="641">
        <f>IF(C23=0,0,C77/C23)</f>
        <v>4466.2715919965985</v>
      </c>
      <c r="D111" s="641">
        <f>IF(D23=0,0,D77/D23)</f>
        <v>4505.3865912254278</v>
      </c>
      <c r="E111" s="641">
        <f>IF(E23=0,0,E77/E23)</f>
        <v>4422.8568067718261</v>
      </c>
    </row>
    <row r="112" spans="1:5" ht="26.1" customHeight="1" x14ac:dyDescent="0.25">
      <c r="A112" s="639">
        <v>5</v>
      </c>
      <c r="B112" s="640" t="s">
        <v>975</v>
      </c>
      <c r="C112" s="641">
        <f>IF(C29=0,0,C77/C29)</f>
        <v>896.17483281407601</v>
      </c>
      <c r="D112" s="641">
        <f>IF(D29=0,0,D77/D29)</f>
        <v>905.68288288302392</v>
      </c>
      <c r="E112" s="641">
        <f>IF(E29=0,0,E77/E29)</f>
        <v>933.87508349102848</v>
      </c>
    </row>
    <row r="113" spans="1:7" ht="25.5" customHeight="1" x14ac:dyDescent="0.25">
      <c r="A113" s="639">
        <v>6</v>
      </c>
      <c r="B113" s="640" t="s">
        <v>976</v>
      </c>
      <c r="C113" s="641">
        <f>IF(C30=0,0,C77/C30)</f>
        <v>4096.3790408412351</v>
      </c>
      <c r="D113" s="641">
        <f>IF(D30=0,0,D77/D30)</f>
        <v>4037.4003571080348</v>
      </c>
      <c r="E113" s="641">
        <f>IF(E30=0,0,E77/E30)</f>
        <v>4044.3723495299382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r:id="rId1"/>
  <headerFooter>
    <oddHeader>&amp;L&amp;12OFFICE OF HEALTH CARE ACCESS&amp;C&amp;12TWELVE MONTHS ACTUAL FILING&amp;R&amp;12GRIFFIN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353472922</v>
      </c>
      <c r="D12" s="51">
        <v>381244191</v>
      </c>
      <c r="E12" s="51">
        <f t="shared" ref="E12:E19" si="0">D12-C12</f>
        <v>27771269</v>
      </c>
      <c r="F12" s="70">
        <f t="shared" ref="F12:F19" si="1">IF(C12=0,0,E12/C12)</f>
        <v>7.8566892317709136E-2</v>
      </c>
    </row>
    <row r="13" spans="1:8" ht="23.1" customHeight="1" x14ac:dyDescent="0.2">
      <c r="A13" s="25">
        <v>2</v>
      </c>
      <c r="B13" s="48" t="s">
        <v>72</v>
      </c>
      <c r="C13" s="51">
        <v>228408004</v>
      </c>
      <c r="D13" s="51">
        <v>254199065</v>
      </c>
      <c r="E13" s="51">
        <f t="shared" si="0"/>
        <v>25791061</v>
      </c>
      <c r="F13" s="70">
        <f t="shared" si="1"/>
        <v>0.11291662528603857</v>
      </c>
    </row>
    <row r="14" spans="1:8" ht="23.1" customHeight="1" x14ac:dyDescent="0.2">
      <c r="A14" s="25">
        <v>3</v>
      </c>
      <c r="B14" s="48" t="s">
        <v>73</v>
      </c>
      <c r="C14" s="51">
        <v>5752621</v>
      </c>
      <c r="D14" s="51">
        <v>8958645</v>
      </c>
      <c r="E14" s="51">
        <f t="shared" si="0"/>
        <v>3206024</v>
      </c>
      <c r="F14" s="70">
        <f t="shared" si="1"/>
        <v>0.55731535242804975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119312297</v>
      </c>
      <c r="D16" s="27">
        <f>D12-D13-D14-D15</f>
        <v>118086481</v>
      </c>
      <c r="E16" s="27">
        <f t="shared" si="0"/>
        <v>-1225816</v>
      </c>
      <c r="F16" s="28">
        <f t="shared" si="1"/>
        <v>-1.0274012242007208E-2</v>
      </c>
    </row>
    <row r="17" spans="1:7" ht="23.1" customHeight="1" x14ac:dyDescent="0.2">
      <c r="A17" s="25">
        <v>5</v>
      </c>
      <c r="B17" s="48" t="s">
        <v>76</v>
      </c>
      <c r="C17" s="51">
        <v>3246928</v>
      </c>
      <c r="D17" s="51">
        <v>3769345</v>
      </c>
      <c r="E17" s="51">
        <f t="shared" si="0"/>
        <v>522417</v>
      </c>
      <c r="F17" s="70">
        <f t="shared" si="1"/>
        <v>0.16089577594575549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9006</v>
      </c>
      <c r="D18" s="51">
        <v>12143</v>
      </c>
      <c r="E18" s="51">
        <f t="shared" si="0"/>
        <v>3137</v>
      </c>
      <c r="F18" s="70">
        <f t="shared" si="1"/>
        <v>0.34832333999555853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122568231</v>
      </c>
      <c r="D19" s="27">
        <f>SUM(D16:D18)</f>
        <v>121867969</v>
      </c>
      <c r="E19" s="27">
        <f t="shared" si="0"/>
        <v>-700262</v>
      </c>
      <c r="F19" s="28">
        <f t="shared" si="1"/>
        <v>-5.7132422838019094E-3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53515224</v>
      </c>
      <c r="D22" s="51">
        <v>54104792</v>
      </c>
      <c r="E22" s="51">
        <f t="shared" ref="E22:E31" si="2">D22-C22</f>
        <v>589568</v>
      </c>
      <c r="F22" s="70">
        <f t="shared" ref="F22:F31" si="3">IF(C22=0,0,E22/C22)</f>
        <v>1.1016827660106589E-2</v>
      </c>
    </row>
    <row r="23" spans="1:7" ht="23.1" customHeight="1" x14ac:dyDescent="0.2">
      <c r="A23" s="25">
        <v>2</v>
      </c>
      <c r="B23" s="48" t="s">
        <v>81</v>
      </c>
      <c r="C23" s="51">
        <v>14221566</v>
      </c>
      <c r="D23" s="51">
        <v>16257718</v>
      </c>
      <c r="E23" s="51">
        <f t="shared" si="2"/>
        <v>2036152</v>
      </c>
      <c r="F23" s="70">
        <f t="shared" si="3"/>
        <v>0.14317354361678594</v>
      </c>
    </row>
    <row r="24" spans="1:7" ht="23.1" customHeight="1" x14ac:dyDescent="0.2">
      <c r="A24" s="25">
        <v>3</v>
      </c>
      <c r="B24" s="48" t="s">
        <v>82</v>
      </c>
      <c r="C24" s="51">
        <v>1503328</v>
      </c>
      <c r="D24" s="51">
        <v>1856329</v>
      </c>
      <c r="E24" s="51">
        <f t="shared" si="2"/>
        <v>353001</v>
      </c>
      <c r="F24" s="70">
        <f t="shared" si="3"/>
        <v>0.23481302816151897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13660425</v>
      </c>
      <c r="D25" s="51">
        <v>15173899</v>
      </c>
      <c r="E25" s="51">
        <f t="shared" si="2"/>
        <v>1513474</v>
      </c>
      <c r="F25" s="70">
        <f t="shared" si="3"/>
        <v>0.11079259979100212</v>
      </c>
    </row>
    <row r="26" spans="1:7" ht="23.1" customHeight="1" x14ac:dyDescent="0.2">
      <c r="A26" s="25">
        <v>5</v>
      </c>
      <c r="B26" s="48" t="s">
        <v>84</v>
      </c>
      <c r="C26" s="51">
        <v>4952492</v>
      </c>
      <c r="D26" s="51">
        <v>6320420</v>
      </c>
      <c r="E26" s="51">
        <f t="shared" si="2"/>
        <v>1367928</v>
      </c>
      <c r="F26" s="70">
        <f t="shared" si="3"/>
        <v>0.27621003729031768</v>
      </c>
    </row>
    <row r="27" spans="1:7" ht="23.1" customHeight="1" x14ac:dyDescent="0.2">
      <c r="A27" s="25">
        <v>6</v>
      </c>
      <c r="B27" s="48" t="s">
        <v>85</v>
      </c>
      <c r="C27" s="51">
        <v>6305896</v>
      </c>
      <c r="D27" s="51">
        <v>1246161</v>
      </c>
      <c r="E27" s="51">
        <f t="shared" si="2"/>
        <v>-5059735</v>
      </c>
      <c r="F27" s="70">
        <f t="shared" si="3"/>
        <v>-0.8023816123830777</v>
      </c>
    </row>
    <row r="28" spans="1:7" ht="23.1" customHeight="1" x14ac:dyDescent="0.2">
      <c r="A28" s="25">
        <v>7</v>
      </c>
      <c r="B28" s="48" t="s">
        <v>86</v>
      </c>
      <c r="C28" s="51">
        <v>2492363</v>
      </c>
      <c r="D28" s="51">
        <v>2555303</v>
      </c>
      <c r="E28" s="51">
        <f t="shared" si="2"/>
        <v>62940</v>
      </c>
      <c r="F28" s="70">
        <f t="shared" si="3"/>
        <v>2.5253143302159435E-2</v>
      </c>
    </row>
    <row r="29" spans="1:7" ht="23.1" customHeight="1" x14ac:dyDescent="0.2">
      <c r="A29" s="25">
        <v>8</v>
      </c>
      <c r="B29" s="48" t="s">
        <v>87</v>
      </c>
      <c r="C29" s="51">
        <v>2668174</v>
      </c>
      <c r="D29" s="51">
        <v>1495789</v>
      </c>
      <c r="E29" s="51">
        <f t="shared" si="2"/>
        <v>-1172385</v>
      </c>
      <c r="F29" s="70">
        <f t="shared" si="3"/>
        <v>-0.43939600640737825</v>
      </c>
    </row>
    <row r="30" spans="1:7" ht="23.1" customHeight="1" x14ac:dyDescent="0.2">
      <c r="A30" s="25">
        <v>9</v>
      </c>
      <c r="B30" s="48" t="s">
        <v>88</v>
      </c>
      <c r="C30" s="51">
        <v>20439562</v>
      </c>
      <c r="D30" s="51">
        <v>21483073</v>
      </c>
      <c r="E30" s="51">
        <f t="shared" si="2"/>
        <v>1043511</v>
      </c>
      <c r="F30" s="70">
        <f t="shared" si="3"/>
        <v>5.1053491263658192E-2</v>
      </c>
    </row>
    <row r="31" spans="1:7" ht="23.1" customHeight="1" x14ac:dyDescent="0.25">
      <c r="A31" s="29"/>
      <c r="B31" s="71" t="s">
        <v>89</v>
      </c>
      <c r="C31" s="27">
        <f>SUM(C22:C30)</f>
        <v>119759030</v>
      </c>
      <c r="D31" s="27">
        <f>SUM(D22:D30)</f>
        <v>120493484</v>
      </c>
      <c r="E31" s="27">
        <f t="shared" si="2"/>
        <v>734454</v>
      </c>
      <c r="F31" s="28">
        <f t="shared" si="3"/>
        <v>6.1327651033913685E-3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2809201</v>
      </c>
      <c r="D33" s="27">
        <f>+D19-D31</f>
        <v>1374485</v>
      </c>
      <c r="E33" s="27">
        <f>D33-C33</f>
        <v>-1434716</v>
      </c>
      <c r="F33" s="28">
        <f>IF(C33=0,0,E33/C33)</f>
        <v>-0.51072030801640755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713606</v>
      </c>
      <c r="D36" s="51">
        <v>886194</v>
      </c>
      <c r="E36" s="51">
        <f>D36-C36</f>
        <v>172588</v>
      </c>
      <c r="F36" s="70">
        <f>IF(C36=0,0,E36/C36)</f>
        <v>0.24185334764561958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0</v>
      </c>
      <c r="E38" s="51">
        <f>D38-C38</f>
        <v>0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713606</v>
      </c>
      <c r="D39" s="27">
        <f>SUM(D36:D38)</f>
        <v>886194</v>
      </c>
      <c r="E39" s="27">
        <f>D39-C39</f>
        <v>172588</v>
      </c>
      <c r="F39" s="28">
        <f>IF(C39=0,0,E39/C39)</f>
        <v>0.24185334764561958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3522807</v>
      </c>
      <c r="D41" s="27">
        <f>D33+D39</f>
        <v>2260679</v>
      </c>
      <c r="E41" s="27">
        <f>D41-C41</f>
        <v>-1262128</v>
      </c>
      <c r="F41" s="28">
        <f>IF(C41=0,0,E41/C41)</f>
        <v>-0.35827338823841332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-2292123</v>
      </c>
      <c r="D45" s="51">
        <v>-3205803</v>
      </c>
      <c r="E45" s="51">
        <f>D45-C45</f>
        <v>-913680</v>
      </c>
      <c r="F45" s="70">
        <f>IF(C45=0,0,E45/C45)</f>
        <v>0.39861735168662416</v>
      </c>
    </row>
    <row r="46" spans="1:6" ht="23.1" customHeight="1" x14ac:dyDescent="0.25">
      <c r="A46" s="20"/>
      <c r="B46" s="74" t="s">
        <v>100</v>
      </c>
      <c r="C46" s="27">
        <f>SUM(C44:C45)</f>
        <v>-2292123</v>
      </c>
      <c r="D46" s="27">
        <f>SUM(D44:D45)</f>
        <v>-3205803</v>
      </c>
      <c r="E46" s="27">
        <f>D46-C46</f>
        <v>-913680</v>
      </c>
      <c r="F46" s="28">
        <f>IF(C46=0,0,E46/C46)</f>
        <v>0.39861735168662416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1230684</v>
      </c>
      <c r="D48" s="27">
        <f>D41+D46</f>
        <v>-945124</v>
      </c>
      <c r="E48" s="27">
        <f>D48-C48</f>
        <v>-2175808</v>
      </c>
      <c r="F48" s="28">
        <f>IF(C48=0,0,E48/C48)</f>
        <v>-1.7679664316753936</v>
      </c>
    </row>
    <row r="49" spans="1:6" ht="23.1" customHeight="1" x14ac:dyDescent="0.2">
      <c r="A49" s="44"/>
      <c r="B49" s="48" t="s">
        <v>102</v>
      </c>
      <c r="C49" s="51">
        <v>1305000</v>
      </c>
      <c r="D49" s="51">
        <v>1305000</v>
      </c>
      <c r="E49" s="51">
        <f>D49-C49</f>
        <v>0</v>
      </c>
      <c r="F49" s="70">
        <f>IF(C49=0,0,E49/C49)</f>
        <v>0</v>
      </c>
    </row>
  </sheetData>
  <printOptions gridLines="1"/>
  <pageMargins left="0.25" right="0.25" top="0.5" bottom="0.5" header="0.25" footer="0.25"/>
  <pageSetup paperSize="9" scale="74" orientation="portrait" r:id="rId1"/>
  <headerFooter>
    <oddHeader>&amp;LOFFICE OF HEALTH CARE ACCESS&amp;CTWELVE MONTHS ACTUAL FILING&amp;RGRIFFIN HOSPITAL</oddHeader>
    <oddFooter>&amp;LREPORT 150&amp;CPAGE &amp;P of &amp;N&amp;R&amp;D,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>
      <selection activeCell="H27" sqref="H27"/>
    </sheetView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6.85546875" style="75" bestFit="1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74358405</v>
      </c>
      <c r="D14" s="97">
        <v>78995489</v>
      </c>
      <c r="E14" s="97">
        <f t="shared" ref="E14:E25" si="0">D14-C14</f>
        <v>4637084</v>
      </c>
      <c r="F14" s="98">
        <f t="shared" ref="F14:F25" si="1">IF(C14=0,0,E14/C14)</f>
        <v>6.2361262321320637E-2</v>
      </c>
    </row>
    <row r="15" spans="1:6" ht="18" customHeight="1" x14ac:dyDescent="0.25">
      <c r="A15" s="99">
        <v>2</v>
      </c>
      <c r="B15" s="100" t="s">
        <v>113</v>
      </c>
      <c r="C15" s="97">
        <v>29549653</v>
      </c>
      <c r="D15" s="97">
        <v>30619898</v>
      </c>
      <c r="E15" s="97">
        <f t="shared" si="0"/>
        <v>1070245</v>
      </c>
      <c r="F15" s="98">
        <f t="shared" si="1"/>
        <v>3.6218530214212667E-2</v>
      </c>
    </row>
    <row r="16" spans="1:6" ht="18" customHeight="1" x14ac:dyDescent="0.25">
      <c r="A16" s="99">
        <v>3</v>
      </c>
      <c r="B16" s="100" t="s">
        <v>114</v>
      </c>
      <c r="C16" s="97">
        <v>7698608</v>
      </c>
      <c r="D16" s="97">
        <v>10781741</v>
      </c>
      <c r="E16" s="97">
        <f t="shared" si="0"/>
        <v>3083133</v>
      </c>
      <c r="F16" s="98">
        <f t="shared" si="1"/>
        <v>0.40047928144932177</v>
      </c>
    </row>
    <row r="17" spans="1:6" ht="18" customHeight="1" x14ac:dyDescent="0.25">
      <c r="A17" s="99">
        <v>4</v>
      </c>
      <c r="B17" s="100" t="s">
        <v>115</v>
      </c>
      <c r="C17" s="97">
        <v>7273302</v>
      </c>
      <c r="D17" s="97">
        <v>8579032</v>
      </c>
      <c r="E17" s="97">
        <f t="shared" si="0"/>
        <v>1305730</v>
      </c>
      <c r="F17" s="98">
        <f t="shared" si="1"/>
        <v>0.1795236881405447</v>
      </c>
    </row>
    <row r="18" spans="1:6" ht="18" customHeight="1" x14ac:dyDescent="0.25">
      <c r="A18" s="99">
        <v>5</v>
      </c>
      <c r="B18" s="100" t="s">
        <v>116</v>
      </c>
      <c r="C18" s="97">
        <v>84872</v>
      </c>
      <c r="D18" s="97">
        <v>165814</v>
      </c>
      <c r="E18" s="97">
        <f t="shared" si="0"/>
        <v>80942</v>
      </c>
      <c r="F18" s="98">
        <f t="shared" si="1"/>
        <v>0.95369497596380437</v>
      </c>
    </row>
    <row r="19" spans="1:6" ht="18" customHeight="1" x14ac:dyDescent="0.25">
      <c r="A19" s="99">
        <v>6</v>
      </c>
      <c r="B19" s="100" t="s">
        <v>117</v>
      </c>
      <c r="C19" s="97">
        <v>6446861</v>
      </c>
      <c r="D19" s="97">
        <v>4108494</v>
      </c>
      <c r="E19" s="97">
        <f t="shared" si="0"/>
        <v>-2338367</v>
      </c>
      <c r="F19" s="98">
        <f t="shared" si="1"/>
        <v>-0.3627140402127485</v>
      </c>
    </row>
    <row r="20" spans="1:6" ht="18" customHeight="1" x14ac:dyDescent="0.25">
      <c r="A20" s="99">
        <v>7</v>
      </c>
      <c r="B20" s="100" t="s">
        <v>118</v>
      </c>
      <c r="C20" s="97">
        <v>40502546</v>
      </c>
      <c r="D20" s="97">
        <v>45768253</v>
      </c>
      <c r="E20" s="97">
        <f t="shared" si="0"/>
        <v>5265707</v>
      </c>
      <c r="F20" s="98">
        <f t="shared" si="1"/>
        <v>0.13000928386082197</v>
      </c>
    </row>
    <row r="21" spans="1:6" ht="18" customHeight="1" x14ac:dyDescent="0.25">
      <c r="A21" s="99">
        <v>8</v>
      </c>
      <c r="B21" s="100" t="s">
        <v>119</v>
      </c>
      <c r="C21" s="97">
        <v>1703386</v>
      </c>
      <c r="D21" s="97">
        <v>1544059</v>
      </c>
      <c r="E21" s="97">
        <f t="shared" si="0"/>
        <v>-159327</v>
      </c>
      <c r="F21" s="98">
        <f t="shared" si="1"/>
        <v>-9.3535464069799804E-2</v>
      </c>
    </row>
    <row r="22" spans="1:6" ht="18" customHeight="1" x14ac:dyDescent="0.25">
      <c r="A22" s="99">
        <v>9</v>
      </c>
      <c r="B22" s="100" t="s">
        <v>120</v>
      </c>
      <c r="C22" s="97">
        <v>3534949</v>
      </c>
      <c r="D22" s="97">
        <v>2077313</v>
      </c>
      <c r="E22" s="97">
        <f t="shared" si="0"/>
        <v>-1457636</v>
      </c>
      <c r="F22" s="98">
        <f t="shared" si="1"/>
        <v>-0.41234993772187378</v>
      </c>
    </row>
    <row r="23" spans="1:6" ht="18" customHeight="1" x14ac:dyDescent="0.25">
      <c r="A23" s="99">
        <v>10</v>
      </c>
      <c r="B23" s="100" t="s">
        <v>121</v>
      </c>
      <c r="C23" s="97">
        <v>5952722</v>
      </c>
      <c r="D23" s="97">
        <v>2340357</v>
      </c>
      <c r="E23" s="97">
        <f t="shared" si="0"/>
        <v>-3612365</v>
      </c>
      <c r="F23" s="98">
        <f t="shared" si="1"/>
        <v>-0.60684255034923518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177105304</v>
      </c>
      <c r="D25" s="103">
        <f>SUM(D14:D24)</f>
        <v>184980450</v>
      </c>
      <c r="E25" s="103">
        <f t="shared" si="0"/>
        <v>7875146</v>
      </c>
      <c r="F25" s="104">
        <f t="shared" si="1"/>
        <v>4.446589583787959E-2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42336051</v>
      </c>
      <c r="D27" s="97">
        <v>46030067</v>
      </c>
      <c r="E27" s="97">
        <f t="shared" ref="E27:E38" si="2">D27-C27</f>
        <v>3694016</v>
      </c>
      <c r="F27" s="98">
        <f t="shared" ref="F27:F38" si="3">IF(C27=0,0,E27/C27)</f>
        <v>8.7254619000718792E-2</v>
      </c>
    </row>
    <row r="28" spans="1:6" ht="18" customHeight="1" x14ac:dyDescent="0.25">
      <c r="A28" s="99">
        <v>2</v>
      </c>
      <c r="B28" s="100" t="s">
        <v>113</v>
      </c>
      <c r="C28" s="97">
        <v>17213295</v>
      </c>
      <c r="D28" s="97">
        <v>20193889</v>
      </c>
      <c r="E28" s="97">
        <f t="shared" si="2"/>
        <v>2980594</v>
      </c>
      <c r="F28" s="98">
        <f t="shared" si="3"/>
        <v>0.17315650489926537</v>
      </c>
    </row>
    <row r="29" spans="1:6" ht="18" customHeight="1" x14ac:dyDescent="0.25">
      <c r="A29" s="99">
        <v>3</v>
      </c>
      <c r="B29" s="100" t="s">
        <v>114</v>
      </c>
      <c r="C29" s="97">
        <v>4818508</v>
      </c>
      <c r="D29" s="97">
        <v>8309230</v>
      </c>
      <c r="E29" s="97">
        <f t="shared" si="2"/>
        <v>3490722</v>
      </c>
      <c r="F29" s="98">
        <f t="shared" si="3"/>
        <v>0.72444042844797596</v>
      </c>
    </row>
    <row r="30" spans="1:6" ht="18" customHeight="1" x14ac:dyDescent="0.25">
      <c r="A30" s="99">
        <v>4</v>
      </c>
      <c r="B30" s="100" t="s">
        <v>115</v>
      </c>
      <c r="C30" s="97">
        <v>11926957</v>
      </c>
      <c r="D30" s="97">
        <v>14782418</v>
      </c>
      <c r="E30" s="97">
        <f t="shared" si="2"/>
        <v>2855461</v>
      </c>
      <c r="F30" s="98">
        <f t="shared" si="3"/>
        <v>0.2394123664569261</v>
      </c>
    </row>
    <row r="31" spans="1:6" ht="18" customHeight="1" x14ac:dyDescent="0.25">
      <c r="A31" s="99">
        <v>5</v>
      </c>
      <c r="B31" s="100" t="s">
        <v>116</v>
      </c>
      <c r="C31" s="97">
        <v>256731</v>
      </c>
      <c r="D31" s="97">
        <v>437309</v>
      </c>
      <c r="E31" s="97">
        <f t="shared" si="2"/>
        <v>180578</v>
      </c>
      <c r="F31" s="98">
        <f t="shared" si="3"/>
        <v>0.7033743490268024</v>
      </c>
    </row>
    <row r="32" spans="1:6" ht="18" customHeight="1" x14ac:dyDescent="0.25">
      <c r="A32" s="99">
        <v>6</v>
      </c>
      <c r="B32" s="100" t="s">
        <v>117</v>
      </c>
      <c r="C32" s="97">
        <v>10769330</v>
      </c>
      <c r="D32" s="97">
        <v>6200799</v>
      </c>
      <c r="E32" s="97">
        <f t="shared" si="2"/>
        <v>-4568531</v>
      </c>
      <c r="F32" s="98">
        <f t="shared" si="3"/>
        <v>-0.42421682685923823</v>
      </c>
    </row>
    <row r="33" spans="1:6" ht="18" customHeight="1" x14ac:dyDescent="0.25">
      <c r="A33" s="99">
        <v>7</v>
      </c>
      <c r="B33" s="100" t="s">
        <v>118</v>
      </c>
      <c r="C33" s="97">
        <v>74769948</v>
      </c>
      <c r="D33" s="97">
        <v>86886895</v>
      </c>
      <c r="E33" s="97">
        <f t="shared" si="2"/>
        <v>12116947</v>
      </c>
      <c r="F33" s="98">
        <f t="shared" si="3"/>
        <v>0.1620563785867552</v>
      </c>
    </row>
    <row r="34" spans="1:6" ht="18" customHeight="1" x14ac:dyDescent="0.25">
      <c r="A34" s="99">
        <v>8</v>
      </c>
      <c r="B34" s="100" t="s">
        <v>119</v>
      </c>
      <c r="C34" s="97">
        <v>2933314</v>
      </c>
      <c r="D34" s="97">
        <v>3315725</v>
      </c>
      <c r="E34" s="97">
        <f t="shared" si="2"/>
        <v>382411</v>
      </c>
      <c r="F34" s="98">
        <f t="shared" si="3"/>
        <v>0.13036824560889151</v>
      </c>
    </row>
    <row r="35" spans="1:6" ht="18" customHeight="1" x14ac:dyDescent="0.25">
      <c r="A35" s="99">
        <v>9</v>
      </c>
      <c r="B35" s="100" t="s">
        <v>120</v>
      </c>
      <c r="C35" s="97">
        <v>6987504</v>
      </c>
      <c r="D35" s="97">
        <v>7665602</v>
      </c>
      <c r="E35" s="97">
        <f t="shared" si="2"/>
        <v>678098</v>
      </c>
      <c r="F35" s="98">
        <f t="shared" si="3"/>
        <v>9.704438094060483E-2</v>
      </c>
    </row>
    <row r="36" spans="1:6" ht="18" customHeight="1" x14ac:dyDescent="0.25">
      <c r="A36" s="99">
        <v>10</v>
      </c>
      <c r="B36" s="100" t="s">
        <v>121</v>
      </c>
      <c r="C36" s="97">
        <v>4355980</v>
      </c>
      <c r="D36" s="97">
        <v>2441807</v>
      </c>
      <c r="E36" s="97">
        <f t="shared" si="2"/>
        <v>-1914173</v>
      </c>
      <c r="F36" s="98">
        <f t="shared" si="3"/>
        <v>-0.4394356723400934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176367618</v>
      </c>
      <c r="D38" s="103">
        <f>SUM(D27:D37)</f>
        <v>196263741</v>
      </c>
      <c r="E38" s="103">
        <f t="shared" si="2"/>
        <v>19896123</v>
      </c>
      <c r="F38" s="104">
        <f t="shared" si="3"/>
        <v>0.11281052171379896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116694456</v>
      </c>
      <c r="D41" s="103">
        <f t="shared" si="4"/>
        <v>125025556</v>
      </c>
      <c r="E41" s="107">
        <f t="shared" ref="E41:E52" si="5">D41-C41</f>
        <v>8331100</v>
      </c>
      <c r="F41" s="108">
        <f t="shared" ref="F41:F52" si="6">IF(C41=0,0,E41/C41)</f>
        <v>7.1392423304154226E-2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46762948</v>
      </c>
      <c r="D42" s="103">
        <f t="shared" si="4"/>
        <v>50813787</v>
      </c>
      <c r="E42" s="107">
        <f t="shared" si="5"/>
        <v>4050839</v>
      </c>
      <c r="F42" s="108">
        <f t="shared" si="6"/>
        <v>8.6624970692609035E-2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12517116</v>
      </c>
      <c r="D43" s="103">
        <f t="shared" si="4"/>
        <v>19090971</v>
      </c>
      <c r="E43" s="107">
        <f t="shared" si="5"/>
        <v>6573855</v>
      </c>
      <c r="F43" s="108">
        <f t="shared" si="6"/>
        <v>0.52518926883796557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19200259</v>
      </c>
      <c r="D44" s="103">
        <f t="shared" si="4"/>
        <v>23361450</v>
      </c>
      <c r="E44" s="107">
        <f t="shared" si="5"/>
        <v>4161191</v>
      </c>
      <c r="F44" s="108">
        <f t="shared" si="6"/>
        <v>0.21672577437627275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341603</v>
      </c>
      <c r="D45" s="103">
        <f t="shared" si="4"/>
        <v>603123</v>
      </c>
      <c r="E45" s="107">
        <f t="shared" si="5"/>
        <v>261520</v>
      </c>
      <c r="F45" s="108">
        <f t="shared" si="6"/>
        <v>0.76556704712780621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17216191</v>
      </c>
      <c r="D46" s="103">
        <f t="shared" si="4"/>
        <v>10309293</v>
      </c>
      <c r="E46" s="107">
        <f t="shared" si="5"/>
        <v>-6906898</v>
      </c>
      <c r="F46" s="108">
        <f t="shared" si="6"/>
        <v>-0.40118618572482145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115272494</v>
      </c>
      <c r="D47" s="103">
        <f t="shared" si="4"/>
        <v>132655148</v>
      </c>
      <c r="E47" s="107">
        <f t="shared" si="5"/>
        <v>17382654</v>
      </c>
      <c r="F47" s="108">
        <f t="shared" si="6"/>
        <v>0.15079619948189896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4636700</v>
      </c>
      <c r="D48" s="103">
        <f t="shared" si="4"/>
        <v>4859784</v>
      </c>
      <c r="E48" s="107">
        <f t="shared" si="5"/>
        <v>223084</v>
      </c>
      <c r="F48" s="108">
        <f t="shared" si="6"/>
        <v>4.8112666335971707E-2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10522453</v>
      </c>
      <c r="D49" s="103">
        <f t="shared" si="4"/>
        <v>9742915</v>
      </c>
      <c r="E49" s="107">
        <f t="shared" si="5"/>
        <v>-779538</v>
      </c>
      <c r="F49" s="108">
        <f t="shared" si="6"/>
        <v>-7.4083295976708097E-2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10308702</v>
      </c>
      <c r="D50" s="103">
        <f t="shared" si="4"/>
        <v>4782164</v>
      </c>
      <c r="E50" s="107">
        <f t="shared" si="5"/>
        <v>-5526538</v>
      </c>
      <c r="F50" s="108">
        <f t="shared" si="6"/>
        <v>-0.53610415743902584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353472922</v>
      </c>
      <c r="D52" s="112">
        <f>SUM(D41:D51)</f>
        <v>381244191</v>
      </c>
      <c r="E52" s="111">
        <f t="shared" si="5"/>
        <v>27771269</v>
      </c>
      <c r="F52" s="113">
        <f t="shared" si="6"/>
        <v>7.8566892317709136E-2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28737575</v>
      </c>
      <c r="D57" s="97">
        <v>28350898</v>
      </c>
      <c r="E57" s="97">
        <f t="shared" ref="E57:E68" si="7">D57-C57</f>
        <v>-386677</v>
      </c>
      <c r="F57" s="98">
        <f t="shared" ref="F57:F68" si="8">IF(C57=0,0,E57/C57)</f>
        <v>-1.3455449877033813E-2</v>
      </c>
    </row>
    <row r="58" spans="1:6" ht="18" customHeight="1" x14ac:dyDescent="0.25">
      <c r="A58" s="99">
        <v>2</v>
      </c>
      <c r="B58" s="100" t="s">
        <v>113</v>
      </c>
      <c r="C58" s="97">
        <v>9522970</v>
      </c>
      <c r="D58" s="97">
        <v>9063248</v>
      </c>
      <c r="E58" s="97">
        <f t="shared" si="7"/>
        <v>-459722</v>
      </c>
      <c r="F58" s="98">
        <f t="shared" si="8"/>
        <v>-4.8275065447019157E-2</v>
      </c>
    </row>
    <row r="59" spans="1:6" ht="18" customHeight="1" x14ac:dyDescent="0.25">
      <c r="A59" s="99">
        <v>3</v>
      </c>
      <c r="B59" s="100" t="s">
        <v>114</v>
      </c>
      <c r="C59" s="97">
        <v>2257524</v>
      </c>
      <c r="D59" s="97">
        <v>4012546</v>
      </c>
      <c r="E59" s="97">
        <f t="shared" si="7"/>
        <v>1755022</v>
      </c>
      <c r="F59" s="98">
        <f t="shared" si="8"/>
        <v>0.77741011834204199</v>
      </c>
    </row>
    <row r="60" spans="1:6" ht="18" customHeight="1" x14ac:dyDescent="0.25">
      <c r="A60" s="99">
        <v>4</v>
      </c>
      <c r="B60" s="100" t="s">
        <v>115</v>
      </c>
      <c r="C60" s="97">
        <v>2436559</v>
      </c>
      <c r="D60" s="97">
        <v>2086128</v>
      </c>
      <c r="E60" s="97">
        <f t="shared" si="7"/>
        <v>-350431</v>
      </c>
      <c r="F60" s="98">
        <f t="shared" si="8"/>
        <v>-0.1438220868035619</v>
      </c>
    </row>
    <row r="61" spans="1:6" ht="18" customHeight="1" x14ac:dyDescent="0.25">
      <c r="A61" s="99">
        <v>5</v>
      </c>
      <c r="B61" s="100" t="s">
        <v>116</v>
      </c>
      <c r="C61" s="97">
        <v>30178</v>
      </c>
      <c r="D61" s="97">
        <v>117332</v>
      </c>
      <c r="E61" s="97">
        <f t="shared" si="7"/>
        <v>87154</v>
      </c>
      <c r="F61" s="98">
        <f t="shared" si="8"/>
        <v>2.8879978792497845</v>
      </c>
    </row>
    <row r="62" spans="1:6" ht="18" customHeight="1" x14ac:dyDescent="0.25">
      <c r="A62" s="99">
        <v>6</v>
      </c>
      <c r="B62" s="100" t="s">
        <v>117</v>
      </c>
      <c r="C62" s="97">
        <v>3072475</v>
      </c>
      <c r="D62" s="97">
        <v>1358819</v>
      </c>
      <c r="E62" s="97">
        <f t="shared" si="7"/>
        <v>-1713656</v>
      </c>
      <c r="F62" s="98">
        <f t="shared" si="8"/>
        <v>-0.55774448937745624</v>
      </c>
    </row>
    <row r="63" spans="1:6" ht="18" customHeight="1" x14ac:dyDescent="0.25">
      <c r="A63" s="99">
        <v>7</v>
      </c>
      <c r="B63" s="100" t="s">
        <v>118</v>
      </c>
      <c r="C63" s="97">
        <v>14202959</v>
      </c>
      <c r="D63" s="97">
        <v>16880403</v>
      </c>
      <c r="E63" s="97">
        <f t="shared" si="7"/>
        <v>2677444</v>
      </c>
      <c r="F63" s="98">
        <f t="shared" si="8"/>
        <v>0.1885131119508266</v>
      </c>
    </row>
    <row r="64" spans="1:6" ht="18" customHeight="1" x14ac:dyDescent="0.25">
      <c r="A64" s="99">
        <v>8</v>
      </c>
      <c r="B64" s="100" t="s">
        <v>119</v>
      </c>
      <c r="C64" s="97">
        <v>1082112</v>
      </c>
      <c r="D64" s="97">
        <v>1235698</v>
      </c>
      <c r="E64" s="97">
        <f t="shared" si="7"/>
        <v>153586</v>
      </c>
      <c r="F64" s="98">
        <f t="shared" si="8"/>
        <v>0.14193170392713508</v>
      </c>
    </row>
    <row r="65" spans="1:6" ht="18" customHeight="1" x14ac:dyDescent="0.25">
      <c r="A65" s="99">
        <v>9</v>
      </c>
      <c r="B65" s="100" t="s">
        <v>120</v>
      </c>
      <c r="C65" s="97">
        <v>1331824</v>
      </c>
      <c r="D65" s="97">
        <v>114962</v>
      </c>
      <c r="E65" s="97">
        <f t="shared" si="7"/>
        <v>-1216862</v>
      </c>
      <c r="F65" s="98">
        <f t="shared" si="8"/>
        <v>-0.91368078665048835</v>
      </c>
    </row>
    <row r="66" spans="1:6" ht="18" customHeight="1" x14ac:dyDescent="0.25">
      <c r="A66" s="99">
        <v>10</v>
      </c>
      <c r="B66" s="100" t="s">
        <v>121</v>
      </c>
      <c r="C66" s="97">
        <v>968163</v>
      </c>
      <c r="D66" s="97">
        <v>38957</v>
      </c>
      <c r="E66" s="97">
        <f t="shared" si="7"/>
        <v>-929206</v>
      </c>
      <c r="F66" s="98">
        <f t="shared" si="8"/>
        <v>-0.95976194091284217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63642339</v>
      </c>
      <c r="D68" s="103">
        <f>SUM(D57:D67)</f>
        <v>63258991</v>
      </c>
      <c r="E68" s="103">
        <f t="shared" si="7"/>
        <v>-383348</v>
      </c>
      <c r="F68" s="104">
        <f t="shared" si="8"/>
        <v>-6.023474404358394E-3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9199891</v>
      </c>
      <c r="D70" s="97">
        <v>9064419</v>
      </c>
      <c r="E70" s="97">
        <f t="shared" ref="E70:E81" si="9">D70-C70</f>
        <v>-135472</v>
      </c>
      <c r="F70" s="98">
        <f t="shared" ref="F70:F81" si="10">IF(C70=0,0,E70/C70)</f>
        <v>-1.472539185518611E-2</v>
      </c>
    </row>
    <row r="71" spans="1:6" ht="18" customHeight="1" x14ac:dyDescent="0.25">
      <c r="A71" s="99">
        <v>2</v>
      </c>
      <c r="B71" s="100" t="s">
        <v>113</v>
      </c>
      <c r="C71" s="97">
        <v>3983051</v>
      </c>
      <c r="D71" s="97">
        <v>4199489</v>
      </c>
      <c r="E71" s="97">
        <f t="shared" si="9"/>
        <v>216438</v>
      </c>
      <c r="F71" s="98">
        <f t="shared" si="10"/>
        <v>5.4339751110392513E-2</v>
      </c>
    </row>
    <row r="72" spans="1:6" ht="18" customHeight="1" x14ac:dyDescent="0.25">
      <c r="A72" s="99">
        <v>3</v>
      </c>
      <c r="B72" s="100" t="s">
        <v>114</v>
      </c>
      <c r="C72" s="97">
        <v>1099973</v>
      </c>
      <c r="D72" s="97">
        <v>1859281</v>
      </c>
      <c r="E72" s="97">
        <f t="shared" si="9"/>
        <v>759308</v>
      </c>
      <c r="F72" s="98">
        <f t="shared" si="10"/>
        <v>0.69029694365225325</v>
      </c>
    </row>
    <row r="73" spans="1:6" ht="18" customHeight="1" x14ac:dyDescent="0.25">
      <c r="A73" s="99">
        <v>4</v>
      </c>
      <c r="B73" s="100" t="s">
        <v>115</v>
      </c>
      <c r="C73" s="97">
        <v>2843349</v>
      </c>
      <c r="D73" s="97">
        <v>3346933</v>
      </c>
      <c r="E73" s="97">
        <f t="shared" si="9"/>
        <v>503584</v>
      </c>
      <c r="F73" s="98">
        <f t="shared" si="10"/>
        <v>0.17710945789630467</v>
      </c>
    </row>
    <row r="74" spans="1:6" ht="18" customHeight="1" x14ac:dyDescent="0.25">
      <c r="A74" s="99">
        <v>5</v>
      </c>
      <c r="B74" s="100" t="s">
        <v>116</v>
      </c>
      <c r="C74" s="97">
        <v>84855</v>
      </c>
      <c r="D74" s="97">
        <v>119245</v>
      </c>
      <c r="E74" s="97">
        <f t="shared" si="9"/>
        <v>34390</v>
      </c>
      <c r="F74" s="98">
        <f t="shared" si="10"/>
        <v>0.4052795946025573</v>
      </c>
    </row>
    <row r="75" spans="1:6" ht="18" customHeight="1" x14ac:dyDescent="0.25">
      <c r="A75" s="99">
        <v>6</v>
      </c>
      <c r="B75" s="100" t="s">
        <v>117</v>
      </c>
      <c r="C75" s="97">
        <v>4197625</v>
      </c>
      <c r="D75" s="97">
        <v>3688631</v>
      </c>
      <c r="E75" s="97">
        <f t="shared" si="9"/>
        <v>-508994</v>
      </c>
      <c r="F75" s="98">
        <f t="shared" si="10"/>
        <v>-0.12125761591376076</v>
      </c>
    </row>
    <row r="76" spans="1:6" ht="18" customHeight="1" x14ac:dyDescent="0.25">
      <c r="A76" s="99">
        <v>7</v>
      </c>
      <c r="B76" s="100" t="s">
        <v>118</v>
      </c>
      <c r="C76" s="97">
        <v>24749156</v>
      </c>
      <c r="D76" s="97">
        <v>29615633</v>
      </c>
      <c r="E76" s="97">
        <f t="shared" si="9"/>
        <v>4866477</v>
      </c>
      <c r="F76" s="98">
        <f t="shared" si="10"/>
        <v>0.19663203868447068</v>
      </c>
    </row>
    <row r="77" spans="1:6" ht="18" customHeight="1" x14ac:dyDescent="0.25">
      <c r="A77" s="99">
        <v>8</v>
      </c>
      <c r="B77" s="100" t="s">
        <v>119</v>
      </c>
      <c r="C77" s="97">
        <v>1657009</v>
      </c>
      <c r="D77" s="97">
        <v>2044913</v>
      </c>
      <c r="E77" s="97">
        <f t="shared" si="9"/>
        <v>387904</v>
      </c>
      <c r="F77" s="98">
        <f t="shared" si="10"/>
        <v>0.23409890954122758</v>
      </c>
    </row>
    <row r="78" spans="1:6" ht="18" customHeight="1" x14ac:dyDescent="0.25">
      <c r="A78" s="99">
        <v>9</v>
      </c>
      <c r="B78" s="100" t="s">
        <v>120</v>
      </c>
      <c r="C78" s="97">
        <v>1414373</v>
      </c>
      <c r="D78" s="97">
        <v>424229</v>
      </c>
      <c r="E78" s="97">
        <f t="shared" si="9"/>
        <v>-990144</v>
      </c>
      <c r="F78" s="98">
        <f t="shared" si="10"/>
        <v>-0.70005861254421575</v>
      </c>
    </row>
    <row r="79" spans="1:6" ht="18" customHeight="1" x14ac:dyDescent="0.25">
      <c r="A79" s="99">
        <v>10</v>
      </c>
      <c r="B79" s="100" t="s">
        <v>121</v>
      </c>
      <c r="C79" s="97">
        <v>994387</v>
      </c>
      <c r="D79" s="97">
        <v>23553</v>
      </c>
      <c r="E79" s="97">
        <f t="shared" si="9"/>
        <v>-970834</v>
      </c>
      <c r="F79" s="98">
        <f t="shared" si="10"/>
        <v>-0.97631405076695488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50223669</v>
      </c>
      <c r="D81" s="103">
        <f>SUM(D70:D80)</f>
        <v>54386326</v>
      </c>
      <c r="E81" s="103">
        <f t="shared" si="9"/>
        <v>4162657</v>
      </c>
      <c r="F81" s="104">
        <f t="shared" si="10"/>
        <v>8.2882375638466399E-2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37937466</v>
      </c>
      <c r="D84" s="103">
        <f t="shared" si="11"/>
        <v>37415317</v>
      </c>
      <c r="E84" s="103">
        <f t="shared" ref="E84:E95" si="12">D84-C84</f>
        <v>-522149</v>
      </c>
      <c r="F84" s="104">
        <f t="shared" ref="F84:F95" si="13">IF(C84=0,0,E84/C84)</f>
        <v>-1.3763412664409372E-2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13506021</v>
      </c>
      <c r="D85" s="103">
        <f t="shared" si="11"/>
        <v>13262737</v>
      </c>
      <c r="E85" s="103">
        <f t="shared" si="12"/>
        <v>-243284</v>
      </c>
      <c r="F85" s="104">
        <f t="shared" si="13"/>
        <v>-1.801300323759307E-2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3357497</v>
      </c>
      <c r="D86" s="103">
        <f t="shared" si="11"/>
        <v>5871827</v>
      </c>
      <c r="E86" s="103">
        <f t="shared" si="12"/>
        <v>2514330</v>
      </c>
      <c r="F86" s="104">
        <f t="shared" si="13"/>
        <v>0.74887036384544792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5279908</v>
      </c>
      <c r="D87" s="103">
        <f t="shared" si="11"/>
        <v>5433061</v>
      </c>
      <c r="E87" s="103">
        <f t="shared" si="12"/>
        <v>153153</v>
      </c>
      <c r="F87" s="104">
        <f t="shared" si="13"/>
        <v>2.9006755420738391E-2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115033</v>
      </c>
      <c r="D88" s="103">
        <f t="shared" si="11"/>
        <v>236577</v>
      </c>
      <c r="E88" s="103">
        <f t="shared" si="12"/>
        <v>121544</v>
      </c>
      <c r="F88" s="104">
        <f t="shared" si="13"/>
        <v>1.0566011492354368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7270100</v>
      </c>
      <c r="D89" s="103">
        <f t="shared" si="11"/>
        <v>5047450</v>
      </c>
      <c r="E89" s="103">
        <f t="shared" si="12"/>
        <v>-2222650</v>
      </c>
      <c r="F89" s="104">
        <f t="shared" si="13"/>
        <v>-0.3057248180905352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38952115</v>
      </c>
      <c r="D90" s="103">
        <f t="shared" si="11"/>
        <v>46496036</v>
      </c>
      <c r="E90" s="103">
        <f t="shared" si="12"/>
        <v>7543921</v>
      </c>
      <c r="F90" s="104">
        <f t="shared" si="13"/>
        <v>0.19367166583894097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2739121</v>
      </c>
      <c r="D91" s="103">
        <f t="shared" si="11"/>
        <v>3280611</v>
      </c>
      <c r="E91" s="103">
        <f t="shared" si="12"/>
        <v>541490</v>
      </c>
      <c r="F91" s="104">
        <f t="shared" si="13"/>
        <v>0.19768750632045828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2746197</v>
      </c>
      <c r="D92" s="103">
        <f t="shared" si="11"/>
        <v>539191</v>
      </c>
      <c r="E92" s="103">
        <f t="shared" si="12"/>
        <v>-2207006</v>
      </c>
      <c r="F92" s="104">
        <f t="shared" si="13"/>
        <v>-0.80365902373354858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1962550</v>
      </c>
      <c r="D93" s="103">
        <f t="shared" si="11"/>
        <v>62510</v>
      </c>
      <c r="E93" s="103">
        <f t="shared" si="12"/>
        <v>-1900040</v>
      </c>
      <c r="F93" s="104">
        <f t="shared" si="13"/>
        <v>-0.96814858220172739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113866008</v>
      </c>
      <c r="D95" s="112">
        <f>SUM(D84:D94)</f>
        <v>117645317</v>
      </c>
      <c r="E95" s="112">
        <f t="shared" si="12"/>
        <v>3779309</v>
      </c>
      <c r="F95" s="113">
        <f t="shared" si="13"/>
        <v>3.319084480418423E-2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2635</v>
      </c>
      <c r="D100" s="117">
        <v>2659</v>
      </c>
      <c r="E100" s="117">
        <f t="shared" ref="E100:E111" si="14">D100-C100</f>
        <v>24</v>
      </c>
      <c r="F100" s="98">
        <f t="shared" ref="F100:F111" si="15">IF(C100=0,0,E100/C100)</f>
        <v>9.1081593927893733E-3</v>
      </c>
    </row>
    <row r="101" spans="1:6" ht="18" customHeight="1" x14ac:dyDescent="0.25">
      <c r="A101" s="99">
        <v>2</v>
      </c>
      <c r="B101" s="100" t="s">
        <v>113</v>
      </c>
      <c r="C101" s="117">
        <v>987</v>
      </c>
      <c r="D101" s="117">
        <v>1014</v>
      </c>
      <c r="E101" s="117">
        <f t="shared" si="14"/>
        <v>27</v>
      </c>
      <c r="F101" s="98">
        <f t="shared" si="15"/>
        <v>2.7355623100303952E-2</v>
      </c>
    </row>
    <row r="102" spans="1:6" ht="18" customHeight="1" x14ac:dyDescent="0.25">
      <c r="A102" s="99">
        <v>3</v>
      </c>
      <c r="B102" s="100" t="s">
        <v>114</v>
      </c>
      <c r="C102" s="117">
        <v>385</v>
      </c>
      <c r="D102" s="117">
        <v>590</v>
      </c>
      <c r="E102" s="117">
        <f t="shared" si="14"/>
        <v>205</v>
      </c>
      <c r="F102" s="98">
        <f t="shared" si="15"/>
        <v>0.53246753246753242</v>
      </c>
    </row>
    <row r="103" spans="1:6" ht="18" customHeight="1" x14ac:dyDescent="0.25">
      <c r="A103" s="99">
        <v>4</v>
      </c>
      <c r="B103" s="100" t="s">
        <v>115</v>
      </c>
      <c r="C103" s="117">
        <v>639</v>
      </c>
      <c r="D103" s="117">
        <v>688</v>
      </c>
      <c r="E103" s="117">
        <f t="shared" si="14"/>
        <v>49</v>
      </c>
      <c r="F103" s="98">
        <f t="shared" si="15"/>
        <v>7.6682316118935834E-2</v>
      </c>
    </row>
    <row r="104" spans="1:6" ht="18" customHeight="1" x14ac:dyDescent="0.25">
      <c r="A104" s="99">
        <v>5</v>
      </c>
      <c r="B104" s="100" t="s">
        <v>116</v>
      </c>
      <c r="C104" s="117">
        <v>6</v>
      </c>
      <c r="D104" s="117">
        <v>10</v>
      </c>
      <c r="E104" s="117">
        <f t="shared" si="14"/>
        <v>4</v>
      </c>
      <c r="F104" s="98">
        <f t="shared" si="15"/>
        <v>0.66666666666666663</v>
      </c>
    </row>
    <row r="105" spans="1:6" ht="18" customHeight="1" x14ac:dyDescent="0.25">
      <c r="A105" s="99">
        <v>6</v>
      </c>
      <c r="B105" s="100" t="s">
        <v>117</v>
      </c>
      <c r="C105" s="117">
        <v>313</v>
      </c>
      <c r="D105" s="117">
        <v>182</v>
      </c>
      <c r="E105" s="117">
        <f t="shared" si="14"/>
        <v>-131</v>
      </c>
      <c r="F105" s="98">
        <f t="shared" si="15"/>
        <v>-0.41853035143769968</v>
      </c>
    </row>
    <row r="106" spans="1:6" ht="18" customHeight="1" x14ac:dyDescent="0.25">
      <c r="A106" s="99">
        <v>7</v>
      </c>
      <c r="B106" s="100" t="s">
        <v>118</v>
      </c>
      <c r="C106" s="117">
        <v>2287</v>
      </c>
      <c r="D106" s="117">
        <v>2382</v>
      </c>
      <c r="E106" s="117">
        <f t="shared" si="14"/>
        <v>95</v>
      </c>
      <c r="F106" s="98">
        <f t="shared" si="15"/>
        <v>4.1539134236991695E-2</v>
      </c>
    </row>
    <row r="107" spans="1:6" ht="18" customHeight="1" x14ac:dyDescent="0.25">
      <c r="A107" s="99">
        <v>8</v>
      </c>
      <c r="B107" s="100" t="s">
        <v>119</v>
      </c>
      <c r="C107" s="117">
        <v>38</v>
      </c>
      <c r="D107" s="117">
        <v>30</v>
      </c>
      <c r="E107" s="117">
        <f t="shared" si="14"/>
        <v>-8</v>
      </c>
      <c r="F107" s="98">
        <f t="shared" si="15"/>
        <v>-0.21052631578947367</v>
      </c>
    </row>
    <row r="108" spans="1:6" ht="18" customHeight="1" x14ac:dyDescent="0.25">
      <c r="A108" s="99">
        <v>9</v>
      </c>
      <c r="B108" s="100" t="s">
        <v>120</v>
      </c>
      <c r="C108" s="117">
        <v>89</v>
      </c>
      <c r="D108" s="117">
        <v>103</v>
      </c>
      <c r="E108" s="117">
        <f t="shared" si="14"/>
        <v>14</v>
      </c>
      <c r="F108" s="98">
        <f t="shared" si="15"/>
        <v>0.15730337078651685</v>
      </c>
    </row>
    <row r="109" spans="1:6" ht="18" customHeight="1" x14ac:dyDescent="0.25">
      <c r="A109" s="99">
        <v>10</v>
      </c>
      <c r="B109" s="100" t="s">
        <v>121</v>
      </c>
      <c r="C109" s="117">
        <v>154</v>
      </c>
      <c r="D109" s="117">
        <v>61</v>
      </c>
      <c r="E109" s="117">
        <f t="shared" si="14"/>
        <v>-93</v>
      </c>
      <c r="F109" s="98">
        <f t="shared" si="15"/>
        <v>-0.60389610389610393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7533</v>
      </c>
      <c r="D111" s="118">
        <f>SUM(D100:D110)</f>
        <v>7719</v>
      </c>
      <c r="E111" s="118">
        <f t="shared" si="14"/>
        <v>186</v>
      </c>
      <c r="F111" s="104">
        <f t="shared" si="15"/>
        <v>2.4691358024691357E-2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13634</v>
      </c>
      <c r="D113" s="117">
        <v>13846</v>
      </c>
      <c r="E113" s="117">
        <f t="shared" ref="E113:E124" si="16">D113-C113</f>
        <v>212</v>
      </c>
      <c r="F113" s="98">
        <f t="shared" ref="F113:F124" si="17">IF(C113=0,0,E113/C113)</f>
        <v>1.5549361889394162E-2</v>
      </c>
    </row>
    <row r="114" spans="1:6" ht="18" customHeight="1" x14ac:dyDescent="0.25">
      <c r="A114" s="99">
        <v>2</v>
      </c>
      <c r="B114" s="100" t="s">
        <v>113</v>
      </c>
      <c r="C114" s="117">
        <v>5078</v>
      </c>
      <c r="D114" s="117">
        <v>4777</v>
      </c>
      <c r="E114" s="117">
        <f t="shared" si="16"/>
        <v>-301</v>
      </c>
      <c r="F114" s="98">
        <f t="shared" si="17"/>
        <v>-5.927530523828279E-2</v>
      </c>
    </row>
    <row r="115" spans="1:6" ht="18" customHeight="1" x14ac:dyDescent="0.25">
      <c r="A115" s="99">
        <v>3</v>
      </c>
      <c r="B115" s="100" t="s">
        <v>114</v>
      </c>
      <c r="C115" s="117">
        <v>1975</v>
      </c>
      <c r="D115" s="117">
        <v>2863</v>
      </c>
      <c r="E115" s="117">
        <f t="shared" si="16"/>
        <v>888</v>
      </c>
      <c r="F115" s="98">
        <f t="shared" si="17"/>
        <v>0.44962025316455695</v>
      </c>
    </row>
    <row r="116" spans="1:6" ht="18" customHeight="1" x14ac:dyDescent="0.25">
      <c r="A116" s="99">
        <v>4</v>
      </c>
      <c r="B116" s="100" t="s">
        <v>115</v>
      </c>
      <c r="C116" s="117">
        <v>2164</v>
      </c>
      <c r="D116" s="117">
        <v>2042</v>
      </c>
      <c r="E116" s="117">
        <f t="shared" si="16"/>
        <v>-122</v>
      </c>
      <c r="F116" s="98">
        <f t="shared" si="17"/>
        <v>-5.6377079482439925E-2</v>
      </c>
    </row>
    <row r="117" spans="1:6" ht="18" customHeight="1" x14ac:dyDescent="0.25">
      <c r="A117" s="99">
        <v>5</v>
      </c>
      <c r="B117" s="100" t="s">
        <v>116</v>
      </c>
      <c r="C117" s="117">
        <v>16</v>
      </c>
      <c r="D117" s="117">
        <v>25</v>
      </c>
      <c r="E117" s="117">
        <f t="shared" si="16"/>
        <v>9</v>
      </c>
      <c r="F117" s="98">
        <f t="shared" si="17"/>
        <v>0.5625</v>
      </c>
    </row>
    <row r="118" spans="1:6" ht="18" customHeight="1" x14ac:dyDescent="0.25">
      <c r="A118" s="99">
        <v>6</v>
      </c>
      <c r="B118" s="100" t="s">
        <v>117</v>
      </c>
      <c r="C118" s="117">
        <v>1241</v>
      </c>
      <c r="D118" s="117">
        <v>938</v>
      </c>
      <c r="E118" s="117">
        <f t="shared" si="16"/>
        <v>-303</v>
      </c>
      <c r="F118" s="98">
        <f t="shared" si="17"/>
        <v>-0.24415793714746173</v>
      </c>
    </row>
    <row r="119" spans="1:6" ht="18" customHeight="1" x14ac:dyDescent="0.25">
      <c r="A119" s="99">
        <v>7</v>
      </c>
      <c r="B119" s="100" t="s">
        <v>118</v>
      </c>
      <c r="C119" s="117">
        <v>8069</v>
      </c>
      <c r="D119" s="117">
        <v>8166</v>
      </c>
      <c r="E119" s="117">
        <f t="shared" si="16"/>
        <v>97</v>
      </c>
      <c r="F119" s="98">
        <f t="shared" si="17"/>
        <v>1.2021316148221588E-2</v>
      </c>
    </row>
    <row r="120" spans="1:6" ht="18" customHeight="1" x14ac:dyDescent="0.25">
      <c r="A120" s="99">
        <v>8</v>
      </c>
      <c r="B120" s="100" t="s">
        <v>119</v>
      </c>
      <c r="C120" s="117">
        <v>98</v>
      </c>
      <c r="D120" s="117">
        <v>70</v>
      </c>
      <c r="E120" s="117">
        <f t="shared" si="16"/>
        <v>-28</v>
      </c>
      <c r="F120" s="98">
        <f t="shared" si="17"/>
        <v>-0.2857142857142857</v>
      </c>
    </row>
    <row r="121" spans="1:6" ht="18" customHeight="1" x14ac:dyDescent="0.25">
      <c r="A121" s="99">
        <v>9</v>
      </c>
      <c r="B121" s="100" t="s">
        <v>120</v>
      </c>
      <c r="C121" s="117">
        <v>459</v>
      </c>
      <c r="D121" s="117">
        <v>326</v>
      </c>
      <c r="E121" s="117">
        <f t="shared" si="16"/>
        <v>-133</v>
      </c>
      <c r="F121" s="98">
        <f t="shared" si="17"/>
        <v>-0.289760348583878</v>
      </c>
    </row>
    <row r="122" spans="1:6" ht="18" customHeight="1" x14ac:dyDescent="0.25">
      <c r="A122" s="99">
        <v>10</v>
      </c>
      <c r="B122" s="100" t="s">
        <v>121</v>
      </c>
      <c r="C122" s="117">
        <v>847</v>
      </c>
      <c r="D122" s="117">
        <v>376</v>
      </c>
      <c r="E122" s="117">
        <f t="shared" si="16"/>
        <v>-471</v>
      </c>
      <c r="F122" s="98">
        <f t="shared" si="17"/>
        <v>-0.55608028335301063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33581</v>
      </c>
      <c r="D124" s="118">
        <f>SUM(D113:D123)</f>
        <v>33429</v>
      </c>
      <c r="E124" s="118">
        <f t="shared" si="16"/>
        <v>-152</v>
      </c>
      <c r="F124" s="104">
        <f t="shared" si="17"/>
        <v>-4.5263690777523008E-3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29089</v>
      </c>
      <c r="D126" s="117">
        <v>30361</v>
      </c>
      <c r="E126" s="117">
        <f t="shared" ref="E126:E137" si="18">D126-C126</f>
        <v>1272</v>
      </c>
      <c r="F126" s="98">
        <f t="shared" ref="F126:F137" si="19">IF(C126=0,0,E126/C126)</f>
        <v>4.3727869641445219E-2</v>
      </c>
    </row>
    <row r="127" spans="1:6" ht="18" customHeight="1" x14ac:dyDescent="0.25">
      <c r="A127" s="99">
        <v>2</v>
      </c>
      <c r="B127" s="100" t="s">
        <v>113</v>
      </c>
      <c r="C127" s="117">
        <v>11049</v>
      </c>
      <c r="D127" s="117">
        <v>13035</v>
      </c>
      <c r="E127" s="117">
        <f t="shared" si="18"/>
        <v>1986</v>
      </c>
      <c r="F127" s="98">
        <f t="shared" si="19"/>
        <v>0.17974477328265001</v>
      </c>
    </row>
    <row r="128" spans="1:6" ht="18" customHeight="1" x14ac:dyDescent="0.25">
      <c r="A128" s="99">
        <v>3</v>
      </c>
      <c r="B128" s="100" t="s">
        <v>114</v>
      </c>
      <c r="C128" s="117">
        <v>4695</v>
      </c>
      <c r="D128" s="117">
        <v>6469</v>
      </c>
      <c r="E128" s="117">
        <f t="shared" si="18"/>
        <v>1774</v>
      </c>
      <c r="F128" s="98">
        <f t="shared" si="19"/>
        <v>0.37784877529286476</v>
      </c>
    </row>
    <row r="129" spans="1:6" ht="18" customHeight="1" x14ac:dyDescent="0.25">
      <c r="A129" s="99">
        <v>4</v>
      </c>
      <c r="B129" s="100" t="s">
        <v>115</v>
      </c>
      <c r="C129" s="117">
        <v>10489</v>
      </c>
      <c r="D129" s="117">
        <v>11472</v>
      </c>
      <c r="E129" s="117">
        <f t="shared" si="18"/>
        <v>983</v>
      </c>
      <c r="F129" s="98">
        <f t="shared" si="19"/>
        <v>9.3717227571741821E-2</v>
      </c>
    </row>
    <row r="130" spans="1:6" ht="18" customHeight="1" x14ac:dyDescent="0.25">
      <c r="A130" s="99">
        <v>5</v>
      </c>
      <c r="B130" s="100" t="s">
        <v>116</v>
      </c>
      <c r="C130" s="117">
        <v>145</v>
      </c>
      <c r="D130" s="117">
        <v>180</v>
      </c>
      <c r="E130" s="117">
        <f t="shared" si="18"/>
        <v>35</v>
      </c>
      <c r="F130" s="98">
        <f t="shared" si="19"/>
        <v>0.2413793103448276</v>
      </c>
    </row>
    <row r="131" spans="1:6" ht="18" customHeight="1" x14ac:dyDescent="0.25">
      <c r="A131" s="99">
        <v>6</v>
      </c>
      <c r="B131" s="100" t="s">
        <v>117</v>
      </c>
      <c r="C131" s="117">
        <v>6548</v>
      </c>
      <c r="D131" s="117">
        <v>4644</v>
      </c>
      <c r="E131" s="117">
        <f t="shared" si="18"/>
        <v>-1904</v>
      </c>
      <c r="F131" s="98">
        <f t="shared" si="19"/>
        <v>-0.29077580940745268</v>
      </c>
    </row>
    <row r="132" spans="1:6" ht="18" customHeight="1" x14ac:dyDescent="0.25">
      <c r="A132" s="99">
        <v>7</v>
      </c>
      <c r="B132" s="100" t="s">
        <v>118</v>
      </c>
      <c r="C132" s="117">
        <v>45185</v>
      </c>
      <c r="D132" s="117">
        <v>46539</v>
      </c>
      <c r="E132" s="117">
        <f t="shared" si="18"/>
        <v>1354</v>
      </c>
      <c r="F132" s="98">
        <f t="shared" si="19"/>
        <v>2.9965696580723691E-2</v>
      </c>
    </row>
    <row r="133" spans="1:6" ht="18" customHeight="1" x14ac:dyDescent="0.25">
      <c r="A133" s="99">
        <v>8</v>
      </c>
      <c r="B133" s="100" t="s">
        <v>119</v>
      </c>
      <c r="C133" s="117">
        <v>2064</v>
      </c>
      <c r="D133" s="117">
        <v>2172</v>
      </c>
      <c r="E133" s="117">
        <f t="shared" si="18"/>
        <v>108</v>
      </c>
      <c r="F133" s="98">
        <f t="shared" si="19"/>
        <v>5.232558139534884E-2</v>
      </c>
    </row>
    <row r="134" spans="1:6" ht="18" customHeight="1" x14ac:dyDescent="0.25">
      <c r="A134" s="99">
        <v>9</v>
      </c>
      <c r="B134" s="100" t="s">
        <v>120</v>
      </c>
      <c r="C134" s="117">
        <v>5781</v>
      </c>
      <c r="D134" s="117">
        <v>5434</v>
      </c>
      <c r="E134" s="117">
        <f t="shared" si="18"/>
        <v>-347</v>
      </c>
      <c r="F134" s="98">
        <f t="shared" si="19"/>
        <v>-6.0024217263449232E-2</v>
      </c>
    </row>
    <row r="135" spans="1:6" ht="18" customHeight="1" x14ac:dyDescent="0.25">
      <c r="A135" s="99">
        <v>10</v>
      </c>
      <c r="B135" s="100" t="s">
        <v>121</v>
      </c>
      <c r="C135" s="117">
        <v>2739</v>
      </c>
      <c r="D135" s="117">
        <v>2048</v>
      </c>
      <c r="E135" s="117">
        <f t="shared" si="18"/>
        <v>-691</v>
      </c>
      <c r="F135" s="98">
        <f t="shared" si="19"/>
        <v>-0.25228185469149322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117784</v>
      </c>
      <c r="D137" s="118">
        <f>SUM(D126:D136)</f>
        <v>122354</v>
      </c>
      <c r="E137" s="118">
        <f t="shared" si="18"/>
        <v>4570</v>
      </c>
      <c r="F137" s="104">
        <f t="shared" si="19"/>
        <v>3.8799836989743937E-2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7220866</v>
      </c>
      <c r="D142" s="97">
        <v>8568470</v>
      </c>
      <c r="E142" s="97">
        <f t="shared" ref="E142:E153" si="20">D142-C142</f>
        <v>1347604</v>
      </c>
      <c r="F142" s="98">
        <f t="shared" ref="F142:F153" si="21">IF(C142=0,0,E142/C142)</f>
        <v>0.18662636863777834</v>
      </c>
    </row>
    <row r="143" spans="1:6" ht="18" customHeight="1" x14ac:dyDescent="0.25">
      <c r="A143" s="99">
        <v>2</v>
      </c>
      <c r="B143" s="100" t="s">
        <v>113</v>
      </c>
      <c r="C143" s="97">
        <v>2532373</v>
      </c>
      <c r="D143" s="97">
        <v>3188315</v>
      </c>
      <c r="E143" s="97">
        <f t="shared" si="20"/>
        <v>655942</v>
      </c>
      <c r="F143" s="98">
        <f t="shared" si="21"/>
        <v>0.25902266372291916</v>
      </c>
    </row>
    <row r="144" spans="1:6" ht="18" customHeight="1" x14ac:dyDescent="0.25">
      <c r="A144" s="99">
        <v>3</v>
      </c>
      <c r="B144" s="100" t="s">
        <v>114</v>
      </c>
      <c r="C144" s="97">
        <v>2297230</v>
      </c>
      <c r="D144" s="97">
        <v>2142447</v>
      </c>
      <c r="E144" s="97">
        <f t="shared" si="20"/>
        <v>-154783</v>
      </c>
      <c r="F144" s="98">
        <f t="shared" si="21"/>
        <v>-6.7378103193846503E-2</v>
      </c>
    </row>
    <row r="145" spans="1:6" ht="18" customHeight="1" x14ac:dyDescent="0.25">
      <c r="A145" s="99">
        <v>4</v>
      </c>
      <c r="B145" s="100" t="s">
        <v>115</v>
      </c>
      <c r="C145" s="97">
        <v>6313063</v>
      </c>
      <c r="D145" s="97">
        <v>7666198</v>
      </c>
      <c r="E145" s="97">
        <f t="shared" si="20"/>
        <v>1353135</v>
      </c>
      <c r="F145" s="98">
        <f t="shared" si="21"/>
        <v>0.21433890331840502</v>
      </c>
    </row>
    <row r="146" spans="1:6" ht="18" customHeight="1" x14ac:dyDescent="0.25">
      <c r="A146" s="99">
        <v>5</v>
      </c>
      <c r="B146" s="100" t="s">
        <v>116</v>
      </c>
      <c r="C146" s="97">
        <v>107167</v>
      </c>
      <c r="D146" s="97">
        <v>153554</v>
      </c>
      <c r="E146" s="97">
        <f t="shared" si="20"/>
        <v>46387</v>
      </c>
      <c r="F146" s="98">
        <f t="shared" si="21"/>
        <v>0.43284779829611725</v>
      </c>
    </row>
    <row r="147" spans="1:6" ht="18" customHeight="1" x14ac:dyDescent="0.25">
      <c r="A147" s="99">
        <v>6</v>
      </c>
      <c r="B147" s="100" t="s">
        <v>117</v>
      </c>
      <c r="C147" s="97">
        <v>2312745</v>
      </c>
      <c r="D147" s="97">
        <v>1517637</v>
      </c>
      <c r="E147" s="97">
        <f t="shared" si="20"/>
        <v>-795108</v>
      </c>
      <c r="F147" s="98">
        <f t="shared" si="21"/>
        <v>-0.34379406289928205</v>
      </c>
    </row>
    <row r="148" spans="1:6" ht="18" customHeight="1" x14ac:dyDescent="0.25">
      <c r="A148" s="99">
        <v>7</v>
      </c>
      <c r="B148" s="100" t="s">
        <v>118</v>
      </c>
      <c r="C148" s="97">
        <v>16315229</v>
      </c>
      <c r="D148" s="97">
        <v>17959577</v>
      </c>
      <c r="E148" s="97">
        <f t="shared" si="20"/>
        <v>1644348</v>
      </c>
      <c r="F148" s="98">
        <f t="shared" si="21"/>
        <v>0.10078608151929709</v>
      </c>
    </row>
    <row r="149" spans="1:6" ht="18" customHeight="1" x14ac:dyDescent="0.25">
      <c r="A149" s="99">
        <v>8</v>
      </c>
      <c r="B149" s="100" t="s">
        <v>119</v>
      </c>
      <c r="C149" s="97">
        <v>835610</v>
      </c>
      <c r="D149" s="97">
        <v>897526</v>
      </c>
      <c r="E149" s="97">
        <f t="shared" si="20"/>
        <v>61916</v>
      </c>
      <c r="F149" s="98">
        <f t="shared" si="21"/>
        <v>7.4096767630832561E-2</v>
      </c>
    </row>
    <row r="150" spans="1:6" ht="18" customHeight="1" x14ac:dyDescent="0.25">
      <c r="A150" s="99">
        <v>9</v>
      </c>
      <c r="B150" s="100" t="s">
        <v>120</v>
      </c>
      <c r="C150" s="97">
        <v>4114255</v>
      </c>
      <c r="D150" s="97">
        <v>4281686</v>
      </c>
      <c r="E150" s="97">
        <f t="shared" si="20"/>
        <v>167431</v>
      </c>
      <c r="F150" s="98">
        <f t="shared" si="21"/>
        <v>4.0695338524228568E-2</v>
      </c>
    </row>
    <row r="151" spans="1:6" ht="18" customHeight="1" x14ac:dyDescent="0.25">
      <c r="A151" s="99">
        <v>10</v>
      </c>
      <c r="B151" s="100" t="s">
        <v>121</v>
      </c>
      <c r="C151" s="97">
        <v>1972276</v>
      </c>
      <c r="D151" s="97">
        <v>3181726</v>
      </c>
      <c r="E151" s="97">
        <f t="shared" si="20"/>
        <v>1209450</v>
      </c>
      <c r="F151" s="98">
        <f t="shared" si="21"/>
        <v>0.61322553232914667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44020814</v>
      </c>
      <c r="D153" s="103">
        <f>SUM(D142:D152)</f>
        <v>49557136</v>
      </c>
      <c r="E153" s="103">
        <f t="shared" si="20"/>
        <v>5536322</v>
      </c>
      <c r="F153" s="104">
        <f t="shared" si="21"/>
        <v>0.12576600696207027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1848976</v>
      </c>
      <c r="D155" s="97">
        <v>2063343</v>
      </c>
      <c r="E155" s="97">
        <f t="shared" ref="E155:E166" si="22">D155-C155</f>
        <v>214367</v>
      </c>
      <c r="F155" s="98">
        <f t="shared" ref="F155:F166" si="23">IF(C155=0,0,E155/C155)</f>
        <v>0.11593822742966918</v>
      </c>
    </row>
    <row r="156" spans="1:6" ht="18" customHeight="1" x14ac:dyDescent="0.25">
      <c r="A156" s="99">
        <v>2</v>
      </c>
      <c r="B156" s="100" t="s">
        <v>113</v>
      </c>
      <c r="C156" s="97">
        <v>665059</v>
      </c>
      <c r="D156" s="97">
        <v>840066</v>
      </c>
      <c r="E156" s="97">
        <f t="shared" si="22"/>
        <v>175007</v>
      </c>
      <c r="F156" s="98">
        <f t="shared" si="23"/>
        <v>0.2631450743467873</v>
      </c>
    </row>
    <row r="157" spans="1:6" ht="18" customHeight="1" x14ac:dyDescent="0.25">
      <c r="A157" s="99">
        <v>3</v>
      </c>
      <c r="B157" s="100" t="s">
        <v>114</v>
      </c>
      <c r="C157" s="97">
        <v>375311</v>
      </c>
      <c r="D157" s="97">
        <v>398765</v>
      </c>
      <c r="E157" s="97">
        <f t="shared" si="22"/>
        <v>23454</v>
      </c>
      <c r="F157" s="98">
        <f t="shared" si="23"/>
        <v>6.2492173157727857E-2</v>
      </c>
    </row>
    <row r="158" spans="1:6" ht="18" customHeight="1" x14ac:dyDescent="0.25">
      <c r="A158" s="99">
        <v>4</v>
      </c>
      <c r="B158" s="100" t="s">
        <v>115</v>
      </c>
      <c r="C158" s="97">
        <v>1520132</v>
      </c>
      <c r="D158" s="97">
        <v>1783700</v>
      </c>
      <c r="E158" s="97">
        <f t="shared" si="22"/>
        <v>263568</v>
      </c>
      <c r="F158" s="98">
        <f t="shared" si="23"/>
        <v>0.1733849428865388</v>
      </c>
    </row>
    <row r="159" spans="1:6" ht="18" customHeight="1" x14ac:dyDescent="0.25">
      <c r="A159" s="99">
        <v>5</v>
      </c>
      <c r="B159" s="100" t="s">
        <v>116</v>
      </c>
      <c r="C159" s="97">
        <v>37030</v>
      </c>
      <c r="D159" s="97">
        <v>29618</v>
      </c>
      <c r="E159" s="97">
        <f t="shared" si="22"/>
        <v>-7412</v>
      </c>
      <c r="F159" s="98">
        <f t="shared" si="23"/>
        <v>-0.20016203078584932</v>
      </c>
    </row>
    <row r="160" spans="1:6" ht="18" customHeight="1" x14ac:dyDescent="0.25">
      <c r="A160" s="99">
        <v>6</v>
      </c>
      <c r="B160" s="100" t="s">
        <v>117</v>
      </c>
      <c r="C160" s="97">
        <v>876283</v>
      </c>
      <c r="D160" s="97">
        <v>629362</v>
      </c>
      <c r="E160" s="97">
        <f t="shared" si="22"/>
        <v>-246921</v>
      </c>
      <c r="F160" s="98">
        <f t="shared" si="23"/>
        <v>-0.28178225527597822</v>
      </c>
    </row>
    <row r="161" spans="1:6" ht="18" customHeight="1" x14ac:dyDescent="0.25">
      <c r="A161" s="99">
        <v>7</v>
      </c>
      <c r="B161" s="100" t="s">
        <v>118</v>
      </c>
      <c r="C161" s="97">
        <v>6316288</v>
      </c>
      <c r="D161" s="97">
        <v>7016982</v>
      </c>
      <c r="E161" s="97">
        <f t="shared" si="22"/>
        <v>700694</v>
      </c>
      <c r="F161" s="98">
        <f t="shared" si="23"/>
        <v>0.1109344602399384</v>
      </c>
    </row>
    <row r="162" spans="1:6" ht="18" customHeight="1" x14ac:dyDescent="0.25">
      <c r="A162" s="99">
        <v>8</v>
      </c>
      <c r="B162" s="100" t="s">
        <v>119</v>
      </c>
      <c r="C162" s="97">
        <v>526669</v>
      </c>
      <c r="D162" s="97">
        <v>578956</v>
      </c>
      <c r="E162" s="97">
        <f t="shared" si="22"/>
        <v>52287</v>
      </c>
      <c r="F162" s="98">
        <f t="shared" si="23"/>
        <v>9.9278674081823684E-2</v>
      </c>
    </row>
    <row r="163" spans="1:6" ht="18" customHeight="1" x14ac:dyDescent="0.25">
      <c r="A163" s="99">
        <v>9</v>
      </c>
      <c r="B163" s="100" t="s">
        <v>120</v>
      </c>
      <c r="C163" s="97">
        <v>218754</v>
      </c>
      <c r="D163" s="97">
        <v>184812</v>
      </c>
      <c r="E163" s="97">
        <f t="shared" si="22"/>
        <v>-33942</v>
      </c>
      <c r="F163" s="98">
        <f t="shared" si="23"/>
        <v>-0.15516059134918675</v>
      </c>
    </row>
    <row r="164" spans="1:6" ht="18" customHeight="1" x14ac:dyDescent="0.25">
      <c r="A164" s="99">
        <v>10</v>
      </c>
      <c r="B164" s="100" t="s">
        <v>121</v>
      </c>
      <c r="C164" s="97">
        <v>186862</v>
      </c>
      <c r="D164" s="97">
        <v>465192</v>
      </c>
      <c r="E164" s="97">
        <f t="shared" si="22"/>
        <v>278330</v>
      </c>
      <c r="F164" s="98">
        <f t="shared" si="23"/>
        <v>1.4894949213858355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12571364</v>
      </c>
      <c r="D166" s="103">
        <f>SUM(D155:D165)</f>
        <v>13990796</v>
      </c>
      <c r="E166" s="103">
        <f t="shared" si="22"/>
        <v>1419432</v>
      </c>
      <c r="F166" s="104">
        <f t="shared" si="23"/>
        <v>0.11290994358289204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4254</v>
      </c>
      <c r="D168" s="117">
        <v>4645</v>
      </c>
      <c r="E168" s="117">
        <f t="shared" ref="E168:E179" si="24">D168-C168</f>
        <v>391</v>
      </c>
      <c r="F168" s="98">
        <f t="shared" ref="F168:F179" si="25">IF(C168=0,0,E168/C168)</f>
        <v>9.1913493182886691E-2</v>
      </c>
    </row>
    <row r="169" spans="1:6" ht="18" customHeight="1" x14ac:dyDescent="0.25">
      <c r="A169" s="99">
        <v>2</v>
      </c>
      <c r="B169" s="100" t="s">
        <v>113</v>
      </c>
      <c r="C169" s="117">
        <v>1390</v>
      </c>
      <c r="D169" s="117">
        <v>1509</v>
      </c>
      <c r="E169" s="117">
        <f t="shared" si="24"/>
        <v>119</v>
      </c>
      <c r="F169" s="98">
        <f t="shared" si="25"/>
        <v>8.5611510791366904E-2</v>
      </c>
    </row>
    <row r="170" spans="1:6" ht="18" customHeight="1" x14ac:dyDescent="0.25">
      <c r="A170" s="99">
        <v>3</v>
      </c>
      <c r="B170" s="100" t="s">
        <v>114</v>
      </c>
      <c r="C170" s="117">
        <v>1631</v>
      </c>
      <c r="D170" s="117">
        <v>1408</v>
      </c>
      <c r="E170" s="117">
        <f t="shared" si="24"/>
        <v>-223</v>
      </c>
      <c r="F170" s="98">
        <f t="shared" si="25"/>
        <v>-0.1367259350091968</v>
      </c>
    </row>
    <row r="171" spans="1:6" ht="18" customHeight="1" x14ac:dyDescent="0.25">
      <c r="A171" s="99">
        <v>4</v>
      </c>
      <c r="B171" s="100" t="s">
        <v>115</v>
      </c>
      <c r="C171" s="117">
        <v>6189</v>
      </c>
      <c r="D171" s="117">
        <v>6709</v>
      </c>
      <c r="E171" s="117">
        <f t="shared" si="24"/>
        <v>520</v>
      </c>
      <c r="F171" s="98">
        <f t="shared" si="25"/>
        <v>8.4020035546938113E-2</v>
      </c>
    </row>
    <row r="172" spans="1:6" ht="18" customHeight="1" x14ac:dyDescent="0.25">
      <c r="A172" s="99">
        <v>5</v>
      </c>
      <c r="B172" s="100" t="s">
        <v>116</v>
      </c>
      <c r="C172" s="117">
        <v>100</v>
      </c>
      <c r="D172" s="117">
        <v>115</v>
      </c>
      <c r="E172" s="117">
        <f t="shared" si="24"/>
        <v>15</v>
      </c>
      <c r="F172" s="98">
        <f t="shared" si="25"/>
        <v>0.15</v>
      </c>
    </row>
    <row r="173" spans="1:6" ht="18" customHeight="1" x14ac:dyDescent="0.25">
      <c r="A173" s="99">
        <v>6</v>
      </c>
      <c r="B173" s="100" t="s">
        <v>117</v>
      </c>
      <c r="C173" s="117">
        <v>1773</v>
      </c>
      <c r="D173" s="117">
        <v>969</v>
      </c>
      <c r="E173" s="117">
        <f t="shared" si="24"/>
        <v>-804</v>
      </c>
      <c r="F173" s="98">
        <f t="shared" si="25"/>
        <v>-0.45346869712351945</v>
      </c>
    </row>
    <row r="174" spans="1:6" ht="18" customHeight="1" x14ac:dyDescent="0.25">
      <c r="A174" s="99">
        <v>7</v>
      </c>
      <c r="B174" s="100" t="s">
        <v>118</v>
      </c>
      <c r="C174" s="117">
        <v>12231</v>
      </c>
      <c r="D174" s="117">
        <v>11829</v>
      </c>
      <c r="E174" s="117">
        <f t="shared" si="24"/>
        <v>-402</v>
      </c>
      <c r="F174" s="98">
        <f t="shared" si="25"/>
        <v>-3.2867304390483201E-2</v>
      </c>
    </row>
    <row r="175" spans="1:6" ht="18" customHeight="1" x14ac:dyDescent="0.25">
      <c r="A175" s="99">
        <v>8</v>
      </c>
      <c r="B175" s="100" t="s">
        <v>119</v>
      </c>
      <c r="C175" s="117">
        <v>899</v>
      </c>
      <c r="D175" s="117">
        <v>817</v>
      </c>
      <c r="E175" s="117">
        <f t="shared" si="24"/>
        <v>-82</v>
      </c>
      <c r="F175" s="98">
        <f t="shared" si="25"/>
        <v>-9.1212458286985543E-2</v>
      </c>
    </row>
    <row r="176" spans="1:6" ht="18" customHeight="1" x14ac:dyDescent="0.25">
      <c r="A176" s="99">
        <v>9</v>
      </c>
      <c r="B176" s="100" t="s">
        <v>120</v>
      </c>
      <c r="C176" s="117">
        <v>3648</v>
      </c>
      <c r="D176" s="117">
        <v>3257</v>
      </c>
      <c r="E176" s="117">
        <f t="shared" si="24"/>
        <v>-391</v>
      </c>
      <c r="F176" s="98">
        <f t="shared" si="25"/>
        <v>-0.10718201754385964</v>
      </c>
    </row>
    <row r="177" spans="1:6" ht="18" customHeight="1" x14ac:dyDescent="0.25">
      <c r="A177" s="99">
        <v>10</v>
      </c>
      <c r="B177" s="100" t="s">
        <v>121</v>
      </c>
      <c r="C177" s="117">
        <v>1674</v>
      </c>
      <c r="D177" s="117">
        <v>2144</v>
      </c>
      <c r="E177" s="117">
        <f t="shared" si="24"/>
        <v>470</v>
      </c>
      <c r="F177" s="98">
        <f t="shared" si="25"/>
        <v>0.2807646356033453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33789</v>
      </c>
      <c r="D179" s="118">
        <f>SUM(D168:D178)</f>
        <v>33402</v>
      </c>
      <c r="E179" s="118">
        <f t="shared" si="24"/>
        <v>-387</v>
      </c>
      <c r="F179" s="104">
        <f t="shared" si="25"/>
        <v>-1.145343159016248E-2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horizontalCentered="1"/>
  <pageMargins left="0.25" right="0.25" top="0.5" bottom="0.5" header="0.25" footer="0.25"/>
  <pageSetup paperSize="9" scale="65" fitToHeight="2" orientation="portrait" r:id="rId1"/>
  <headerFooter>
    <oddHeader>&amp;LOFFICE OF HEALTH CARE ACCESS&amp;CTWELVE MONTHS ACTUAL FILING&amp;RGRIFFIN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workbookViewId="0">
      <selection activeCell="H27" sqref="H27"/>
    </sheetView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17033289</v>
      </c>
      <c r="D15" s="146">
        <v>18665249</v>
      </c>
      <c r="E15" s="146">
        <f>+D15-C15</f>
        <v>1631960</v>
      </c>
      <c r="F15" s="150">
        <f>IF(C15=0,0,E15/C15)</f>
        <v>9.5810034104394051E-2</v>
      </c>
    </row>
    <row r="16" spans="1:7" ht="15" customHeight="1" x14ac:dyDescent="0.2">
      <c r="A16" s="141">
        <v>2</v>
      </c>
      <c r="B16" s="149" t="s">
        <v>158</v>
      </c>
      <c r="C16" s="146">
        <v>6156928</v>
      </c>
      <c r="D16" s="146">
        <v>5144632</v>
      </c>
      <c r="E16" s="146">
        <f>+D16-C16</f>
        <v>-1012296</v>
      </c>
      <c r="F16" s="150">
        <f>IF(C16=0,0,E16/C16)</f>
        <v>-0.16441576058709798</v>
      </c>
    </row>
    <row r="17" spans="1:7" ht="15" customHeight="1" x14ac:dyDescent="0.2">
      <c r="A17" s="141">
        <v>3</v>
      </c>
      <c r="B17" s="149" t="s">
        <v>159</v>
      </c>
      <c r="C17" s="146">
        <v>30325007</v>
      </c>
      <c r="D17" s="146">
        <v>30294911</v>
      </c>
      <c r="E17" s="146">
        <f>+D17-C17</f>
        <v>-30096</v>
      </c>
      <c r="F17" s="150">
        <f>IF(C17=0,0,E17/C17)</f>
        <v>-9.9244824576627468E-4</v>
      </c>
    </row>
    <row r="18" spans="1:7" ht="15.75" customHeight="1" x14ac:dyDescent="0.25">
      <c r="A18" s="141"/>
      <c r="B18" s="151" t="s">
        <v>160</v>
      </c>
      <c r="C18" s="147">
        <f>SUM(C15:C17)</f>
        <v>53515224</v>
      </c>
      <c r="D18" s="147">
        <f>SUM(D15:D17)</f>
        <v>54104792</v>
      </c>
      <c r="E18" s="147">
        <f>+D18-C18</f>
        <v>589568</v>
      </c>
      <c r="F18" s="148">
        <f>IF(C18=0,0,E18/C18)</f>
        <v>1.1016827660106589E-2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4526561</v>
      </c>
      <c r="D21" s="146">
        <v>5608641</v>
      </c>
      <c r="E21" s="146">
        <f>+D21-C21</f>
        <v>1082080</v>
      </c>
      <c r="F21" s="150">
        <f>IF(C21=0,0,E21/C21)</f>
        <v>0.23905123558480709</v>
      </c>
    </row>
    <row r="22" spans="1:7" ht="15" customHeight="1" x14ac:dyDescent="0.2">
      <c r="A22" s="141">
        <v>2</v>
      </c>
      <c r="B22" s="149" t="s">
        <v>163</v>
      </c>
      <c r="C22" s="146">
        <v>1636192</v>
      </c>
      <c r="D22" s="146">
        <v>1545889</v>
      </c>
      <c r="E22" s="146">
        <f>+D22-C22</f>
        <v>-90303</v>
      </c>
      <c r="F22" s="150">
        <f>IF(C22=0,0,E22/C22)</f>
        <v>-5.5190955584674656E-2</v>
      </c>
    </row>
    <row r="23" spans="1:7" ht="15" customHeight="1" x14ac:dyDescent="0.2">
      <c r="A23" s="141">
        <v>3</v>
      </c>
      <c r="B23" s="149" t="s">
        <v>164</v>
      </c>
      <c r="C23" s="146">
        <v>8058813</v>
      </c>
      <c r="D23" s="146">
        <v>9103188</v>
      </c>
      <c r="E23" s="146">
        <f>+D23-C23</f>
        <v>1044375</v>
      </c>
      <c r="F23" s="150">
        <f>IF(C23=0,0,E23/C23)</f>
        <v>0.12959414742592984</v>
      </c>
    </row>
    <row r="24" spans="1:7" ht="15.75" customHeight="1" x14ac:dyDescent="0.25">
      <c r="A24" s="141"/>
      <c r="B24" s="151" t="s">
        <v>165</v>
      </c>
      <c r="C24" s="147">
        <f>SUM(C21:C23)</f>
        <v>14221566</v>
      </c>
      <c r="D24" s="147">
        <f>SUM(D21:D23)</f>
        <v>16257718</v>
      </c>
      <c r="E24" s="147">
        <f>+D24-C24</f>
        <v>2036152</v>
      </c>
      <c r="F24" s="148">
        <f>IF(C24=0,0,E24/C24)</f>
        <v>0.14317354361678594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102852</v>
      </c>
      <c r="D27" s="146">
        <v>0</v>
      </c>
      <c r="E27" s="146">
        <f>+D27-C27</f>
        <v>-102852</v>
      </c>
      <c r="F27" s="150">
        <f>IF(C27=0,0,E27/C27)</f>
        <v>-1</v>
      </c>
    </row>
    <row r="28" spans="1:7" ht="15" customHeight="1" x14ac:dyDescent="0.2">
      <c r="A28" s="141">
        <v>2</v>
      </c>
      <c r="B28" s="149" t="s">
        <v>168</v>
      </c>
      <c r="C28" s="146">
        <v>1503328</v>
      </c>
      <c r="D28" s="146">
        <v>1856329</v>
      </c>
      <c r="E28" s="146">
        <f>+D28-C28</f>
        <v>353001</v>
      </c>
      <c r="F28" s="150">
        <f>IF(C28=0,0,E28/C28)</f>
        <v>0.23481302816151897</v>
      </c>
    </row>
    <row r="29" spans="1:7" ht="15" customHeight="1" x14ac:dyDescent="0.2">
      <c r="A29" s="141">
        <v>3</v>
      </c>
      <c r="B29" s="149" t="s">
        <v>169</v>
      </c>
      <c r="C29" s="146">
        <v>0</v>
      </c>
      <c r="D29" s="146">
        <v>0</v>
      </c>
      <c r="E29" s="146">
        <f>+D29-C29</f>
        <v>0</v>
      </c>
      <c r="F29" s="150">
        <f>IF(C29=0,0,E29/C29)</f>
        <v>0</v>
      </c>
    </row>
    <row r="30" spans="1:7" ht="15.75" customHeight="1" x14ac:dyDescent="0.25">
      <c r="A30" s="141"/>
      <c r="B30" s="151" t="s">
        <v>170</v>
      </c>
      <c r="C30" s="147">
        <f>SUM(C27:C29)</f>
        <v>1606180</v>
      </c>
      <c r="D30" s="147">
        <f>SUM(D27:D29)</f>
        <v>1856329</v>
      </c>
      <c r="E30" s="147">
        <f>+D30-C30</f>
        <v>250149</v>
      </c>
      <c r="F30" s="148">
        <f>IF(C30=0,0,E30/C30)</f>
        <v>0.15574157317361689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10664781</v>
      </c>
      <c r="D33" s="146">
        <v>11920447</v>
      </c>
      <c r="E33" s="146">
        <f>+D33-C33</f>
        <v>1255666</v>
      </c>
      <c r="F33" s="150">
        <f>IF(C33=0,0,E33/C33)</f>
        <v>0.11773950163627364</v>
      </c>
    </row>
    <row r="34" spans="1:7" ht="15" customHeight="1" x14ac:dyDescent="0.2">
      <c r="A34" s="141">
        <v>2</v>
      </c>
      <c r="B34" s="149" t="s">
        <v>174</v>
      </c>
      <c r="C34" s="146">
        <v>2995644</v>
      </c>
      <c r="D34" s="146">
        <v>3253452</v>
      </c>
      <c r="E34" s="146">
        <f>+D34-C34</f>
        <v>257808</v>
      </c>
      <c r="F34" s="150">
        <f>IF(C34=0,0,E34/C34)</f>
        <v>8.6060960514667301E-2</v>
      </c>
    </row>
    <row r="35" spans="1:7" ht="15.75" customHeight="1" x14ac:dyDescent="0.25">
      <c r="A35" s="141"/>
      <c r="B35" s="151" t="s">
        <v>175</v>
      </c>
      <c r="C35" s="147">
        <f>SUM(C33:C34)</f>
        <v>13660425</v>
      </c>
      <c r="D35" s="147">
        <f>SUM(D33:D34)</f>
        <v>15173899</v>
      </c>
      <c r="E35" s="147">
        <f>+D35-C35</f>
        <v>1513474</v>
      </c>
      <c r="F35" s="148">
        <f>IF(C35=0,0,E35/C35)</f>
        <v>0.11079259979100212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2486389</v>
      </c>
      <c r="D38" s="146">
        <v>3017839</v>
      </c>
      <c r="E38" s="146">
        <f>+D38-C38</f>
        <v>531450</v>
      </c>
      <c r="F38" s="150">
        <f>IF(C38=0,0,E38/C38)</f>
        <v>0.21374370623422159</v>
      </c>
    </row>
    <row r="39" spans="1:7" ht="15" customHeight="1" x14ac:dyDescent="0.2">
      <c r="A39" s="141">
        <v>2</v>
      </c>
      <c r="B39" s="149" t="s">
        <v>179</v>
      </c>
      <c r="C39" s="146">
        <v>2466103</v>
      </c>
      <c r="D39" s="146">
        <v>3302581</v>
      </c>
      <c r="E39" s="146">
        <f>+D39-C39</f>
        <v>836478</v>
      </c>
      <c r="F39" s="150">
        <f>IF(C39=0,0,E39/C39)</f>
        <v>0.3391902122498533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0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4952492</v>
      </c>
      <c r="D41" s="147">
        <f>SUM(D38:D40)</f>
        <v>6320420</v>
      </c>
      <c r="E41" s="147">
        <f>+D41-C41</f>
        <v>1367928</v>
      </c>
      <c r="F41" s="148">
        <f>IF(C41=0,0,E41/C41)</f>
        <v>0.27621003729031768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6305896</v>
      </c>
      <c r="D44" s="146">
        <v>1246161</v>
      </c>
      <c r="E44" s="146">
        <f>+D44-C44</f>
        <v>-5059735</v>
      </c>
      <c r="F44" s="150">
        <f>IF(C44=0,0,E44/C44)</f>
        <v>-0.8023816123830777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2492363</v>
      </c>
      <c r="D47" s="146">
        <v>2555303</v>
      </c>
      <c r="E47" s="146">
        <f>+D47-C47</f>
        <v>62940</v>
      </c>
      <c r="F47" s="150">
        <f>IF(C47=0,0,E47/C47)</f>
        <v>2.5253143302159435E-2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2668174</v>
      </c>
      <c r="D50" s="146">
        <v>1495789</v>
      </c>
      <c r="E50" s="146">
        <f>+D50-C50</f>
        <v>-1172385</v>
      </c>
      <c r="F50" s="150">
        <f>IF(C50=0,0,E50/C50)</f>
        <v>-0.43939600640737825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266842</v>
      </c>
      <c r="D53" s="146">
        <v>289200</v>
      </c>
      <c r="E53" s="146">
        <f t="shared" ref="E53:E59" si="0">+D53-C53</f>
        <v>22358</v>
      </c>
      <c r="F53" s="150">
        <f t="shared" ref="F53:F59" si="1">IF(C53=0,0,E53/C53)</f>
        <v>8.378740977807092E-2</v>
      </c>
    </row>
    <row r="54" spans="1:7" ht="15" customHeight="1" x14ac:dyDescent="0.2">
      <c r="A54" s="141">
        <v>2</v>
      </c>
      <c r="B54" s="149" t="s">
        <v>193</v>
      </c>
      <c r="C54" s="146">
        <v>1246610</v>
      </c>
      <c r="D54" s="146">
        <v>846102</v>
      </c>
      <c r="E54" s="146">
        <f t="shared" si="0"/>
        <v>-400508</v>
      </c>
      <c r="F54" s="150">
        <f t="shared" si="1"/>
        <v>-0.32127770513632975</v>
      </c>
    </row>
    <row r="55" spans="1:7" ht="15" customHeight="1" x14ac:dyDescent="0.2">
      <c r="A55" s="141">
        <v>3</v>
      </c>
      <c r="B55" s="149" t="s">
        <v>194</v>
      </c>
      <c r="C55" s="146">
        <v>53722</v>
      </c>
      <c r="D55" s="146">
        <v>32377</v>
      </c>
      <c r="E55" s="146">
        <f t="shared" si="0"/>
        <v>-21345</v>
      </c>
      <c r="F55" s="150">
        <f t="shared" si="1"/>
        <v>-0.39732325676631547</v>
      </c>
    </row>
    <row r="56" spans="1:7" ht="15" customHeight="1" x14ac:dyDescent="0.2">
      <c r="A56" s="141">
        <v>4</v>
      </c>
      <c r="B56" s="149" t="s">
        <v>195</v>
      </c>
      <c r="C56" s="146">
        <v>2019081</v>
      </c>
      <c r="D56" s="146">
        <v>2152168</v>
      </c>
      <c r="E56" s="146">
        <f t="shared" si="0"/>
        <v>133087</v>
      </c>
      <c r="F56" s="150">
        <f t="shared" si="1"/>
        <v>6.5914641364066121E-2</v>
      </c>
    </row>
    <row r="57" spans="1:7" ht="15" customHeight="1" x14ac:dyDescent="0.2">
      <c r="A57" s="141">
        <v>5</v>
      </c>
      <c r="B57" s="149" t="s">
        <v>196</v>
      </c>
      <c r="C57" s="146">
        <v>297738</v>
      </c>
      <c r="D57" s="146">
        <v>399577</v>
      </c>
      <c r="E57" s="146">
        <f t="shared" si="0"/>
        <v>101839</v>
      </c>
      <c r="F57" s="150">
        <f t="shared" si="1"/>
        <v>0.34204233252053817</v>
      </c>
    </row>
    <row r="58" spans="1:7" ht="15" customHeight="1" x14ac:dyDescent="0.2">
      <c r="A58" s="141">
        <v>6</v>
      </c>
      <c r="B58" s="149" t="s">
        <v>197</v>
      </c>
      <c r="C58" s="146">
        <v>0</v>
      </c>
      <c r="D58" s="146">
        <v>0</v>
      </c>
      <c r="E58" s="146">
        <f t="shared" si="0"/>
        <v>0</v>
      </c>
      <c r="F58" s="150">
        <f t="shared" si="1"/>
        <v>0</v>
      </c>
    </row>
    <row r="59" spans="1:7" ht="15.75" customHeight="1" x14ac:dyDescent="0.25">
      <c r="A59" s="141"/>
      <c r="B59" s="151" t="s">
        <v>198</v>
      </c>
      <c r="C59" s="147">
        <f>SUM(C53:C58)</f>
        <v>3883993</v>
      </c>
      <c r="D59" s="147">
        <f>SUM(D53:D58)</f>
        <v>3719424</v>
      </c>
      <c r="E59" s="147">
        <f t="shared" si="0"/>
        <v>-164569</v>
      </c>
      <c r="F59" s="148">
        <f t="shared" si="1"/>
        <v>-4.2371085632749599E-2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267804</v>
      </c>
      <c r="D62" s="146">
        <v>246270</v>
      </c>
      <c r="E62" s="146">
        <f t="shared" ref="E62:E78" si="2">+D62-C62</f>
        <v>-21534</v>
      </c>
      <c r="F62" s="150">
        <f t="shared" ref="F62:F78" si="3">IF(C62=0,0,E62/C62)</f>
        <v>-8.0409553255365862E-2</v>
      </c>
    </row>
    <row r="63" spans="1:7" ht="15" customHeight="1" x14ac:dyDescent="0.2">
      <c r="A63" s="141">
        <v>2</v>
      </c>
      <c r="B63" s="149" t="s">
        <v>202</v>
      </c>
      <c r="C63" s="146">
        <v>215020</v>
      </c>
      <c r="D63" s="146">
        <v>138119</v>
      </c>
      <c r="E63" s="146">
        <f t="shared" si="2"/>
        <v>-76901</v>
      </c>
      <c r="F63" s="150">
        <f t="shared" si="3"/>
        <v>-0.35764580039066135</v>
      </c>
    </row>
    <row r="64" spans="1:7" ht="15" customHeight="1" x14ac:dyDescent="0.2">
      <c r="A64" s="141">
        <v>3</v>
      </c>
      <c r="B64" s="149" t="s">
        <v>203</v>
      </c>
      <c r="C64" s="146">
        <v>246955</v>
      </c>
      <c r="D64" s="146">
        <v>175035</v>
      </c>
      <c r="E64" s="146">
        <f t="shared" si="2"/>
        <v>-71920</v>
      </c>
      <c r="F64" s="150">
        <f t="shared" si="3"/>
        <v>-0.29122714664615013</v>
      </c>
    </row>
    <row r="65" spans="1:7" ht="15" customHeight="1" x14ac:dyDescent="0.2">
      <c r="A65" s="141">
        <v>4</v>
      </c>
      <c r="B65" s="149" t="s">
        <v>204</v>
      </c>
      <c r="C65" s="146">
        <v>300979</v>
      </c>
      <c r="D65" s="146">
        <v>355435</v>
      </c>
      <c r="E65" s="146">
        <f t="shared" si="2"/>
        <v>54456</v>
      </c>
      <c r="F65" s="150">
        <f t="shared" si="3"/>
        <v>0.18092956651460734</v>
      </c>
    </row>
    <row r="66" spans="1:7" ht="15" customHeight="1" x14ac:dyDescent="0.2">
      <c r="A66" s="141">
        <v>5</v>
      </c>
      <c r="B66" s="149" t="s">
        <v>205</v>
      </c>
      <c r="C66" s="146">
        <v>1081950</v>
      </c>
      <c r="D66" s="146">
        <v>1245773</v>
      </c>
      <c r="E66" s="146">
        <f t="shared" si="2"/>
        <v>163823</v>
      </c>
      <c r="F66" s="150">
        <f t="shared" si="3"/>
        <v>0.1514145755349138</v>
      </c>
    </row>
    <row r="67" spans="1:7" ht="15" customHeight="1" x14ac:dyDescent="0.2">
      <c r="A67" s="141">
        <v>6</v>
      </c>
      <c r="B67" s="149" t="s">
        <v>206</v>
      </c>
      <c r="C67" s="146">
        <v>271628</v>
      </c>
      <c r="D67" s="146">
        <v>275495</v>
      </c>
      <c r="E67" s="146">
        <f t="shared" si="2"/>
        <v>3867</v>
      </c>
      <c r="F67" s="150">
        <f t="shared" si="3"/>
        <v>1.4236382110828043E-2</v>
      </c>
    </row>
    <row r="68" spans="1:7" ht="15" customHeight="1" x14ac:dyDescent="0.2">
      <c r="A68" s="141">
        <v>7</v>
      </c>
      <c r="B68" s="149" t="s">
        <v>207</v>
      </c>
      <c r="C68" s="146">
        <v>1850446</v>
      </c>
      <c r="D68" s="146">
        <v>2855400</v>
      </c>
      <c r="E68" s="146">
        <f t="shared" si="2"/>
        <v>1004954</v>
      </c>
      <c r="F68" s="150">
        <f t="shared" si="3"/>
        <v>0.54308745026874605</v>
      </c>
    </row>
    <row r="69" spans="1:7" ht="15" customHeight="1" x14ac:dyDescent="0.2">
      <c r="A69" s="141">
        <v>8</v>
      </c>
      <c r="B69" s="149" t="s">
        <v>208</v>
      </c>
      <c r="C69" s="146">
        <v>341928</v>
      </c>
      <c r="D69" s="146">
        <v>351966</v>
      </c>
      <c r="E69" s="146">
        <f t="shared" si="2"/>
        <v>10038</v>
      </c>
      <c r="F69" s="150">
        <f t="shared" si="3"/>
        <v>2.9357057626166912E-2</v>
      </c>
    </row>
    <row r="70" spans="1:7" ht="15" customHeight="1" x14ac:dyDescent="0.2">
      <c r="A70" s="141">
        <v>9</v>
      </c>
      <c r="B70" s="149" t="s">
        <v>209</v>
      </c>
      <c r="C70" s="146">
        <v>158044</v>
      </c>
      <c r="D70" s="146">
        <v>217346</v>
      </c>
      <c r="E70" s="146">
        <f t="shared" si="2"/>
        <v>59302</v>
      </c>
      <c r="F70" s="150">
        <f t="shared" si="3"/>
        <v>0.37522462099162257</v>
      </c>
    </row>
    <row r="71" spans="1:7" ht="15" customHeight="1" x14ac:dyDescent="0.2">
      <c r="A71" s="141">
        <v>10</v>
      </c>
      <c r="B71" s="149" t="s">
        <v>210</v>
      </c>
      <c r="C71" s="146">
        <v>0</v>
      </c>
      <c r="D71" s="146">
        <v>0</v>
      </c>
      <c r="E71" s="146">
        <f t="shared" si="2"/>
        <v>0</v>
      </c>
      <c r="F71" s="150">
        <f t="shared" si="3"/>
        <v>0</v>
      </c>
    </row>
    <row r="72" spans="1:7" ht="15" customHeight="1" x14ac:dyDescent="0.2">
      <c r="A72" s="141">
        <v>11</v>
      </c>
      <c r="B72" s="149" t="s">
        <v>211</v>
      </c>
      <c r="C72" s="146">
        <v>9602</v>
      </c>
      <c r="D72" s="146">
        <v>78204</v>
      </c>
      <c r="E72" s="146">
        <f t="shared" si="2"/>
        <v>68602</v>
      </c>
      <c r="F72" s="150">
        <f t="shared" si="3"/>
        <v>7.144553218079567</v>
      </c>
    </row>
    <row r="73" spans="1:7" ht="15" customHeight="1" x14ac:dyDescent="0.2">
      <c r="A73" s="141">
        <v>12</v>
      </c>
      <c r="B73" s="149" t="s">
        <v>212</v>
      </c>
      <c r="C73" s="146">
        <v>1901236</v>
      </c>
      <c r="D73" s="146">
        <v>2072497</v>
      </c>
      <c r="E73" s="146">
        <f t="shared" si="2"/>
        <v>171261</v>
      </c>
      <c r="F73" s="150">
        <f t="shared" si="3"/>
        <v>9.0078769810796766E-2</v>
      </c>
    </row>
    <row r="74" spans="1:7" ht="15" customHeight="1" x14ac:dyDescent="0.2">
      <c r="A74" s="141">
        <v>13</v>
      </c>
      <c r="B74" s="149" t="s">
        <v>213</v>
      </c>
      <c r="C74" s="146">
        <v>351014</v>
      </c>
      <c r="D74" s="146">
        <v>423570</v>
      </c>
      <c r="E74" s="146">
        <f t="shared" si="2"/>
        <v>72556</v>
      </c>
      <c r="F74" s="150">
        <f t="shared" si="3"/>
        <v>0.20670400610801848</v>
      </c>
    </row>
    <row r="75" spans="1:7" ht="15" customHeight="1" x14ac:dyDescent="0.2">
      <c r="A75" s="141">
        <v>14</v>
      </c>
      <c r="B75" s="149" t="s">
        <v>214</v>
      </c>
      <c r="C75" s="146">
        <v>210812</v>
      </c>
      <c r="D75" s="146">
        <v>150781</v>
      </c>
      <c r="E75" s="146">
        <f t="shared" si="2"/>
        <v>-60031</v>
      </c>
      <c r="F75" s="150">
        <f t="shared" si="3"/>
        <v>-0.28476082955429483</v>
      </c>
    </row>
    <row r="76" spans="1:7" ht="15" customHeight="1" x14ac:dyDescent="0.2">
      <c r="A76" s="141">
        <v>15</v>
      </c>
      <c r="B76" s="149" t="s">
        <v>215</v>
      </c>
      <c r="C76" s="146">
        <v>527653</v>
      </c>
      <c r="D76" s="146">
        <v>348573</v>
      </c>
      <c r="E76" s="146">
        <f t="shared" si="2"/>
        <v>-179080</v>
      </c>
      <c r="F76" s="150">
        <f t="shared" si="3"/>
        <v>-0.33938971255730566</v>
      </c>
    </row>
    <row r="77" spans="1:7" ht="15" customHeight="1" x14ac:dyDescent="0.2">
      <c r="A77" s="141">
        <v>16</v>
      </c>
      <c r="B77" s="149" t="s">
        <v>216</v>
      </c>
      <c r="C77" s="146">
        <v>8717646</v>
      </c>
      <c r="D77" s="146">
        <v>8829185</v>
      </c>
      <c r="E77" s="146">
        <f t="shared" si="2"/>
        <v>111539</v>
      </c>
      <c r="F77" s="150">
        <f t="shared" si="3"/>
        <v>1.2794623686256588E-2</v>
      </c>
    </row>
    <row r="78" spans="1:7" ht="15.75" customHeight="1" x14ac:dyDescent="0.25">
      <c r="A78" s="141"/>
      <c r="B78" s="151" t="s">
        <v>217</v>
      </c>
      <c r="C78" s="147">
        <f>SUM(C62:C77)</f>
        <v>16452717</v>
      </c>
      <c r="D78" s="147">
        <f>SUM(D62:D77)</f>
        <v>17763649</v>
      </c>
      <c r="E78" s="147">
        <f t="shared" si="2"/>
        <v>1310932</v>
      </c>
      <c r="F78" s="148">
        <f t="shared" si="3"/>
        <v>7.9678754578954958E-2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0</v>
      </c>
      <c r="D81" s="146">
        <v>0</v>
      </c>
      <c r="E81" s="146">
        <f>+D81-C81</f>
        <v>0</v>
      </c>
      <c r="F81" s="150">
        <f>IF(C81=0,0,E81/C81)</f>
        <v>0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119759030</v>
      </c>
      <c r="D83" s="147">
        <f>+D81+D78+D59+D50+D47+D44+D41+D35+D30+D24+D18</f>
        <v>120493484</v>
      </c>
      <c r="E83" s="147">
        <f>+D83-C83</f>
        <v>734454</v>
      </c>
      <c r="F83" s="148">
        <f>IF(C83=0,0,E83/C83)</f>
        <v>6.1327651033913685E-3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3173042</v>
      </c>
      <c r="D91" s="146">
        <v>2863670</v>
      </c>
      <c r="E91" s="146">
        <f t="shared" ref="E91:E109" si="4">D91-C91</f>
        <v>-309372</v>
      </c>
      <c r="F91" s="150">
        <f t="shared" ref="F91:F109" si="5">IF(C91=0,0,E91/C91)</f>
        <v>-9.7500127637768427E-2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1074297</v>
      </c>
      <c r="D92" s="146">
        <v>1063226</v>
      </c>
      <c r="E92" s="146">
        <f t="shared" si="4"/>
        <v>-11071</v>
      </c>
      <c r="F92" s="150">
        <f t="shared" si="5"/>
        <v>-1.0305343866733315E-2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1683287</v>
      </c>
      <c r="D93" s="146">
        <v>1896065</v>
      </c>
      <c r="E93" s="146">
        <f t="shared" si="4"/>
        <v>212778</v>
      </c>
      <c r="F93" s="150">
        <f t="shared" si="5"/>
        <v>0.12640625157801375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887555</v>
      </c>
      <c r="D94" s="146">
        <v>954277</v>
      </c>
      <c r="E94" s="146">
        <f t="shared" si="4"/>
        <v>66722</v>
      </c>
      <c r="F94" s="150">
        <f t="shared" si="5"/>
        <v>7.5175059573772893E-2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1397646</v>
      </c>
      <c r="D95" s="146">
        <v>1489725</v>
      </c>
      <c r="E95" s="146">
        <f t="shared" si="4"/>
        <v>92079</v>
      </c>
      <c r="F95" s="150">
        <f t="shared" si="5"/>
        <v>6.5881489304158561E-2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310262</v>
      </c>
      <c r="D96" s="146">
        <v>292188</v>
      </c>
      <c r="E96" s="146">
        <f t="shared" si="4"/>
        <v>-18074</v>
      </c>
      <c r="F96" s="150">
        <f t="shared" si="5"/>
        <v>-5.8253991787585974E-2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1316631</v>
      </c>
      <c r="D97" s="146">
        <v>1259958</v>
      </c>
      <c r="E97" s="146">
        <f t="shared" si="4"/>
        <v>-56673</v>
      </c>
      <c r="F97" s="150">
        <f t="shared" si="5"/>
        <v>-4.304395081081943E-2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1076442</v>
      </c>
      <c r="D98" s="146">
        <v>991156</v>
      </c>
      <c r="E98" s="146">
        <f t="shared" si="4"/>
        <v>-85286</v>
      </c>
      <c r="F98" s="150">
        <f t="shared" si="5"/>
        <v>-7.9229535822645344E-2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318872</v>
      </c>
      <c r="D99" s="146">
        <v>326415</v>
      </c>
      <c r="E99" s="146">
        <f t="shared" si="4"/>
        <v>7543</v>
      </c>
      <c r="F99" s="150">
        <f t="shared" si="5"/>
        <v>2.3655259790762436E-2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3101327</v>
      </c>
      <c r="D100" s="146">
        <v>3314913</v>
      </c>
      <c r="E100" s="146">
        <f t="shared" si="4"/>
        <v>213586</v>
      </c>
      <c r="F100" s="150">
        <f t="shared" si="5"/>
        <v>6.88692292041439E-2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1942471</v>
      </c>
      <c r="D101" s="146">
        <v>1940480</v>
      </c>
      <c r="E101" s="146">
        <f t="shared" si="4"/>
        <v>-1991</v>
      </c>
      <c r="F101" s="150">
        <f t="shared" si="5"/>
        <v>-1.0249831271612292E-3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478940</v>
      </c>
      <c r="D102" s="146">
        <v>451190</v>
      </c>
      <c r="E102" s="146">
        <f t="shared" si="4"/>
        <v>-27750</v>
      </c>
      <c r="F102" s="150">
        <f t="shared" si="5"/>
        <v>-5.7940451831127074E-2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5111230</v>
      </c>
      <c r="D103" s="146">
        <v>5385392</v>
      </c>
      <c r="E103" s="146">
        <f t="shared" si="4"/>
        <v>274162</v>
      </c>
      <c r="F103" s="150">
        <f t="shared" si="5"/>
        <v>5.3639143611224696E-2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313584</v>
      </c>
      <c r="D104" s="146">
        <v>424019</v>
      </c>
      <c r="E104" s="146">
        <f t="shared" si="4"/>
        <v>110435</v>
      </c>
      <c r="F104" s="150">
        <f t="shared" si="5"/>
        <v>0.35217039134649725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323475</v>
      </c>
      <c r="D105" s="146">
        <v>277682</v>
      </c>
      <c r="E105" s="146">
        <f t="shared" si="4"/>
        <v>-45793</v>
      </c>
      <c r="F105" s="150">
        <f t="shared" si="5"/>
        <v>-0.14156580879511554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443503</v>
      </c>
      <c r="D106" s="146">
        <v>509355</v>
      </c>
      <c r="E106" s="146">
        <f t="shared" si="4"/>
        <v>65852</v>
      </c>
      <c r="F106" s="150">
        <f t="shared" si="5"/>
        <v>0.14848152098181974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4185852</v>
      </c>
      <c r="D107" s="146">
        <v>4465460</v>
      </c>
      <c r="E107" s="146">
        <f t="shared" si="4"/>
        <v>279608</v>
      </c>
      <c r="F107" s="150">
        <f t="shared" si="5"/>
        <v>6.6798348341030697E-2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27157629</v>
      </c>
      <c r="D108" s="146">
        <v>29221412</v>
      </c>
      <c r="E108" s="146">
        <f t="shared" si="4"/>
        <v>2063783</v>
      </c>
      <c r="F108" s="150">
        <f t="shared" si="5"/>
        <v>7.5992753270176863E-2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54296045</v>
      </c>
      <c r="D109" s="147">
        <f>SUM(D91:D108)</f>
        <v>57126583</v>
      </c>
      <c r="E109" s="147">
        <f t="shared" si="4"/>
        <v>2830538</v>
      </c>
      <c r="F109" s="148">
        <f t="shared" si="5"/>
        <v>5.2131568698972459E-2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537944</v>
      </c>
      <c r="D112" s="146">
        <v>573565</v>
      </c>
      <c r="E112" s="146">
        <f t="shared" ref="E112:E118" si="6">D112-C112</f>
        <v>35621</v>
      </c>
      <c r="F112" s="150">
        <f t="shared" ref="F112:F118" si="7">IF(C112=0,0,E112/C112)</f>
        <v>6.6216929643234237E-2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2405807</v>
      </c>
      <c r="D113" s="146">
        <v>2658435</v>
      </c>
      <c r="E113" s="146">
        <f t="shared" si="6"/>
        <v>252628</v>
      </c>
      <c r="F113" s="150">
        <f t="shared" si="7"/>
        <v>0.10500759204707609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729346</v>
      </c>
      <c r="D114" s="146">
        <v>697489</v>
      </c>
      <c r="E114" s="146">
        <f t="shared" si="6"/>
        <v>-31857</v>
      </c>
      <c r="F114" s="150">
        <f t="shared" si="7"/>
        <v>-4.3678857496990457E-2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1545598</v>
      </c>
      <c r="D115" s="146">
        <v>1719234</v>
      </c>
      <c r="E115" s="146">
        <f t="shared" si="6"/>
        <v>173636</v>
      </c>
      <c r="F115" s="150">
        <f t="shared" si="7"/>
        <v>0.11234227787561837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0</v>
      </c>
      <c r="D116" s="146">
        <v>0</v>
      </c>
      <c r="E116" s="146">
        <f t="shared" si="6"/>
        <v>0</v>
      </c>
      <c r="F116" s="150">
        <f t="shared" si="7"/>
        <v>0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1712498</v>
      </c>
      <c r="D117" s="146">
        <v>1729632</v>
      </c>
      <c r="E117" s="146">
        <f t="shared" si="6"/>
        <v>17134</v>
      </c>
      <c r="F117" s="150">
        <f t="shared" si="7"/>
        <v>1.0005267159436098E-2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6931193</v>
      </c>
      <c r="D118" s="147">
        <f>SUM(D112:D117)</f>
        <v>7378355</v>
      </c>
      <c r="E118" s="147">
        <f t="shared" si="6"/>
        <v>447162</v>
      </c>
      <c r="F118" s="148">
        <f t="shared" si="7"/>
        <v>6.451443496090789E-2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8083973</v>
      </c>
      <c r="D121" s="146">
        <v>9474176</v>
      </c>
      <c r="E121" s="146">
        <f t="shared" ref="E121:E155" si="8">D121-C121</f>
        <v>1390203</v>
      </c>
      <c r="F121" s="150">
        <f t="shared" ref="F121:F155" si="9">IF(C121=0,0,E121/C121)</f>
        <v>0.17197026758995856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498338</v>
      </c>
      <c r="D122" s="146">
        <v>542218</v>
      </c>
      <c r="E122" s="146">
        <f t="shared" si="8"/>
        <v>43880</v>
      </c>
      <c r="F122" s="150">
        <f t="shared" si="9"/>
        <v>8.8052687132026852E-2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324337</v>
      </c>
      <c r="D123" s="146">
        <v>401402</v>
      </c>
      <c r="E123" s="146">
        <f t="shared" si="8"/>
        <v>77065</v>
      </c>
      <c r="F123" s="150">
        <f t="shared" si="9"/>
        <v>0.23760779682860728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73399</v>
      </c>
      <c r="D124" s="146">
        <v>79776</v>
      </c>
      <c r="E124" s="146">
        <f t="shared" si="8"/>
        <v>6377</v>
      </c>
      <c r="F124" s="150">
        <f t="shared" si="9"/>
        <v>8.6881292660662954E-2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2712215</v>
      </c>
      <c r="D125" s="146">
        <v>2949630</v>
      </c>
      <c r="E125" s="146">
        <f t="shared" si="8"/>
        <v>237415</v>
      </c>
      <c r="F125" s="150">
        <f t="shared" si="9"/>
        <v>8.7535464555722906E-2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530216</v>
      </c>
      <c r="D126" s="146">
        <v>641347</v>
      </c>
      <c r="E126" s="146">
        <f t="shared" si="8"/>
        <v>111131</v>
      </c>
      <c r="F126" s="150">
        <f t="shared" si="9"/>
        <v>0.20959571193626747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973699</v>
      </c>
      <c r="D127" s="146">
        <v>1319108</v>
      </c>
      <c r="E127" s="146">
        <f t="shared" si="8"/>
        <v>345409</v>
      </c>
      <c r="F127" s="150">
        <f t="shared" si="9"/>
        <v>0.35473899018074373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439268</v>
      </c>
      <c r="D128" s="146">
        <v>414057</v>
      </c>
      <c r="E128" s="146">
        <f t="shared" si="8"/>
        <v>-25211</v>
      </c>
      <c r="F128" s="150">
        <f t="shared" si="9"/>
        <v>-5.7393208701749271E-2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861635</v>
      </c>
      <c r="D129" s="146">
        <v>1068326</v>
      </c>
      <c r="E129" s="146">
        <f t="shared" si="8"/>
        <v>206691</v>
      </c>
      <c r="F129" s="150">
        <f t="shared" si="9"/>
        <v>0.23988231675825611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7639513</v>
      </c>
      <c r="D130" s="146">
        <v>7808933</v>
      </c>
      <c r="E130" s="146">
        <f t="shared" si="8"/>
        <v>169420</v>
      </c>
      <c r="F130" s="150">
        <f t="shared" si="9"/>
        <v>2.2176806296422297E-2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768997</v>
      </c>
      <c r="D132" s="146">
        <v>744719</v>
      </c>
      <c r="E132" s="146">
        <f t="shared" si="8"/>
        <v>-24278</v>
      </c>
      <c r="F132" s="150">
        <f t="shared" si="9"/>
        <v>-3.157099442520582E-2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0</v>
      </c>
      <c r="D133" s="146">
        <v>0</v>
      </c>
      <c r="E133" s="146">
        <f t="shared" si="8"/>
        <v>0</v>
      </c>
      <c r="F133" s="150">
        <f t="shared" si="9"/>
        <v>0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58301</v>
      </c>
      <c r="D134" s="146">
        <v>65979</v>
      </c>
      <c r="E134" s="146">
        <f t="shared" si="8"/>
        <v>7678</v>
      </c>
      <c r="F134" s="150">
        <f t="shared" si="9"/>
        <v>0.1316958542735116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1056709</v>
      </c>
      <c r="D135" s="146">
        <v>1030671</v>
      </c>
      <c r="E135" s="146">
        <f t="shared" si="8"/>
        <v>-26038</v>
      </c>
      <c r="F135" s="150">
        <f t="shared" si="9"/>
        <v>-2.4640653197805638E-2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93007</v>
      </c>
      <c r="D136" s="146">
        <v>62672</v>
      </c>
      <c r="E136" s="146">
        <f t="shared" si="8"/>
        <v>-30335</v>
      </c>
      <c r="F136" s="150">
        <f t="shared" si="9"/>
        <v>-0.32615824615351535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926125</v>
      </c>
      <c r="D138" s="146">
        <v>907921</v>
      </c>
      <c r="E138" s="146">
        <f t="shared" si="8"/>
        <v>-18204</v>
      </c>
      <c r="F138" s="150">
        <f t="shared" si="9"/>
        <v>-1.9656093939802943E-2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146621</v>
      </c>
      <c r="D139" s="146">
        <v>170884</v>
      </c>
      <c r="E139" s="146">
        <f t="shared" si="8"/>
        <v>24263</v>
      </c>
      <c r="F139" s="150">
        <f t="shared" si="9"/>
        <v>0.16548107024232545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89350</v>
      </c>
      <c r="D140" s="146">
        <v>90847</v>
      </c>
      <c r="E140" s="146">
        <f t="shared" si="8"/>
        <v>1497</v>
      </c>
      <c r="F140" s="150">
        <f t="shared" si="9"/>
        <v>1.6754336877448237E-2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1594880</v>
      </c>
      <c r="D142" s="146">
        <v>1663163</v>
      </c>
      <c r="E142" s="146">
        <f t="shared" si="8"/>
        <v>68283</v>
      </c>
      <c r="F142" s="150">
        <f t="shared" si="9"/>
        <v>4.2813879414125199E-2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0</v>
      </c>
      <c r="D143" s="146">
        <v>0</v>
      </c>
      <c r="E143" s="146">
        <f t="shared" si="8"/>
        <v>0</v>
      </c>
      <c r="F143" s="150">
        <f t="shared" si="9"/>
        <v>0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6025241</v>
      </c>
      <c r="D144" s="146">
        <v>5959449</v>
      </c>
      <c r="E144" s="146">
        <f t="shared" si="8"/>
        <v>-65792</v>
      </c>
      <c r="F144" s="150">
        <f t="shared" si="9"/>
        <v>-1.0919397249006306E-2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1065344</v>
      </c>
      <c r="D145" s="146">
        <v>1091471</v>
      </c>
      <c r="E145" s="146">
        <f t="shared" si="8"/>
        <v>26127</v>
      </c>
      <c r="F145" s="150">
        <f t="shared" si="9"/>
        <v>2.452447284632945E-2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315548</v>
      </c>
      <c r="D146" s="146">
        <v>367188</v>
      </c>
      <c r="E146" s="146">
        <f t="shared" si="8"/>
        <v>51640</v>
      </c>
      <c r="F146" s="150">
        <f t="shared" si="9"/>
        <v>0.16365180574746155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1161417</v>
      </c>
      <c r="D148" s="146">
        <v>1157356</v>
      </c>
      <c r="E148" s="146">
        <f t="shared" si="8"/>
        <v>-4061</v>
      </c>
      <c r="F148" s="150">
        <f t="shared" si="9"/>
        <v>-3.496590802442189E-3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437686</v>
      </c>
      <c r="D149" s="146">
        <v>444967</v>
      </c>
      <c r="E149" s="146">
        <f t="shared" si="8"/>
        <v>7281</v>
      </c>
      <c r="F149" s="150">
        <f t="shared" si="9"/>
        <v>1.6635213372143499E-2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0</v>
      </c>
      <c r="D151" s="146">
        <v>0</v>
      </c>
      <c r="E151" s="146">
        <f t="shared" si="8"/>
        <v>0</v>
      </c>
      <c r="F151" s="150">
        <f t="shared" si="9"/>
        <v>0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1062638</v>
      </c>
      <c r="D152" s="146">
        <v>1007087</v>
      </c>
      <c r="E152" s="146">
        <f t="shared" si="8"/>
        <v>-55551</v>
      </c>
      <c r="F152" s="150">
        <f t="shared" si="9"/>
        <v>-5.2276504322262142E-2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1294412</v>
      </c>
      <c r="D154" s="146">
        <v>1240546</v>
      </c>
      <c r="E154" s="146">
        <f t="shared" si="8"/>
        <v>-53866</v>
      </c>
      <c r="F154" s="150">
        <f t="shared" si="9"/>
        <v>-4.1614261919697901E-2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38232869</v>
      </c>
      <c r="D155" s="147">
        <f>SUM(D121:D154)</f>
        <v>40703893</v>
      </c>
      <c r="E155" s="147">
        <f t="shared" si="8"/>
        <v>2471024</v>
      </c>
      <c r="F155" s="148">
        <f t="shared" si="9"/>
        <v>6.4630880826652068E-2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7435309</v>
      </c>
      <c r="D158" s="146">
        <v>7436654</v>
      </c>
      <c r="E158" s="146">
        <f t="shared" ref="E158:E171" si="10">D158-C158</f>
        <v>1345</v>
      </c>
      <c r="F158" s="150">
        <f t="shared" ref="F158:F171" si="11">IF(C158=0,0,E158/C158)</f>
        <v>1.8089362526829754E-4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2459599</v>
      </c>
      <c r="D159" s="146">
        <v>2408948</v>
      </c>
      <c r="E159" s="146">
        <f t="shared" si="10"/>
        <v>-50651</v>
      </c>
      <c r="F159" s="150">
        <f t="shared" si="11"/>
        <v>-2.0593194256462131E-2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1010289</v>
      </c>
      <c r="D161" s="146">
        <v>1096309</v>
      </c>
      <c r="E161" s="146">
        <f t="shared" si="10"/>
        <v>86020</v>
      </c>
      <c r="F161" s="150">
        <f t="shared" si="11"/>
        <v>8.5143953858747345E-2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1722257</v>
      </c>
      <c r="D163" s="146">
        <v>1704548</v>
      </c>
      <c r="E163" s="146">
        <f t="shared" si="10"/>
        <v>-17709</v>
      </c>
      <c r="F163" s="150">
        <f t="shared" si="11"/>
        <v>-1.0282437522390676E-2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119437</v>
      </c>
      <c r="D164" s="146">
        <v>117556</v>
      </c>
      <c r="E164" s="146">
        <f t="shared" si="10"/>
        <v>-1881</v>
      </c>
      <c r="F164" s="150">
        <f t="shared" si="11"/>
        <v>-1.5748888535378484E-2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576246</v>
      </c>
      <c r="D167" s="146">
        <v>588404</v>
      </c>
      <c r="E167" s="146">
        <f t="shared" si="10"/>
        <v>12158</v>
      </c>
      <c r="F167" s="150">
        <f t="shared" si="11"/>
        <v>2.1098628016506839E-2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278308</v>
      </c>
      <c r="D169" s="146">
        <v>263612</v>
      </c>
      <c r="E169" s="146">
        <f t="shared" si="10"/>
        <v>-14696</v>
      </c>
      <c r="F169" s="150">
        <f t="shared" si="11"/>
        <v>-5.2804806185952256E-2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391588</v>
      </c>
      <c r="D170" s="146">
        <v>422325</v>
      </c>
      <c r="E170" s="146">
        <f t="shared" si="10"/>
        <v>30737</v>
      </c>
      <c r="F170" s="150">
        <f t="shared" si="11"/>
        <v>7.849321225369521E-2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13993033</v>
      </c>
      <c r="D171" s="147">
        <f>SUM(D158:D170)</f>
        <v>14038356</v>
      </c>
      <c r="E171" s="147">
        <f t="shared" si="10"/>
        <v>45323</v>
      </c>
      <c r="F171" s="148">
        <f t="shared" si="11"/>
        <v>3.2389689926408376E-3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6305890</v>
      </c>
      <c r="D174" s="146">
        <v>1246297</v>
      </c>
      <c r="E174" s="146">
        <f>D174-C174</f>
        <v>-5059593</v>
      </c>
      <c r="F174" s="150">
        <f>IF(C174=0,0,E174/C174)</f>
        <v>-0.80235985721285974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119759030</v>
      </c>
      <c r="D176" s="147">
        <f>+D174+D171+D155+D118+D109</f>
        <v>120493484</v>
      </c>
      <c r="E176" s="147">
        <f>D176-C176</f>
        <v>734454</v>
      </c>
      <c r="F176" s="148">
        <f>IF(C176=0,0,E176/C176)</f>
        <v>6.1327651033913685E-3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r:id="rId1"/>
  <headerFooter>
    <oddHeader>&amp;LOFFICE OF HEALTH CARE ACCESS&amp;CTWELVE MONTHS ACTUAL FILING&amp;RGRIFFIN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>
      <selection activeCell="H27" sqref="H27"/>
    </sheetView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115006758</v>
      </c>
      <c r="D11" s="164">
        <v>119312297</v>
      </c>
      <c r="E11" s="51">
        <v>118086481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3093792</v>
      </c>
      <c r="D12" s="49">
        <v>3255934</v>
      </c>
      <c r="E12" s="49">
        <v>3781488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118100550</v>
      </c>
      <c r="D13" s="51">
        <f>+D11+D12</f>
        <v>122568231</v>
      </c>
      <c r="E13" s="51">
        <f>+E11+E12</f>
        <v>121867969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116164408</v>
      </c>
      <c r="D14" s="49">
        <v>119759030</v>
      </c>
      <c r="E14" s="49">
        <v>120493484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1936142</v>
      </c>
      <c r="D15" s="51">
        <f>+D13-D14</f>
        <v>2809201</v>
      </c>
      <c r="E15" s="51">
        <f>+E13-E14</f>
        <v>1374485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-3725404</v>
      </c>
      <c r="D16" s="49">
        <v>-1578517</v>
      </c>
      <c r="E16" s="49">
        <v>-2319609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-1789262</v>
      </c>
      <c r="D17" s="51">
        <f>D15+D16</f>
        <v>1230684</v>
      </c>
      <c r="E17" s="51">
        <f>E15+E16</f>
        <v>-945124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1.6927995877705809E-2</v>
      </c>
      <c r="D20" s="169">
        <f>IF(+D27=0,0,+D24/+D27)</f>
        <v>2.3218510955402373E-2</v>
      </c>
      <c r="E20" s="169">
        <f>IF(+E27=0,0,+E24/+E27)</f>
        <v>1.1497313723082441E-2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-3.2571796673378672E-2</v>
      </c>
      <c r="D21" s="169">
        <f>IF(D27=0,0,+D26/D27)</f>
        <v>-1.304670411899643E-2</v>
      </c>
      <c r="E21" s="169">
        <f>IF(E27=0,0,+E26/E27)</f>
        <v>-1.9403101807502838E-2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-1.5643800795672864E-2</v>
      </c>
      <c r="D22" s="169">
        <f>IF(D27=0,0,+D28/D27)</f>
        <v>1.0171806836405945E-2</v>
      </c>
      <c r="E22" s="169">
        <f>IF(E27=0,0,+E28/E27)</f>
        <v>-7.9057880844203964E-3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1936142</v>
      </c>
      <c r="D24" s="51">
        <f>+D15</f>
        <v>2809201</v>
      </c>
      <c r="E24" s="51">
        <f>+E15</f>
        <v>1374485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118100550</v>
      </c>
      <c r="D25" s="51">
        <f>+D13</f>
        <v>122568231</v>
      </c>
      <c r="E25" s="51">
        <f>+E13</f>
        <v>121867969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-3725404</v>
      </c>
      <c r="D26" s="51">
        <f>+D16</f>
        <v>-1578517</v>
      </c>
      <c r="E26" s="51">
        <f>+E16</f>
        <v>-2319609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114375146</v>
      </c>
      <c r="D27" s="51">
        <f>+D25+D26</f>
        <v>120989714</v>
      </c>
      <c r="E27" s="51">
        <f>+E25+E26</f>
        <v>119548360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-1789262</v>
      </c>
      <c r="D28" s="51">
        <f>+D17</f>
        <v>1230684</v>
      </c>
      <c r="E28" s="51">
        <f>+E17</f>
        <v>-945124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6729685</v>
      </c>
      <c r="D31" s="51">
        <v>-16756232</v>
      </c>
      <c r="E31" s="51">
        <v>-24966200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14157874</v>
      </c>
      <c r="D32" s="51">
        <v>-8817030</v>
      </c>
      <c r="E32" s="51">
        <v>-17147261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-6068468</v>
      </c>
      <c r="D33" s="51">
        <f>+D32-C32</f>
        <v>-22974904</v>
      </c>
      <c r="E33" s="51">
        <f>+E32-D32</f>
        <v>-8330231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0.69989999999999997</v>
      </c>
      <c r="D34" s="171">
        <f>IF(C32=0,0,+D33/C32)</f>
        <v>-1.6227651128976004</v>
      </c>
      <c r="E34" s="171">
        <f>IF(D32=0,0,+E33/D32)</f>
        <v>0.9447887780806008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0.35547188356534315</v>
      </c>
      <c r="D38" s="172">
        <f>IF((D40+D41)=0,0,+D39/(D40+D41))</f>
        <v>0.33571444525923072</v>
      </c>
      <c r="E38" s="172">
        <f>IF((E40+E41)=0,0,+E39/(E40+E41))</f>
        <v>0.31294921500547501</v>
      </c>
      <c r="F38" s="5"/>
    </row>
    <row r="39" spans="1:6" ht="24" customHeight="1" x14ac:dyDescent="0.2">
      <c r="A39" s="21">
        <v>2</v>
      </c>
      <c r="B39" s="48" t="s">
        <v>324</v>
      </c>
      <c r="C39" s="51">
        <v>116164408</v>
      </c>
      <c r="D39" s="51">
        <v>119759030</v>
      </c>
      <c r="E39" s="23">
        <v>120493484</v>
      </c>
      <c r="F39" s="5"/>
    </row>
    <row r="40" spans="1:6" ht="24" customHeight="1" x14ac:dyDescent="0.2">
      <c r="A40" s="21">
        <v>3</v>
      </c>
      <c r="B40" s="48" t="s">
        <v>325</v>
      </c>
      <c r="C40" s="51">
        <v>323695508</v>
      </c>
      <c r="D40" s="51">
        <v>353472922</v>
      </c>
      <c r="E40" s="23">
        <v>381244191</v>
      </c>
      <c r="F40" s="5"/>
    </row>
    <row r="41" spans="1:6" ht="24" customHeight="1" x14ac:dyDescent="0.2">
      <c r="A41" s="21">
        <v>4</v>
      </c>
      <c r="B41" s="48" t="s">
        <v>326</v>
      </c>
      <c r="C41" s="51">
        <v>3093792</v>
      </c>
      <c r="D41" s="51">
        <v>3255934</v>
      </c>
      <c r="E41" s="23">
        <v>3781488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0.99466017627551628</v>
      </c>
      <c r="D43" s="173">
        <f>IF(D38=0,0,IF((D46-D47)=0,0,((+D44-D45)/(D46-D47)/D38)))</f>
        <v>1.063568267368725</v>
      </c>
      <c r="E43" s="173">
        <f>IF(E38=0,0,IF((E46-E47)=0,0,((+E44-E45)/(E46-E47)/E38)))</f>
        <v>1.1850918457641275</v>
      </c>
      <c r="F43" s="5"/>
    </row>
    <row r="44" spans="1:6" ht="24" customHeight="1" x14ac:dyDescent="0.2">
      <c r="A44" s="21">
        <v>6</v>
      </c>
      <c r="B44" s="48" t="s">
        <v>328</v>
      </c>
      <c r="C44" s="51">
        <v>47873103</v>
      </c>
      <c r="D44" s="51">
        <v>51707533</v>
      </c>
      <c r="E44" s="23">
        <v>55363288</v>
      </c>
      <c r="F44" s="5"/>
    </row>
    <row r="45" spans="1:6" ht="24" customHeight="1" x14ac:dyDescent="0.2">
      <c r="A45" s="21">
        <v>7</v>
      </c>
      <c r="B45" s="48" t="s">
        <v>329</v>
      </c>
      <c r="C45" s="51">
        <v>2728892</v>
      </c>
      <c r="D45" s="51">
        <v>2746197</v>
      </c>
      <c r="E45" s="23">
        <v>539191</v>
      </c>
      <c r="F45" s="5"/>
    </row>
    <row r="46" spans="1:6" ht="24" customHeight="1" x14ac:dyDescent="0.2">
      <c r="A46" s="21">
        <v>8</v>
      </c>
      <c r="B46" s="48" t="s">
        <v>330</v>
      </c>
      <c r="C46" s="51">
        <v>136698457</v>
      </c>
      <c r="D46" s="51">
        <v>147647838</v>
      </c>
      <c r="E46" s="23">
        <v>157567140</v>
      </c>
      <c r="F46" s="5"/>
    </row>
    <row r="47" spans="1:6" ht="24" customHeight="1" x14ac:dyDescent="0.2">
      <c r="A47" s="21">
        <v>9</v>
      </c>
      <c r="B47" s="48" t="s">
        <v>331</v>
      </c>
      <c r="C47" s="51">
        <v>9018690</v>
      </c>
      <c r="D47" s="51">
        <v>10522453</v>
      </c>
      <c r="E47" s="174">
        <v>9742915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0.93689901957527832</v>
      </c>
      <c r="D49" s="175">
        <f>IF(D38=0,0,IF(D51=0,0,(D50/D51)/D38))</f>
        <v>0.93746653348024989</v>
      </c>
      <c r="E49" s="175">
        <f>IF(E38=0,0,IF(E51=0,0,(E50/E51)/E38))</f>
        <v>0.92093718933439317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50637929</v>
      </c>
      <c r="D50" s="176">
        <v>51443487</v>
      </c>
      <c r="E50" s="176">
        <v>50678054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152047014</v>
      </c>
      <c r="D51" s="176">
        <v>163457404</v>
      </c>
      <c r="E51" s="176">
        <v>175839343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0.78827051110851021</v>
      </c>
      <c r="D53" s="175">
        <f>IF(D38=0,0,IF(D55=0,0,(D54/D55)/D38))</f>
        <v>0.81117772824349321</v>
      </c>
      <c r="E53" s="175">
        <f>IF(E38=0,0,IF(E55=0,0,(E54/E55)/E38))</f>
        <v>0.85092235831964069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7195572</v>
      </c>
      <c r="D54" s="176">
        <v>8637405</v>
      </c>
      <c r="E54" s="176">
        <v>11304888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25679395</v>
      </c>
      <c r="D55" s="176">
        <v>31717375</v>
      </c>
      <c r="E55" s="176">
        <v>42452421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3467095.0163545744</v>
      </c>
      <c r="D57" s="53">
        <f>+D60*D38</f>
        <v>4048218.345304003</v>
      </c>
      <c r="E57" s="53">
        <f>+E60*E38</f>
        <v>3193586.0269831615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1748198</v>
      </c>
      <c r="D58" s="51">
        <v>5752621</v>
      </c>
      <c r="E58" s="52">
        <v>8958645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8005302</v>
      </c>
      <c r="D59" s="51">
        <v>6305896</v>
      </c>
      <c r="E59" s="52">
        <v>1246161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9753500</v>
      </c>
      <c r="D60" s="51">
        <v>12058517</v>
      </c>
      <c r="E60" s="52">
        <v>10204806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2.9846448460827815E-2</v>
      </c>
      <c r="D62" s="178">
        <f>IF(D63=0,0,+D57/D63)</f>
        <v>3.3803032183076322E-2</v>
      </c>
      <c r="E62" s="178">
        <f>IF(E63=0,0,+E57/E63)</f>
        <v>2.6504221813215739E-2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116164408</v>
      </c>
      <c r="D63" s="176">
        <v>119759030</v>
      </c>
      <c r="E63" s="176">
        <v>120493484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1.1306746486397106</v>
      </c>
      <c r="D67" s="179">
        <f>IF(D69=0,0,D68/D69)</f>
        <v>1.0549190278554761</v>
      </c>
      <c r="E67" s="179">
        <f>IF(E69=0,0,E68/E69)</f>
        <v>1.0304405244908403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32678147</v>
      </c>
      <c r="D68" s="180">
        <v>33490219</v>
      </c>
      <c r="E68" s="180">
        <v>33161943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28901459</v>
      </c>
      <c r="D69" s="180">
        <v>31746720</v>
      </c>
      <c r="E69" s="180">
        <v>32182297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47.392574732388034</v>
      </c>
      <c r="D71" s="181">
        <f>IF((D77/365)=0,0,+D74/(D77/365))</f>
        <v>40.006948558974926</v>
      </c>
      <c r="E71" s="181">
        <f>IF((E77/365)=0,0,+E74/(E77/365))</f>
        <v>43.366766569389782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3814847</v>
      </c>
      <c r="D72" s="182">
        <v>3879223</v>
      </c>
      <c r="E72" s="182">
        <v>3905172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10721108</v>
      </c>
      <c r="D73" s="184">
        <v>8704501</v>
      </c>
      <c r="E73" s="184">
        <v>9660079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14535955</v>
      </c>
      <c r="D74" s="180">
        <f>+D72+D73</f>
        <v>12583724</v>
      </c>
      <c r="E74" s="180">
        <f>+E72+E73</f>
        <v>13565251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116164408</v>
      </c>
      <c r="D75" s="180">
        <f>+D14</f>
        <v>119759030</v>
      </c>
      <c r="E75" s="180">
        <f>+E14</f>
        <v>120493484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4213884</v>
      </c>
      <c r="D76" s="180">
        <v>4952492</v>
      </c>
      <c r="E76" s="180">
        <v>6320420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111950524</v>
      </c>
      <c r="D77" s="180">
        <f>+D75-D76</f>
        <v>114806538</v>
      </c>
      <c r="E77" s="180">
        <f>+E75-E76</f>
        <v>114173064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46.386095328415401</v>
      </c>
      <c r="D79" s="179">
        <f>IF((D84/365)=0,0,+D83/(D84/365))</f>
        <v>52.611211692622092</v>
      </c>
      <c r="E79" s="179">
        <f>IF((E84/365)=0,0,+E83/(E84/365))</f>
        <v>47.051540260565474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14177591</v>
      </c>
      <c r="D80" s="189">
        <v>17001631</v>
      </c>
      <c r="E80" s="189">
        <v>15222331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438065</v>
      </c>
      <c r="D81" s="190">
        <v>196080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0</v>
      </c>
      <c r="D82" s="190">
        <v>0</v>
      </c>
      <c r="E82" s="190">
        <v>0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14615656</v>
      </c>
      <c r="D83" s="191">
        <f>+D80+D81-D82</f>
        <v>17197711</v>
      </c>
      <c r="E83" s="191">
        <f>+E80+E81-E82</f>
        <v>15222331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115006758</v>
      </c>
      <c r="D84" s="191">
        <f>+D11</f>
        <v>119312297</v>
      </c>
      <c r="E84" s="191">
        <f>+E11</f>
        <v>118086481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94.229416335737753</v>
      </c>
      <c r="D86" s="179">
        <f>IF((D90/365)=0,0,+D87/(D90/365))</f>
        <v>100.9311229296018</v>
      </c>
      <c r="E86" s="179">
        <f>IF((E90/365)=0,0,+E87/(E90/365))</f>
        <v>102.88362240151494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28901459</v>
      </c>
      <c r="D87" s="51">
        <f>+D69</f>
        <v>31746720</v>
      </c>
      <c r="E87" s="51">
        <f>+E69</f>
        <v>32182297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116164408</v>
      </c>
      <c r="D88" s="51">
        <f t="shared" si="0"/>
        <v>119759030</v>
      </c>
      <c r="E88" s="51">
        <f t="shared" si="0"/>
        <v>120493484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4213884</v>
      </c>
      <c r="D89" s="52">
        <f t="shared" si="0"/>
        <v>4952492</v>
      </c>
      <c r="E89" s="52">
        <f t="shared" si="0"/>
        <v>6320420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111950524</v>
      </c>
      <c r="D90" s="51">
        <f>+D88-D89</f>
        <v>114806538</v>
      </c>
      <c r="E90" s="51">
        <f>+E88-E89</f>
        <v>114173064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12.281976601073522</v>
      </c>
      <c r="D94" s="192">
        <f>IF(D96=0,0,(D95/D96)*100)</f>
        <v>-7.1978699471535119</v>
      </c>
      <c r="E94" s="192">
        <f>IF(E96=0,0,(E95/E96)*100)</f>
        <v>-14.052697855646839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14157874</v>
      </c>
      <c r="D95" s="51">
        <f>+D32</f>
        <v>-8817030</v>
      </c>
      <c r="E95" s="51">
        <f>+E32</f>
        <v>-17147261</v>
      </c>
      <c r="F95" s="28"/>
    </row>
    <row r="96" spans="1:6" ht="24" customHeight="1" x14ac:dyDescent="0.25">
      <c r="A96" s="21">
        <v>3</v>
      </c>
      <c r="B96" s="48" t="s">
        <v>43</v>
      </c>
      <c r="C96" s="51">
        <v>115273579</v>
      </c>
      <c r="D96" s="51">
        <v>122494989</v>
      </c>
      <c r="E96" s="51">
        <v>122021132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2.9365980831210803</v>
      </c>
      <c r="D98" s="192">
        <f>IF(D104=0,0,(D101/D104)*100)</f>
        <v>7.4882899945293318</v>
      </c>
      <c r="E98" s="192">
        <f>IF(E104=0,0,(E101/E104)*100)</f>
        <v>6.5665470187557498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-1789262</v>
      </c>
      <c r="D99" s="51">
        <f>+D28</f>
        <v>1230684</v>
      </c>
      <c r="E99" s="51">
        <f>+E28</f>
        <v>-945124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4213884</v>
      </c>
      <c r="D100" s="52">
        <f>+D76</f>
        <v>4952492</v>
      </c>
      <c r="E100" s="52">
        <f>+E76</f>
        <v>6320420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2424622</v>
      </c>
      <c r="D101" s="51">
        <f>+D99+D100</f>
        <v>6183176</v>
      </c>
      <c r="E101" s="51">
        <f>+E99+E100</f>
        <v>5375296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28901459</v>
      </c>
      <c r="D102" s="180">
        <f>+D69</f>
        <v>31746720</v>
      </c>
      <c r="E102" s="180">
        <f>+E69</f>
        <v>32182297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53664215</v>
      </c>
      <c r="D103" s="194">
        <v>50824548</v>
      </c>
      <c r="E103" s="194">
        <v>49676494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82565674</v>
      </c>
      <c r="D104" s="180">
        <f>+D102+D103</f>
        <v>82571268</v>
      </c>
      <c r="E104" s="180">
        <f>+E102+E103</f>
        <v>81858791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79.124980948316121</v>
      </c>
      <c r="D106" s="197">
        <f>IF(D109=0,0,(D107/D109)*100)</f>
        <v>120.98917150972832</v>
      </c>
      <c r="E106" s="197">
        <f>IF(E109=0,0,(E107/E109)*100)</f>
        <v>152.7133886003399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53664215</v>
      </c>
      <c r="D107" s="180">
        <f>+D103</f>
        <v>50824548</v>
      </c>
      <c r="E107" s="180">
        <f>+E103</f>
        <v>49676494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14157874</v>
      </c>
      <c r="D108" s="180">
        <f>+D32</f>
        <v>-8817030</v>
      </c>
      <c r="E108" s="180">
        <f>+E32</f>
        <v>-17147261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67822089</v>
      </c>
      <c r="D109" s="180">
        <f>+D107+D108</f>
        <v>42007518</v>
      </c>
      <c r="E109" s="180">
        <f>+E107+E108</f>
        <v>32529233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2.775776391601795</v>
      </c>
      <c r="D111" s="197">
        <f>IF((+D113+D115)=0,0,((+D112+D113+D114)/(+D113+D115)))</f>
        <v>2.2846219863626418</v>
      </c>
      <c r="E111" s="197">
        <f>IF((+E113+E115)=0,0,((+E112+E113+E114)/(+E113+E115)))</f>
        <v>2.0543980614993176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-1789262</v>
      </c>
      <c r="D112" s="180">
        <f>+D17</f>
        <v>1230684</v>
      </c>
      <c r="E112" s="180">
        <f>+E17</f>
        <v>-945124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1365387</v>
      </c>
      <c r="D113" s="180">
        <v>2492363</v>
      </c>
      <c r="E113" s="180">
        <v>2555303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4213884</v>
      </c>
      <c r="D114" s="180">
        <v>4952492</v>
      </c>
      <c r="E114" s="180">
        <v>6320420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0</v>
      </c>
      <c r="D115" s="180">
        <v>1305000</v>
      </c>
      <c r="E115" s="180">
        <v>1305000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15.642071067926882</v>
      </c>
      <c r="D119" s="197">
        <f>IF(+D121=0,0,(+D120)/(+D121))</f>
        <v>14.303483377661186</v>
      </c>
      <c r="E119" s="197">
        <f>IF(+E121=0,0,(+E120)/(+E121))</f>
        <v>12.191082871075023</v>
      </c>
    </row>
    <row r="120" spans="1:8" ht="24" customHeight="1" x14ac:dyDescent="0.25">
      <c r="A120" s="17">
        <v>21</v>
      </c>
      <c r="B120" s="48" t="s">
        <v>369</v>
      </c>
      <c r="C120" s="180">
        <v>65913873</v>
      </c>
      <c r="D120" s="180">
        <v>70837887</v>
      </c>
      <c r="E120" s="180">
        <v>77052764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4213884</v>
      </c>
      <c r="D121" s="180">
        <v>4952492</v>
      </c>
      <c r="E121" s="180">
        <v>6320420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34817</v>
      </c>
      <c r="D124" s="198">
        <v>33581</v>
      </c>
      <c r="E124" s="198">
        <v>33429</v>
      </c>
    </row>
    <row r="125" spans="1:8" ht="24" customHeight="1" x14ac:dyDescent="0.2">
      <c r="A125" s="44">
        <v>2</v>
      </c>
      <c r="B125" s="48" t="s">
        <v>373</v>
      </c>
      <c r="C125" s="198">
        <v>7617</v>
      </c>
      <c r="D125" s="198">
        <v>7533</v>
      </c>
      <c r="E125" s="198">
        <v>7719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4.5709596954181437</v>
      </c>
      <c r="D126" s="199">
        <f>IF(D125=0,0,D124/D125)</f>
        <v>4.4578521173503249</v>
      </c>
      <c r="E126" s="199">
        <f>IF(E125=0,0,E124/E125)</f>
        <v>4.330742324135251</v>
      </c>
    </row>
    <row r="127" spans="1:8" ht="24" customHeight="1" x14ac:dyDescent="0.2">
      <c r="A127" s="44">
        <v>4</v>
      </c>
      <c r="B127" s="48" t="s">
        <v>375</v>
      </c>
      <c r="C127" s="198">
        <v>97</v>
      </c>
      <c r="D127" s="198">
        <v>95</v>
      </c>
      <c r="E127" s="198">
        <v>94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180</v>
      </c>
      <c r="E128" s="198">
        <v>180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180</v>
      </c>
      <c r="D129" s="198">
        <v>180</v>
      </c>
      <c r="E129" s="198">
        <v>180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0.98329999999999995</v>
      </c>
      <c r="D130" s="171">
        <v>0.96840000000000004</v>
      </c>
      <c r="E130" s="171">
        <v>0.97430000000000005</v>
      </c>
    </row>
    <row r="131" spans="1:8" ht="24" customHeight="1" x14ac:dyDescent="0.2">
      <c r="A131" s="44">
        <v>7</v>
      </c>
      <c r="B131" s="48" t="s">
        <v>379</v>
      </c>
      <c r="C131" s="171">
        <v>0.52990000000000004</v>
      </c>
      <c r="D131" s="171">
        <v>0.5111</v>
      </c>
      <c r="E131" s="171">
        <v>0.50880000000000003</v>
      </c>
    </row>
    <row r="132" spans="1:8" ht="24" customHeight="1" x14ac:dyDescent="0.2">
      <c r="A132" s="44">
        <v>8</v>
      </c>
      <c r="B132" s="48" t="s">
        <v>380</v>
      </c>
      <c r="C132" s="199">
        <v>895</v>
      </c>
      <c r="D132" s="199">
        <v>929.1</v>
      </c>
      <c r="E132" s="199">
        <v>958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0.39444404956030465</v>
      </c>
      <c r="D135" s="203">
        <f>IF(D149=0,0,D143/D149)</f>
        <v>0.38793745281569264</v>
      </c>
      <c r="E135" s="203">
        <f>IF(E149=0,0,E143/E149)</f>
        <v>0.38774158004154352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0.46972234783066558</v>
      </c>
      <c r="D136" s="203">
        <f>IF(D149=0,0,D144/D149)</f>
        <v>0.46243260466780534</v>
      </c>
      <c r="E136" s="203">
        <f>IF(E149=0,0,E144/E149)</f>
        <v>0.46122497640888643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7.9331947355908317E-2</v>
      </c>
      <c r="D137" s="203">
        <f>IF(D149=0,0,D145/D149)</f>
        <v>8.9730706444325598E-2</v>
      </c>
      <c r="E137" s="203">
        <f>IF(E149=0,0,E145/E149)</f>
        <v>0.11135230910311758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2.7198749387649827E-2</v>
      </c>
      <c r="D138" s="203">
        <f>IF(D149=0,0,D146/D149)</f>
        <v>2.916405008245582E-2</v>
      </c>
      <c r="E138" s="203">
        <f>IF(E149=0,0,E146/E149)</f>
        <v>1.2543572106518994E-2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2.7861647063696662E-2</v>
      </c>
      <c r="D139" s="203">
        <f>IF(D149=0,0,D147/D149)</f>
        <v>2.9768766842060961E-2</v>
      </c>
      <c r="E139" s="203">
        <f>IF(E149=0,0,E147/E149)</f>
        <v>2.5555576268439458E-2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1.4412588017749075E-3</v>
      </c>
      <c r="D140" s="203">
        <f>IF(D149=0,0,D148/D149)</f>
        <v>9.6641914765963316E-4</v>
      </c>
      <c r="E140" s="203">
        <f>IF(E149=0,0,E148/E149)</f>
        <v>1.5819860714940048E-3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1</v>
      </c>
      <c r="E141" s="203">
        <f>SUM(E135:E140)</f>
        <v>0.99999999999999989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127679767</v>
      </c>
      <c r="D143" s="205">
        <f>+D46-D147</f>
        <v>137125385</v>
      </c>
      <c r="E143" s="205">
        <f>+E46-E147</f>
        <v>147824225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152047014</v>
      </c>
      <c r="D144" s="205">
        <f>+D51</f>
        <v>163457404</v>
      </c>
      <c r="E144" s="205">
        <f>+E51</f>
        <v>175839343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25679395</v>
      </c>
      <c r="D145" s="205">
        <f>+D55</f>
        <v>31717375</v>
      </c>
      <c r="E145" s="205">
        <f>+E55</f>
        <v>42452421</v>
      </c>
    </row>
    <row r="146" spans="1:7" ht="20.100000000000001" customHeight="1" x14ac:dyDescent="0.2">
      <c r="A146" s="202">
        <v>11</v>
      </c>
      <c r="B146" s="201" t="s">
        <v>392</v>
      </c>
      <c r="C146" s="204">
        <v>8804113</v>
      </c>
      <c r="D146" s="205">
        <v>10308702</v>
      </c>
      <c r="E146" s="205">
        <v>4782164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9018690</v>
      </c>
      <c r="D147" s="205">
        <f>+D47</f>
        <v>10522453</v>
      </c>
      <c r="E147" s="205">
        <f>+E47</f>
        <v>9742915</v>
      </c>
    </row>
    <row r="148" spans="1:7" ht="20.100000000000001" customHeight="1" x14ac:dyDescent="0.2">
      <c r="A148" s="202">
        <v>13</v>
      </c>
      <c r="B148" s="201" t="s">
        <v>394</v>
      </c>
      <c r="C148" s="206">
        <v>466529</v>
      </c>
      <c r="D148" s="205">
        <v>341603</v>
      </c>
      <c r="E148" s="205">
        <v>603123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323695508</v>
      </c>
      <c r="D149" s="205">
        <f>SUM(D143:D148)</f>
        <v>353472922</v>
      </c>
      <c r="E149" s="205">
        <f>SUM(E143:E148)</f>
        <v>381244191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0.4197006922556083</v>
      </c>
      <c r="D152" s="203">
        <f>IF(D166=0,0,D160/D166)</f>
        <v>0.42999080111774884</v>
      </c>
      <c r="E152" s="203">
        <f>IF(E166=0,0,E160/E166)</f>
        <v>0.4660117240365802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0.47077517548574149</v>
      </c>
      <c r="D153" s="203">
        <f>IF(D166=0,0,D161/D166)</f>
        <v>0.45178967721429208</v>
      </c>
      <c r="E153" s="203">
        <f>IF(E166=0,0,E161/E166)</f>
        <v>0.43076983676281821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6.6896429966957924E-2</v>
      </c>
      <c r="D154" s="203">
        <f>IF(D166=0,0,D162/D166)</f>
        <v>7.5855869119430264E-2</v>
      </c>
      <c r="E154" s="203">
        <f>IF(E166=0,0,E162/E166)</f>
        <v>9.6092970704477768E-2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1.579729138874781E-2</v>
      </c>
      <c r="D155" s="203">
        <f>IF(D166=0,0,D163/D166)</f>
        <v>1.7235609067808893E-2</v>
      </c>
      <c r="E155" s="203">
        <f>IF(E166=0,0,E163/E166)</f>
        <v>5.3134286679681431E-4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2.537020442091216E-2</v>
      </c>
      <c r="D156" s="203">
        <f>IF(D166=0,0,D164/D166)</f>
        <v>2.4117794662652965E-2</v>
      </c>
      <c r="E156" s="203">
        <f>IF(E166=0,0,E164/E166)</f>
        <v>4.5831913564396282E-3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1.4602064820323222E-3</v>
      </c>
      <c r="D157" s="203">
        <f>IF(D166=0,0,D165/D166)</f>
        <v>1.0102488180669335E-3</v>
      </c>
      <c r="E157" s="203">
        <f>IF(E166=0,0,E165/E166)</f>
        <v>2.0109342728873774E-3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0.99999999999999978</v>
      </c>
      <c r="E158" s="203">
        <f>SUM(E152:E157)</f>
        <v>0.99999999999999989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45144211</v>
      </c>
      <c r="D160" s="208">
        <f>+D44-D164</f>
        <v>48961336</v>
      </c>
      <c r="E160" s="208">
        <f>+E44-E164</f>
        <v>54824097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50637929</v>
      </c>
      <c r="D161" s="208">
        <f>+D50</f>
        <v>51443487</v>
      </c>
      <c r="E161" s="208">
        <f>+E50</f>
        <v>50678054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7195572</v>
      </c>
      <c r="D162" s="208">
        <f>+D54</f>
        <v>8637405</v>
      </c>
      <c r="E162" s="208">
        <f>+E54</f>
        <v>11304888</v>
      </c>
    </row>
    <row r="163" spans="1:6" ht="20.100000000000001" customHeight="1" x14ac:dyDescent="0.2">
      <c r="A163" s="202">
        <v>11</v>
      </c>
      <c r="B163" s="201" t="s">
        <v>408</v>
      </c>
      <c r="C163" s="207">
        <v>1699202</v>
      </c>
      <c r="D163" s="208">
        <v>1962550</v>
      </c>
      <c r="E163" s="208">
        <v>62510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2728892</v>
      </c>
      <c r="D164" s="208">
        <f>+D45</f>
        <v>2746197</v>
      </c>
      <c r="E164" s="208">
        <f>+E45</f>
        <v>539191</v>
      </c>
    </row>
    <row r="165" spans="1:6" ht="20.100000000000001" customHeight="1" x14ac:dyDescent="0.2">
      <c r="A165" s="202">
        <v>13</v>
      </c>
      <c r="B165" s="201" t="s">
        <v>410</v>
      </c>
      <c r="C165" s="209">
        <v>157064</v>
      </c>
      <c r="D165" s="208">
        <v>115033</v>
      </c>
      <c r="E165" s="208">
        <v>236577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107562870</v>
      </c>
      <c r="D166" s="208">
        <f>SUM(D160:D165)</f>
        <v>113866008</v>
      </c>
      <c r="E166" s="208">
        <f>SUM(E160:E165)</f>
        <v>117645317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2821</v>
      </c>
      <c r="D169" s="198">
        <v>2727</v>
      </c>
      <c r="E169" s="198">
        <v>2697</v>
      </c>
    </row>
    <row r="170" spans="1:6" ht="20.100000000000001" customHeight="1" x14ac:dyDescent="0.2">
      <c r="A170" s="202">
        <v>2</v>
      </c>
      <c r="B170" s="201" t="s">
        <v>414</v>
      </c>
      <c r="C170" s="198">
        <v>3594</v>
      </c>
      <c r="D170" s="198">
        <v>3622</v>
      </c>
      <c r="E170" s="198">
        <v>3673</v>
      </c>
    </row>
    <row r="171" spans="1:6" ht="20.100000000000001" customHeight="1" x14ac:dyDescent="0.2">
      <c r="A171" s="202">
        <v>3</v>
      </c>
      <c r="B171" s="201" t="s">
        <v>415</v>
      </c>
      <c r="C171" s="198">
        <v>1179</v>
      </c>
      <c r="D171" s="198">
        <v>1178</v>
      </c>
      <c r="E171" s="198">
        <v>1339</v>
      </c>
    </row>
    <row r="172" spans="1:6" ht="20.100000000000001" customHeight="1" x14ac:dyDescent="0.2">
      <c r="A172" s="202">
        <v>4</v>
      </c>
      <c r="B172" s="201" t="s">
        <v>416</v>
      </c>
      <c r="C172" s="198">
        <v>1008</v>
      </c>
      <c r="D172" s="198">
        <v>1024</v>
      </c>
      <c r="E172" s="198">
        <v>1278</v>
      </c>
    </row>
    <row r="173" spans="1:6" ht="20.100000000000001" customHeight="1" x14ac:dyDescent="0.2">
      <c r="A173" s="202">
        <v>5</v>
      </c>
      <c r="B173" s="201" t="s">
        <v>417</v>
      </c>
      <c r="C173" s="198">
        <v>171</v>
      </c>
      <c r="D173" s="198">
        <v>154</v>
      </c>
      <c r="E173" s="198">
        <v>61</v>
      </c>
    </row>
    <row r="174" spans="1:6" ht="20.100000000000001" customHeight="1" x14ac:dyDescent="0.2">
      <c r="A174" s="202">
        <v>6</v>
      </c>
      <c r="B174" s="201" t="s">
        <v>418</v>
      </c>
      <c r="C174" s="198">
        <v>23</v>
      </c>
      <c r="D174" s="198">
        <v>6</v>
      </c>
      <c r="E174" s="198">
        <v>10</v>
      </c>
    </row>
    <row r="175" spans="1:6" ht="20.100000000000001" customHeight="1" x14ac:dyDescent="0.2">
      <c r="A175" s="202">
        <v>7</v>
      </c>
      <c r="B175" s="201" t="s">
        <v>419</v>
      </c>
      <c r="C175" s="198">
        <v>85</v>
      </c>
      <c r="D175" s="198">
        <v>89</v>
      </c>
      <c r="E175" s="198">
        <v>103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7617</v>
      </c>
      <c r="D176" s="198">
        <f>+D169+D170+D171+D174</f>
        <v>7533</v>
      </c>
      <c r="E176" s="198">
        <f>+E169+E170+E171+E174</f>
        <v>7719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0.93915000000000004</v>
      </c>
      <c r="D179" s="210">
        <v>0.95430999999999999</v>
      </c>
      <c r="E179" s="210">
        <v>0.96779999999999999</v>
      </c>
    </row>
    <row r="180" spans="1:6" ht="20.100000000000001" customHeight="1" x14ac:dyDescent="0.2">
      <c r="A180" s="202">
        <v>2</v>
      </c>
      <c r="B180" s="201" t="s">
        <v>414</v>
      </c>
      <c r="C180" s="210">
        <v>1.3239399999999999</v>
      </c>
      <c r="D180" s="210">
        <v>1.33762</v>
      </c>
      <c r="E180" s="210">
        <v>1.3216300000000001</v>
      </c>
    </row>
    <row r="181" spans="1:6" ht="20.100000000000001" customHeight="1" x14ac:dyDescent="0.2">
      <c r="A181" s="202">
        <v>3</v>
      </c>
      <c r="B181" s="201" t="s">
        <v>415</v>
      </c>
      <c r="C181" s="210">
        <v>0.74829500000000004</v>
      </c>
      <c r="D181" s="210">
        <v>0.811608</v>
      </c>
      <c r="E181" s="210">
        <v>0.723383</v>
      </c>
    </row>
    <row r="182" spans="1:6" ht="20.100000000000001" customHeight="1" x14ac:dyDescent="0.2">
      <c r="A182" s="202">
        <v>4</v>
      </c>
      <c r="B182" s="201" t="s">
        <v>416</v>
      </c>
      <c r="C182" s="210">
        <v>0.71448</v>
      </c>
      <c r="D182" s="210">
        <v>0.76856000000000002</v>
      </c>
      <c r="E182" s="210">
        <v>0.71443000000000001</v>
      </c>
    </row>
    <row r="183" spans="1:6" ht="20.100000000000001" customHeight="1" x14ac:dyDescent="0.2">
      <c r="A183" s="202">
        <v>5</v>
      </c>
      <c r="B183" s="201" t="s">
        <v>417</v>
      </c>
      <c r="C183" s="210">
        <v>0.94762999999999997</v>
      </c>
      <c r="D183" s="210">
        <v>1.09785</v>
      </c>
      <c r="E183" s="210">
        <v>0.91096999999999995</v>
      </c>
    </row>
    <row r="184" spans="1:6" ht="20.100000000000001" customHeight="1" x14ac:dyDescent="0.2">
      <c r="A184" s="202">
        <v>6</v>
      </c>
      <c r="B184" s="201" t="s">
        <v>418</v>
      </c>
      <c r="C184" s="210">
        <v>0.65098</v>
      </c>
      <c r="D184" s="210">
        <v>0.47225</v>
      </c>
      <c r="E184" s="210">
        <v>0.82528000000000001</v>
      </c>
    </row>
    <row r="185" spans="1:6" ht="20.100000000000001" customHeight="1" x14ac:dyDescent="0.2">
      <c r="A185" s="202">
        <v>7</v>
      </c>
      <c r="B185" s="201" t="s">
        <v>419</v>
      </c>
      <c r="C185" s="210">
        <v>0.98248999999999997</v>
      </c>
      <c r="D185" s="210">
        <v>0.97438999999999998</v>
      </c>
      <c r="E185" s="210">
        <v>0.84660000000000002</v>
      </c>
    </row>
    <row r="186" spans="1:6" ht="20.100000000000001" customHeight="1" x14ac:dyDescent="0.2">
      <c r="A186" s="202">
        <v>8</v>
      </c>
      <c r="B186" s="201" t="s">
        <v>423</v>
      </c>
      <c r="C186" s="210">
        <v>1.0902970000000001</v>
      </c>
      <c r="D186" s="210">
        <v>1.115912</v>
      </c>
      <c r="E186" s="210">
        <v>1.0935820000000001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5413</v>
      </c>
      <c r="D189" s="198">
        <v>5426</v>
      </c>
      <c r="E189" s="198">
        <v>5533</v>
      </c>
    </row>
    <row r="190" spans="1:6" ht="20.100000000000001" customHeight="1" x14ac:dyDescent="0.2">
      <c r="A190" s="202">
        <v>2</v>
      </c>
      <c r="B190" s="201" t="s">
        <v>427</v>
      </c>
      <c r="C190" s="198">
        <v>33483</v>
      </c>
      <c r="D190" s="198">
        <v>33789</v>
      </c>
      <c r="E190" s="198">
        <v>33402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38896</v>
      </c>
      <c r="D191" s="198">
        <f>+D190+D189</f>
        <v>39215</v>
      </c>
      <c r="E191" s="198">
        <f>+E190+E189</f>
        <v>38935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r:id="rId1"/>
  <headerFooter>
    <oddHeader>&amp;LOFFICE OF HEALTH CARE ACCESS&amp;CTWELVE MONTHS ACTUAL FILING&amp;RGRIFFIN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>
      <selection activeCell="H27" sqref="H27"/>
    </sheetView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5" width="21.710937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5" t="s">
        <v>0</v>
      </c>
      <c r="B2" s="675"/>
      <c r="C2" s="675"/>
      <c r="D2" s="675"/>
      <c r="E2" s="675"/>
      <c r="F2" s="675"/>
    </row>
    <row r="3" spans="1:7" ht="20.25" customHeight="1" x14ac:dyDescent="0.3">
      <c r="A3" s="675" t="s">
        <v>1</v>
      </c>
      <c r="B3" s="675"/>
      <c r="C3" s="675"/>
      <c r="D3" s="675"/>
      <c r="E3" s="675"/>
      <c r="F3" s="675"/>
    </row>
    <row r="4" spans="1:7" ht="20.25" customHeight="1" x14ac:dyDescent="0.3">
      <c r="A4" s="675" t="s">
        <v>2</v>
      </c>
      <c r="B4" s="675"/>
      <c r="C4" s="675"/>
      <c r="D4" s="675"/>
      <c r="E4" s="675"/>
      <c r="F4" s="675"/>
    </row>
    <row r="5" spans="1:7" ht="20.25" customHeight="1" x14ac:dyDescent="0.3">
      <c r="A5" s="675" t="s">
        <v>429</v>
      </c>
      <c r="B5" s="675"/>
      <c r="C5" s="675"/>
      <c r="D5" s="675"/>
      <c r="E5" s="675"/>
      <c r="F5" s="67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76"/>
      <c r="D9" s="677"/>
      <c r="E9" s="677"/>
      <c r="F9" s="678"/>
      <c r="G9" s="212"/>
    </row>
    <row r="10" spans="1:7" ht="20.25" customHeight="1" x14ac:dyDescent="0.3">
      <c r="A10" s="679" t="s">
        <v>12</v>
      </c>
      <c r="B10" s="681" t="s">
        <v>113</v>
      </c>
      <c r="C10" s="683"/>
      <c r="D10" s="684"/>
      <c r="E10" s="684"/>
      <c r="F10" s="685"/>
    </row>
    <row r="11" spans="1:7" ht="20.25" customHeight="1" x14ac:dyDescent="0.3">
      <c r="A11" s="680"/>
      <c r="B11" s="682"/>
      <c r="C11" s="686"/>
      <c r="D11" s="687"/>
      <c r="E11" s="687"/>
      <c r="F11" s="688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370873</v>
      </c>
      <c r="D14" s="237">
        <v>171928</v>
      </c>
      <c r="E14" s="237">
        <f t="shared" ref="E14:E24" si="0">D14-C14</f>
        <v>-198945</v>
      </c>
      <c r="F14" s="238">
        <f t="shared" ref="F14:F24" si="1">IF(C14=0,0,E14/C14)</f>
        <v>-0.53642351964149448</v>
      </c>
    </row>
    <row r="15" spans="1:7" ht="20.25" customHeight="1" x14ac:dyDescent="0.3">
      <c r="A15" s="235">
        <v>2</v>
      </c>
      <c r="B15" s="236" t="s">
        <v>435</v>
      </c>
      <c r="C15" s="237">
        <v>143710</v>
      </c>
      <c r="D15" s="237">
        <v>42901</v>
      </c>
      <c r="E15" s="237">
        <f t="shared" si="0"/>
        <v>-100809</v>
      </c>
      <c r="F15" s="238">
        <f t="shared" si="1"/>
        <v>-0.70147519309720963</v>
      </c>
    </row>
    <row r="16" spans="1:7" ht="20.25" customHeight="1" x14ac:dyDescent="0.3">
      <c r="A16" s="235">
        <v>3</v>
      </c>
      <c r="B16" s="236" t="s">
        <v>436</v>
      </c>
      <c r="C16" s="237">
        <v>324943</v>
      </c>
      <c r="D16" s="237">
        <v>474749</v>
      </c>
      <c r="E16" s="237">
        <f t="shared" si="0"/>
        <v>149806</v>
      </c>
      <c r="F16" s="238">
        <f t="shared" si="1"/>
        <v>0.46102239469691608</v>
      </c>
    </row>
    <row r="17" spans="1:6" ht="20.25" customHeight="1" x14ac:dyDescent="0.3">
      <c r="A17" s="235">
        <v>4</v>
      </c>
      <c r="B17" s="236" t="s">
        <v>437</v>
      </c>
      <c r="C17" s="237">
        <v>73456</v>
      </c>
      <c r="D17" s="237">
        <v>162818</v>
      </c>
      <c r="E17" s="237">
        <f t="shared" si="0"/>
        <v>89362</v>
      </c>
      <c r="F17" s="238">
        <f t="shared" si="1"/>
        <v>1.2165377913308648</v>
      </c>
    </row>
    <row r="18" spans="1:6" ht="20.25" customHeight="1" x14ac:dyDescent="0.3">
      <c r="A18" s="235">
        <v>5</v>
      </c>
      <c r="B18" s="236" t="s">
        <v>373</v>
      </c>
      <c r="C18" s="239">
        <v>9</v>
      </c>
      <c r="D18" s="239">
        <v>8</v>
      </c>
      <c r="E18" s="239">
        <f t="shared" si="0"/>
        <v>-1</v>
      </c>
      <c r="F18" s="238">
        <f t="shared" si="1"/>
        <v>-0.1111111111111111</v>
      </c>
    </row>
    <row r="19" spans="1:6" ht="20.25" customHeight="1" x14ac:dyDescent="0.3">
      <c r="A19" s="235">
        <v>6</v>
      </c>
      <c r="B19" s="236" t="s">
        <v>372</v>
      </c>
      <c r="C19" s="239">
        <v>57</v>
      </c>
      <c r="D19" s="239">
        <v>35</v>
      </c>
      <c r="E19" s="239">
        <f t="shared" si="0"/>
        <v>-22</v>
      </c>
      <c r="F19" s="238">
        <f t="shared" si="1"/>
        <v>-0.38596491228070173</v>
      </c>
    </row>
    <row r="20" spans="1:6" ht="20.25" customHeight="1" x14ac:dyDescent="0.3">
      <c r="A20" s="235">
        <v>7</v>
      </c>
      <c r="B20" s="236" t="s">
        <v>438</v>
      </c>
      <c r="C20" s="239">
        <v>250</v>
      </c>
      <c r="D20" s="239">
        <v>132</v>
      </c>
      <c r="E20" s="239">
        <f t="shared" si="0"/>
        <v>-118</v>
      </c>
      <c r="F20" s="238">
        <f t="shared" si="1"/>
        <v>-0.47199999999999998</v>
      </c>
    </row>
    <row r="21" spans="1:6" ht="20.25" customHeight="1" x14ac:dyDescent="0.3">
      <c r="A21" s="235">
        <v>8</v>
      </c>
      <c r="B21" s="236" t="s">
        <v>439</v>
      </c>
      <c r="C21" s="239">
        <v>22</v>
      </c>
      <c r="D21" s="239">
        <v>18</v>
      </c>
      <c r="E21" s="239">
        <f t="shared" si="0"/>
        <v>-4</v>
      </c>
      <c r="F21" s="238">
        <f t="shared" si="1"/>
        <v>-0.18181818181818182</v>
      </c>
    </row>
    <row r="22" spans="1:6" ht="20.25" customHeight="1" x14ac:dyDescent="0.3">
      <c r="A22" s="235">
        <v>9</v>
      </c>
      <c r="B22" s="236" t="s">
        <v>440</v>
      </c>
      <c r="C22" s="239">
        <v>6</v>
      </c>
      <c r="D22" s="239">
        <v>7</v>
      </c>
      <c r="E22" s="239">
        <f t="shared" si="0"/>
        <v>1</v>
      </c>
      <c r="F22" s="238">
        <f t="shared" si="1"/>
        <v>0.16666666666666666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695816</v>
      </c>
      <c r="D23" s="243">
        <f>+D14+D16</f>
        <v>646677</v>
      </c>
      <c r="E23" s="243">
        <f t="shared" si="0"/>
        <v>-49139</v>
      </c>
      <c r="F23" s="244">
        <f t="shared" si="1"/>
        <v>-7.0620681329546894E-2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217166</v>
      </c>
      <c r="D24" s="243">
        <f>+D15+D17</f>
        <v>205719</v>
      </c>
      <c r="E24" s="243">
        <f t="shared" si="0"/>
        <v>-11447</v>
      </c>
      <c r="F24" s="244">
        <f t="shared" si="1"/>
        <v>-5.2710829503697633E-2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1463333</v>
      </c>
      <c r="D40" s="237">
        <v>1830095</v>
      </c>
      <c r="E40" s="237">
        <f t="shared" ref="E40:E50" si="4">D40-C40</f>
        <v>366762</v>
      </c>
      <c r="F40" s="238">
        <f t="shared" ref="F40:F50" si="5">IF(C40=0,0,E40/C40)</f>
        <v>0.25063468123796839</v>
      </c>
    </row>
    <row r="41" spans="1:6" ht="20.25" customHeight="1" x14ac:dyDescent="0.3">
      <c r="A41" s="235">
        <v>2</v>
      </c>
      <c r="B41" s="236" t="s">
        <v>435</v>
      </c>
      <c r="C41" s="237">
        <v>500251</v>
      </c>
      <c r="D41" s="237">
        <v>495370</v>
      </c>
      <c r="E41" s="237">
        <f t="shared" si="4"/>
        <v>-4881</v>
      </c>
      <c r="F41" s="238">
        <f t="shared" si="5"/>
        <v>-9.7571019348287168E-3</v>
      </c>
    </row>
    <row r="42" spans="1:6" ht="20.25" customHeight="1" x14ac:dyDescent="0.3">
      <c r="A42" s="235">
        <v>3</v>
      </c>
      <c r="B42" s="236" t="s">
        <v>436</v>
      </c>
      <c r="C42" s="237">
        <v>1258193</v>
      </c>
      <c r="D42" s="237">
        <v>1519553</v>
      </c>
      <c r="E42" s="237">
        <f t="shared" si="4"/>
        <v>261360</v>
      </c>
      <c r="F42" s="238">
        <f t="shared" si="5"/>
        <v>0.20772647757537993</v>
      </c>
    </row>
    <row r="43" spans="1:6" ht="20.25" customHeight="1" x14ac:dyDescent="0.3">
      <c r="A43" s="235">
        <v>4</v>
      </c>
      <c r="B43" s="236" t="s">
        <v>437</v>
      </c>
      <c r="C43" s="237">
        <v>346678</v>
      </c>
      <c r="D43" s="237">
        <v>241179</v>
      </c>
      <c r="E43" s="237">
        <f t="shared" si="4"/>
        <v>-105499</v>
      </c>
      <c r="F43" s="238">
        <f t="shared" si="5"/>
        <v>-0.30431408973168184</v>
      </c>
    </row>
    <row r="44" spans="1:6" ht="20.25" customHeight="1" x14ac:dyDescent="0.3">
      <c r="A44" s="235">
        <v>5</v>
      </c>
      <c r="B44" s="236" t="s">
        <v>373</v>
      </c>
      <c r="C44" s="239">
        <v>54</v>
      </c>
      <c r="D44" s="239">
        <v>56</v>
      </c>
      <c r="E44" s="239">
        <f t="shared" si="4"/>
        <v>2</v>
      </c>
      <c r="F44" s="238">
        <f t="shared" si="5"/>
        <v>3.7037037037037035E-2</v>
      </c>
    </row>
    <row r="45" spans="1:6" ht="20.25" customHeight="1" x14ac:dyDescent="0.3">
      <c r="A45" s="235">
        <v>6</v>
      </c>
      <c r="B45" s="236" t="s">
        <v>372</v>
      </c>
      <c r="C45" s="239">
        <v>240</v>
      </c>
      <c r="D45" s="239">
        <v>235</v>
      </c>
      <c r="E45" s="239">
        <f t="shared" si="4"/>
        <v>-5</v>
      </c>
      <c r="F45" s="238">
        <f t="shared" si="5"/>
        <v>-2.0833333333333332E-2</v>
      </c>
    </row>
    <row r="46" spans="1:6" ht="20.25" customHeight="1" x14ac:dyDescent="0.3">
      <c r="A46" s="235">
        <v>7</v>
      </c>
      <c r="B46" s="236" t="s">
        <v>438</v>
      </c>
      <c r="C46" s="239">
        <v>708</v>
      </c>
      <c r="D46" s="239">
        <v>867</v>
      </c>
      <c r="E46" s="239">
        <f t="shared" si="4"/>
        <v>159</v>
      </c>
      <c r="F46" s="238">
        <f t="shared" si="5"/>
        <v>0.22457627118644069</v>
      </c>
    </row>
    <row r="47" spans="1:6" ht="20.25" customHeight="1" x14ac:dyDescent="0.3">
      <c r="A47" s="235">
        <v>8</v>
      </c>
      <c r="B47" s="236" t="s">
        <v>439</v>
      </c>
      <c r="C47" s="239">
        <v>80</v>
      </c>
      <c r="D47" s="239">
        <v>109</v>
      </c>
      <c r="E47" s="239">
        <f t="shared" si="4"/>
        <v>29</v>
      </c>
      <c r="F47" s="238">
        <f t="shared" si="5"/>
        <v>0.36249999999999999</v>
      </c>
    </row>
    <row r="48" spans="1:6" ht="20.25" customHeight="1" x14ac:dyDescent="0.3">
      <c r="A48" s="235">
        <v>9</v>
      </c>
      <c r="B48" s="236" t="s">
        <v>440</v>
      </c>
      <c r="C48" s="239">
        <v>45</v>
      </c>
      <c r="D48" s="239">
        <v>43</v>
      </c>
      <c r="E48" s="239">
        <f t="shared" si="4"/>
        <v>-2</v>
      </c>
      <c r="F48" s="238">
        <f t="shared" si="5"/>
        <v>-4.4444444444444446E-2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2721526</v>
      </c>
      <c r="D49" s="243">
        <f>+D40+D42</f>
        <v>3349648</v>
      </c>
      <c r="E49" s="243">
        <f t="shared" si="4"/>
        <v>628122</v>
      </c>
      <c r="F49" s="244">
        <f t="shared" si="5"/>
        <v>0.23079772157238254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846929</v>
      </c>
      <c r="D50" s="243">
        <f>+D41+D43</f>
        <v>736549</v>
      </c>
      <c r="E50" s="243">
        <f t="shared" si="4"/>
        <v>-110380</v>
      </c>
      <c r="F50" s="244">
        <f t="shared" si="5"/>
        <v>-0.13032969705843112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26423383</v>
      </c>
      <c r="D53" s="237">
        <v>25092306</v>
      </c>
      <c r="E53" s="237">
        <f t="shared" ref="E53:E63" si="6">D53-C53</f>
        <v>-1331077</v>
      </c>
      <c r="F53" s="238">
        <f t="shared" ref="F53:F63" si="7">IF(C53=0,0,E53/C53)</f>
        <v>-5.037496523439107E-2</v>
      </c>
    </row>
    <row r="54" spans="1:6" ht="20.25" customHeight="1" x14ac:dyDescent="0.3">
      <c r="A54" s="235">
        <v>2</v>
      </c>
      <c r="B54" s="236" t="s">
        <v>435</v>
      </c>
      <c r="C54" s="237">
        <v>8397882</v>
      </c>
      <c r="D54" s="237">
        <v>6934693</v>
      </c>
      <c r="E54" s="237">
        <f t="shared" si="6"/>
        <v>-1463189</v>
      </c>
      <c r="F54" s="238">
        <f t="shared" si="7"/>
        <v>-0.17423309829788033</v>
      </c>
    </row>
    <row r="55" spans="1:6" ht="20.25" customHeight="1" x14ac:dyDescent="0.3">
      <c r="A55" s="235">
        <v>3</v>
      </c>
      <c r="B55" s="236" t="s">
        <v>436</v>
      </c>
      <c r="C55" s="237">
        <v>14055147</v>
      </c>
      <c r="D55" s="237">
        <v>15275736</v>
      </c>
      <c r="E55" s="237">
        <f t="shared" si="6"/>
        <v>1220589</v>
      </c>
      <c r="F55" s="238">
        <f t="shared" si="7"/>
        <v>8.6842848388565416E-2</v>
      </c>
    </row>
    <row r="56" spans="1:6" ht="20.25" customHeight="1" x14ac:dyDescent="0.3">
      <c r="A56" s="235">
        <v>4</v>
      </c>
      <c r="B56" s="236" t="s">
        <v>437</v>
      </c>
      <c r="C56" s="237">
        <v>3171178</v>
      </c>
      <c r="D56" s="237">
        <v>2804103</v>
      </c>
      <c r="E56" s="237">
        <f t="shared" si="6"/>
        <v>-367075</v>
      </c>
      <c r="F56" s="238">
        <f t="shared" si="7"/>
        <v>-0.11575351493987408</v>
      </c>
    </row>
    <row r="57" spans="1:6" ht="20.25" customHeight="1" x14ac:dyDescent="0.3">
      <c r="A57" s="235">
        <v>5</v>
      </c>
      <c r="B57" s="236" t="s">
        <v>373</v>
      </c>
      <c r="C57" s="239">
        <v>874</v>
      </c>
      <c r="D57" s="239">
        <v>835</v>
      </c>
      <c r="E57" s="239">
        <f t="shared" si="6"/>
        <v>-39</v>
      </c>
      <c r="F57" s="238">
        <f t="shared" si="7"/>
        <v>-4.462242562929062E-2</v>
      </c>
    </row>
    <row r="58" spans="1:6" ht="20.25" customHeight="1" x14ac:dyDescent="0.3">
      <c r="A58" s="235">
        <v>6</v>
      </c>
      <c r="B58" s="236" t="s">
        <v>372</v>
      </c>
      <c r="C58" s="239">
        <v>4548</v>
      </c>
      <c r="D58" s="239">
        <v>3966</v>
      </c>
      <c r="E58" s="239">
        <f t="shared" si="6"/>
        <v>-582</v>
      </c>
      <c r="F58" s="238">
        <f t="shared" si="7"/>
        <v>-0.12796833773087071</v>
      </c>
    </row>
    <row r="59" spans="1:6" ht="20.25" customHeight="1" x14ac:dyDescent="0.3">
      <c r="A59" s="235">
        <v>7</v>
      </c>
      <c r="B59" s="236" t="s">
        <v>438</v>
      </c>
      <c r="C59" s="239">
        <v>8114</v>
      </c>
      <c r="D59" s="239">
        <v>9068</v>
      </c>
      <c r="E59" s="239">
        <f t="shared" si="6"/>
        <v>954</v>
      </c>
      <c r="F59" s="238">
        <f t="shared" si="7"/>
        <v>0.11757456248459452</v>
      </c>
    </row>
    <row r="60" spans="1:6" ht="20.25" customHeight="1" x14ac:dyDescent="0.3">
      <c r="A60" s="235">
        <v>8</v>
      </c>
      <c r="B60" s="236" t="s">
        <v>439</v>
      </c>
      <c r="C60" s="239">
        <v>1177</v>
      </c>
      <c r="D60" s="239">
        <v>1149</v>
      </c>
      <c r="E60" s="239">
        <f t="shared" si="6"/>
        <v>-28</v>
      </c>
      <c r="F60" s="238">
        <f t="shared" si="7"/>
        <v>-2.3789294817332201E-2</v>
      </c>
    </row>
    <row r="61" spans="1:6" ht="20.25" customHeight="1" x14ac:dyDescent="0.3">
      <c r="A61" s="235">
        <v>9</v>
      </c>
      <c r="B61" s="236" t="s">
        <v>440</v>
      </c>
      <c r="C61" s="239">
        <v>781</v>
      </c>
      <c r="D61" s="239">
        <v>753</v>
      </c>
      <c r="E61" s="239">
        <f t="shared" si="6"/>
        <v>-28</v>
      </c>
      <c r="F61" s="238">
        <f t="shared" si="7"/>
        <v>-3.5851472471190783E-2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40478530</v>
      </c>
      <c r="D62" s="243">
        <f>+D53+D55</f>
        <v>40368042</v>
      </c>
      <c r="E62" s="243">
        <f t="shared" si="6"/>
        <v>-110488</v>
      </c>
      <c r="F62" s="244">
        <f t="shared" si="7"/>
        <v>-2.7295457616667404E-3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11569060</v>
      </c>
      <c r="D63" s="243">
        <f>+D54+D56</f>
        <v>9738796</v>
      </c>
      <c r="E63" s="243">
        <f t="shared" si="6"/>
        <v>-1830264</v>
      </c>
      <c r="F63" s="244">
        <f t="shared" si="7"/>
        <v>-0.15820334582066303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0</v>
      </c>
      <c r="D66" s="237">
        <v>0</v>
      </c>
      <c r="E66" s="237">
        <f t="shared" ref="E66:E76" si="8">D66-C66</f>
        <v>0</v>
      </c>
      <c r="F66" s="238">
        <f t="shared" ref="F66:F76" si="9">IF(C66=0,0,E66/C66)</f>
        <v>0</v>
      </c>
    </row>
    <row r="67" spans="1:6" ht="20.25" customHeight="1" x14ac:dyDescent="0.3">
      <c r="A67" s="235">
        <v>2</v>
      </c>
      <c r="B67" s="236" t="s">
        <v>435</v>
      </c>
      <c r="C67" s="237">
        <v>0</v>
      </c>
      <c r="D67" s="237">
        <v>0</v>
      </c>
      <c r="E67" s="237">
        <f t="shared" si="8"/>
        <v>0</v>
      </c>
      <c r="F67" s="238">
        <f t="shared" si="9"/>
        <v>0</v>
      </c>
    </row>
    <row r="68" spans="1:6" ht="20.25" customHeight="1" x14ac:dyDescent="0.3">
      <c r="A68" s="235">
        <v>3</v>
      </c>
      <c r="B68" s="236" t="s">
        <v>436</v>
      </c>
      <c r="C68" s="237">
        <v>0</v>
      </c>
      <c r="D68" s="237">
        <v>0</v>
      </c>
      <c r="E68" s="237">
        <f t="shared" si="8"/>
        <v>0</v>
      </c>
      <c r="F68" s="238">
        <f t="shared" si="9"/>
        <v>0</v>
      </c>
    </row>
    <row r="69" spans="1:6" ht="20.25" customHeight="1" x14ac:dyDescent="0.3">
      <c r="A69" s="235">
        <v>4</v>
      </c>
      <c r="B69" s="236" t="s">
        <v>437</v>
      </c>
      <c r="C69" s="237">
        <v>0</v>
      </c>
      <c r="D69" s="237">
        <v>0</v>
      </c>
      <c r="E69" s="237">
        <f t="shared" si="8"/>
        <v>0</v>
      </c>
      <c r="F69" s="238">
        <f t="shared" si="9"/>
        <v>0</v>
      </c>
    </row>
    <row r="70" spans="1:6" ht="20.25" customHeight="1" x14ac:dyDescent="0.3">
      <c r="A70" s="235">
        <v>5</v>
      </c>
      <c r="B70" s="236" t="s">
        <v>373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ht="20.25" customHeight="1" x14ac:dyDescent="0.3">
      <c r="A71" s="235">
        <v>6</v>
      </c>
      <c r="B71" s="236" t="s">
        <v>372</v>
      </c>
      <c r="C71" s="239">
        <v>0</v>
      </c>
      <c r="D71" s="239">
        <v>0</v>
      </c>
      <c r="E71" s="239">
        <f t="shared" si="8"/>
        <v>0</v>
      </c>
      <c r="F71" s="238">
        <f t="shared" si="9"/>
        <v>0</v>
      </c>
    </row>
    <row r="72" spans="1:6" ht="20.25" customHeight="1" x14ac:dyDescent="0.3">
      <c r="A72" s="235">
        <v>7</v>
      </c>
      <c r="B72" s="236" t="s">
        <v>438</v>
      </c>
      <c r="C72" s="239">
        <v>0</v>
      </c>
      <c r="D72" s="239">
        <v>0</v>
      </c>
      <c r="E72" s="239">
        <f t="shared" si="8"/>
        <v>0</v>
      </c>
      <c r="F72" s="238">
        <f t="shared" si="9"/>
        <v>0</v>
      </c>
    </row>
    <row r="73" spans="1:6" ht="20.25" customHeight="1" x14ac:dyDescent="0.3">
      <c r="A73" s="235">
        <v>8</v>
      </c>
      <c r="B73" s="236" t="s">
        <v>439</v>
      </c>
      <c r="C73" s="239">
        <v>0</v>
      </c>
      <c r="D73" s="239">
        <v>0</v>
      </c>
      <c r="E73" s="239">
        <f t="shared" si="8"/>
        <v>0</v>
      </c>
      <c r="F73" s="238">
        <f t="shared" si="9"/>
        <v>0</v>
      </c>
    </row>
    <row r="74" spans="1:6" ht="20.25" customHeight="1" x14ac:dyDescent="0.3">
      <c r="A74" s="235">
        <v>9</v>
      </c>
      <c r="B74" s="236" t="s">
        <v>440</v>
      </c>
      <c r="C74" s="239">
        <v>0</v>
      </c>
      <c r="D74" s="239">
        <v>0</v>
      </c>
      <c r="E74" s="239">
        <f t="shared" si="8"/>
        <v>0</v>
      </c>
      <c r="F74" s="238">
        <f t="shared" si="9"/>
        <v>0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0</v>
      </c>
      <c r="D75" s="243">
        <f>+D66+D68</f>
        <v>0</v>
      </c>
      <c r="E75" s="243">
        <f t="shared" si="8"/>
        <v>0</v>
      </c>
      <c r="F75" s="244">
        <f t="shared" si="9"/>
        <v>0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0</v>
      </c>
      <c r="D76" s="243">
        <f>+D67+D69</f>
        <v>0</v>
      </c>
      <c r="E76" s="243">
        <f t="shared" si="8"/>
        <v>0</v>
      </c>
      <c r="F76" s="244">
        <f t="shared" si="9"/>
        <v>0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668048</v>
      </c>
      <c r="D79" s="237">
        <v>1073157</v>
      </c>
      <c r="E79" s="237">
        <f t="shared" ref="E79:E89" si="10">D79-C79</f>
        <v>405109</v>
      </c>
      <c r="F79" s="238">
        <f t="shared" ref="F79:F89" si="11">IF(C79=0,0,E79/C79)</f>
        <v>0.60640702464493568</v>
      </c>
    </row>
    <row r="80" spans="1:6" ht="20.25" customHeight="1" x14ac:dyDescent="0.3">
      <c r="A80" s="235">
        <v>2</v>
      </c>
      <c r="B80" s="236" t="s">
        <v>435</v>
      </c>
      <c r="C80" s="237">
        <v>280656</v>
      </c>
      <c r="D80" s="237">
        <v>438294</v>
      </c>
      <c r="E80" s="237">
        <f t="shared" si="10"/>
        <v>157638</v>
      </c>
      <c r="F80" s="238">
        <f t="shared" si="11"/>
        <v>0.56167692833931926</v>
      </c>
    </row>
    <row r="81" spans="1:6" ht="20.25" customHeight="1" x14ac:dyDescent="0.3">
      <c r="A81" s="235">
        <v>3</v>
      </c>
      <c r="B81" s="236" t="s">
        <v>436</v>
      </c>
      <c r="C81" s="237">
        <v>492704</v>
      </c>
      <c r="D81" s="237">
        <v>965279</v>
      </c>
      <c r="E81" s="237">
        <f t="shared" si="10"/>
        <v>472575</v>
      </c>
      <c r="F81" s="238">
        <f t="shared" si="11"/>
        <v>0.95914585633564975</v>
      </c>
    </row>
    <row r="82" spans="1:6" ht="20.25" customHeight="1" x14ac:dyDescent="0.3">
      <c r="A82" s="235">
        <v>4</v>
      </c>
      <c r="B82" s="236" t="s">
        <v>437</v>
      </c>
      <c r="C82" s="237">
        <v>108729</v>
      </c>
      <c r="D82" s="237">
        <v>330890</v>
      </c>
      <c r="E82" s="237">
        <f t="shared" si="10"/>
        <v>222161</v>
      </c>
      <c r="F82" s="238">
        <f t="shared" si="11"/>
        <v>2.0432543295716874</v>
      </c>
    </row>
    <row r="83" spans="1:6" ht="20.25" customHeight="1" x14ac:dyDescent="0.3">
      <c r="A83" s="235">
        <v>5</v>
      </c>
      <c r="B83" s="236" t="s">
        <v>373</v>
      </c>
      <c r="C83" s="239">
        <v>28</v>
      </c>
      <c r="D83" s="239">
        <v>39</v>
      </c>
      <c r="E83" s="239">
        <f t="shared" si="10"/>
        <v>11</v>
      </c>
      <c r="F83" s="238">
        <f t="shared" si="11"/>
        <v>0.39285714285714285</v>
      </c>
    </row>
    <row r="84" spans="1:6" ht="20.25" customHeight="1" x14ac:dyDescent="0.3">
      <c r="A84" s="235">
        <v>6</v>
      </c>
      <c r="B84" s="236" t="s">
        <v>372</v>
      </c>
      <c r="C84" s="239">
        <v>129</v>
      </c>
      <c r="D84" s="239">
        <v>216</v>
      </c>
      <c r="E84" s="239">
        <f t="shared" si="10"/>
        <v>87</v>
      </c>
      <c r="F84" s="238">
        <f t="shared" si="11"/>
        <v>0.67441860465116277</v>
      </c>
    </row>
    <row r="85" spans="1:6" ht="20.25" customHeight="1" x14ac:dyDescent="0.3">
      <c r="A85" s="235">
        <v>7</v>
      </c>
      <c r="B85" s="236" t="s">
        <v>438</v>
      </c>
      <c r="C85" s="239">
        <v>229</v>
      </c>
      <c r="D85" s="239">
        <v>625</v>
      </c>
      <c r="E85" s="239">
        <f t="shared" si="10"/>
        <v>396</v>
      </c>
      <c r="F85" s="238">
        <f t="shared" si="11"/>
        <v>1.7292576419213974</v>
      </c>
    </row>
    <row r="86" spans="1:6" ht="20.25" customHeight="1" x14ac:dyDescent="0.3">
      <c r="A86" s="235">
        <v>8</v>
      </c>
      <c r="B86" s="236" t="s">
        <v>439</v>
      </c>
      <c r="C86" s="239">
        <v>47</v>
      </c>
      <c r="D86" s="239">
        <v>105</v>
      </c>
      <c r="E86" s="239">
        <f t="shared" si="10"/>
        <v>58</v>
      </c>
      <c r="F86" s="238">
        <f t="shared" si="11"/>
        <v>1.2340425531914894</v>
      </c>
    </row>
    <row r="87" spans="1:6" ht="20.25" customHeight="1" x14ac:dyDescent="0.3">
      <c r="A87" s="235">
        <v>9</v>
      </c>
      <c r="B87" s="236" t="s">
        <v>440</v>
      </c>
      <c r="C87" s="239">
        <v>24</v>
      </c>
      <c r="D87" s="239">
        <v>44</v>
      </c>
      <c r="E87" s="239">
        <f t="shared" si="10"/>
        <v>20</v>
      </c>
      <c r="F87" s="238">
        <f t="shared" si="11"/>
        <v>0.83333333333333337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1160752</v>
      </c>
      <c r="D88" s="243">
        <f>+D79+D81</f>
        <v>2038436</v>
      </c>
      <c r="E88" s="243">
        <f t="shared" si="10"/>
        <v>877684</v>
      </c>
      <c r="F88" s="244">
        <f t="shared" si="11"/>
        <v>0.75613395453981558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389385</v>
      </c>
      <c r="D89" s="243">
        <f>+D80+D82</f>
        <v>769184</v>
      </c>
      <c r="E89" s="243">
        <f t="shared" si="10"/>
        <v>379799</v>
      </c>
      <c r="F89" s="244">
        <f t="shared" si="11"/>
        <v>0.97538169164194821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336220</v>
      </c>
      <c r="D92" s="237">
        <v>182316</v>
      </c>
      <c r="E92" s="237">
        <f t="shared" ref="E92:E102" si="12">D92-C92</f>
        <v>-153904</v>
      </c>
      <c r="F92" s="238">
        <f t="shared" ref="F92:F102" si="13">IF(C92=0,0,E92/C92)</f>
        <v>-0.45774790315864611</v>
      </c>
    </row>
    <row r="93" spans="1:6" ht="20.25" customHeight="1" x14ac:dyDescent="0.3">
      <c r="A93" s="235">
        <v>2</v>
      </c>
      <c r="B93" s="236" t="s">
        <v>435</v>
      </c>
      <c r="C93" s="237">
        <v>132614</v>
      </c>
      <c r="D93" s="237">
        <v>182316</v>
      </c>
      <c r="E93" s="237">
        <f t="shared" si="12"/>
        <v>49702</v>
      </c>
      <c r="F93" s="238">
        <f t="shared" si="13"/>
        <v>0.37478697573408537</v>
      </c>
    </row>
    <row r="94" spans="1:6" ht="20.25" customHeight="1" x14ac:dyDescent="0.3">
      <c r="A94" s="235">
        <v>3</v>
      </c>
      <c r="B94" s="236" t="s">
        <v>436</v>
      </c>
      <c r="C94" s="237">
        <v>747615</v>
      </c>
      <c r="D94" s="237">
        <v>359545</v>
      </c>
      <c r="E94" s="237">
        <f t="shared" si="12"/>
        <v>-388070</v>
      </c>
      <c r="F94" s="238">
        <f t="shared" si="13"/>
        <v>-0.51907733258428468</v>
      </c>
    </row>
    <row r="95" spans="1:6" ht="20.25" customHeight="1" x14ac:dyDescent="0.3">
      <c r="A95" s="235">
        <v>4</v>
      </c>
      <c r="B95" s="236" t="s">
        <v>437</v>
      </c>
      <c r="C95" s="237">
        <v>224130</v>
      </c>
      <c r="D95" s="237">
        <v>359545</v>
      </c>
      <c r="E95" s="237">
        <f t="shared" si="12"/>
        <v>135415</v>
      </c>
      <c r="F95" s="238">
        <f t="shared" si="13"/>
        <v>0.60418060946771968</v>
      </c>
    </row>
    <row r="96" spans="1:6" ht="20.25" customHeight="1" x14ac:dyDescent="0.3">
      <c r="A96" s="235">
        <v>5</v>
      </c>
      <c r="B96" s="236" t="s">
        <v>373</v>
      </c>
      <c r="C96" s="239">
        <v>13</v>
      </c>
      <c r="D96" s="239">
        <v>7</v>
      </c>
      <c r="E96" s="239">
        <f t="shared" si="12"/>
        <v>-6</v>
      </c>
      <c r="F96" s="238">
        <f t="shared" si="13"/>
        <v>-0.46153846153846156</v>
      </c>
    </row>
    <row r="97" spans="1:6" ht="20.25" customHeight="1" x14ac:dyDescent="0.3">
      <c r="A97" s="235">
        <v>6</v>
      </c>
      <c r="B97" s="236" t="s">
        <v>372</v>
      </c>
      <c r="C97" s="239">
        <v>58</v>
      </c>
      <c r="D97" s="239">
        <v>29</v>
      </c>
      <c r="E97" s="239">
        <f t="shared" si="12"/>
        <v>-29</v>
      </c>
      <c r="F97" s="238">
        <f t="shared" si="13"/>
        <v>-0.5</v>
      </c>
    </row>
    <row r="98" spans="1:6" ht="20.25" customHeight="1" x14ac:dyDescent="0.3">
      <c r="A98" s="235">
        <v>7</v>
      </c>
      <c r="B98" s="236" t="s">
        <v>438</v>
      </c>
      <c r="C98" s="239">
        <v>162</v>
      </c>
      <c r="D98" s="239">
        <v>0</v>
      </c>
      <c r="E98" s="239">
        <f t="shared" si="12"/>
        <v>-162</v>
      </c>
      <c r="F98" s="238">
        <f t="shared" si="13"/>
        <v>-1</v>
      </c>
    </row>
    <row r="99" spans="1:6" ht="20.25" customHeight="1" x14ac:dyDescent="0.3">
      <c r="A99" s="235">
        <v>8</v>
      </c>
      <c r="B99" s="236" t="s">
        <v>439</v>
      </c>
      <c r="C99" s="239">
        <v>33</v>
      </c>
      <c r="D99" s="239">
        <v>0</v>
      </c>
      <c r="E99" s="239">
        <f t="shared" si="12"/>
        <v>-33</v>
      </c>
      <c r="F99" s="238">
        <f t="shared" si="13"/>
        <v>-1</v>
      </c>
    </row>
    <row r="100" spans="1:6" ht="20.25" customHeight="1" x14ac:dyDescent="0.3">
      <c r="A100" s="235">
        <v>9</v>
      </c>
      <c r="B100" s="236" t="s">
        <v>440</v>
      </c>
      <c r="C100" s="239">
        <v>13</v>
      </c>
      <c r="D100" s="239">
        <v>0</v>
      </c>
      <c r="E100" s="239">
        <f t="shared" si="12"/>
        <v>-13</v>
      </c>
      <c r="F100" s="238">
        <f t="shared" si="13"/>
        <v>-1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1083835</v>
      </c>
      <c r="D101" s="243">
        <f>+D92+D94</f>
        <v>541861</v>
      </c>
      <c r="E101" s="243">
        <f t="shared" si="12"/>
        <v>-541974</v>
      </c>
      <c r="F101" s="244">
        <f t="shared" si="13"/>
        <v>-0.50005212970608992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356744</v>
      </c>
      <c r="D102" s="243">
        <f>+D93+D95</f>
        <v>541861</v>
      </c>
      <c r="E102" s="243">
        <f t="shared" si="12"/>
        <v>185117</v>
      </c>
      <c r="F102" s="244">
        <f t="shared" si="13"/>
        <v>0.51890711546655299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0</v>
      </c>
      <c r="D105" s="237">
        <v>0</v>
      </c>
      <c r="E105" s="237">
        <f t="shared" ref="E105:E115" si="14">D105-C105</f>
        <v>0</v>
      </c>
      <c r="F105" s="238">
        <f t="shared" ref="F105:F115" si="15">IF(C105=0,0,E105/C105)</f>
        <v>0</v>
      </c>
    </row>
    <row r="106" spans="1:6" ht="20.25" customHeight="1" x14ac:dyDescent="0.3">
      <c r="A106" s="235">
        <v>2</v>
      </c>
      <c r="B106" s="236" t="s">
        <v>435</v>
      </c>
      <c r="C106" s="237">
        <v>0</v>
      </c>
      <c r="D106" s="237">
        <v>0</v>
      </c>
      <c r="E106" s="237">
        <f t="shared" si="14"/>
        <v>0</v>
      </c>
      <c r="F106" s="238">
        <f t="shared" si="15"/>
        <v>0</v>
      </c>
    </row>
    <row r="107" spans="1:6" ht="20.25" customHeight="1" x14ac:dyDescent="0.3">
      <c r="A107" s="235">
        <v>3</v>
      </c>
      <c r="B107" s="236" t="s">
        <v>436</v>
      </c>
      <c r="C107" s="237">
        <v>0</v>
      </c>
      <c r="D107" s="237">
        <v>0</v>
      </c>
      <c r="E107" s="237">
        <f t="shared" si="14"/>
        <v>0</v>
      </c>
      <c r="F107" s="238">
        <f t="shared" si="15"/>
        <v>0</v>
      </c>
    </row>
    <row r="108" spans="1:6" ht="20.25" customHeight="1" x14ac:dyDescent="0.3">
      <c r="A108" s="235">
        <v>4</v>
      </c>
      <c r="B108" s="236" t="s">
        <v>437</v>
      </c>
      <c r="C108" s="237">
        <v>0</v>
      </c>
      <c r="D108" s="237">
        <v>0</v>
      </c>
      <c r="E108" s="237">
        <f t="shared" si="14"/>
        <v>0</v>
      </c>
      <c r="F108" s="238">
        <f t="shared" si="15"/>
        <v>0</v>
      </c>
    </row>
    <row r="109" spans="1:6" ht="20.25" customHeight="1" x14ac:dyDescent="0.3">
      <c r="A109" s="235">
        <v>5</v>
      </c>
      <c r="B109" s="236" t="s">
        <v>373</v>
      </c>
      <c r="C109" s="239">
        <v>0</v>
      </c>
      <c r="D109" s="239">
        <v>0</v>
      </c>
      <c r="E109" s="239">
        <f t="shared" si="14"/>
        <v>0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372</v>
      </c>
      <c r="C110" s="239">
        <v>0</v>
      </c>
      <c r="D110" s="239">
        <v>0</v>
      </c>
      <c r="E110" s="239">
        <f t="shared" si="14"/>
        <v>0</v>
      </c>
      <c r="F110" s="238">
        <f t="shared" si="15"/>
        <v>0</v>
      </c>
    </row>
    <row r="111" spans="1:6" ht="20.25" customHeight="1" x14ac:dyDescent="0.3">
      <c r="A111" s="235">
        <v>7</v>
      </c>
      <c r="B111" s="236" t="s">
        <v>438</v>
      </c>
      <c r="C111" s="239">
        <v>0</v>
      </c>
      <c r="D111" s="239">
        <v>0</v>
      </c>
      <c r="E111" s="239">
        <f t="shared" si="14"/>
        <v>0</v>
      </c>
      <c r="F111" s="238">
        <f t="shared" si="15"/>
        <v>0</v>
      </c>
    </row>
    <row r="112" spans="1:6" ht="20.25" customHeight="1" x14ac:dyDescent="0.3">
      <c r="A112" s="235">
        <v>8</v>
      </c>
      <c r="B112" s="236" t="s">
        <v>439</v>
      </c>
      <c r="C112" s="239">
        <v>0</v>
      </c>
      <c r="D112" s="239">
        <v>0</v>
      </c>
      <c r="E112" s="239">
        <f t="shared" si="14"/>
        <v>0</v>
      </c>
      <c r="F112" s="238">
        <f t="shared" si="15"/>
        <v>0</v>
      </c>
    </row>
    <row r="113" spans="1:6" ht="20.25" customHeight="1" x14ac:dyDescent="0.3">
      <c r="A113" s="235">
        <v>9</v>
      </c>
      <c r="B113" s="236" t="s">
        <v>440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0</v>
      </c>
      <c r="D114" s="243">
        <f>+D105+D107</f>
        <v>0</v>
      </c>
      <c r="E114" s="243">
        <f t="shared" si="14"/>
        <v>0</v>
      </c>
      <c r="F114" s="244">
        <f t="shared" si="15"/>
        <v>0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0</v>
      </c>
      <c r="D115" s="243">
        <f>+D106+D108</f>
        <v>0</v>
      </c>
      <c r="E115" s="243">
        <f t="shared" si="14"/>
        <v>0</v>
      </c>
      <c r="F115" s="244">
        <f t="shared" si="15"/>
        <v>0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287796</v>
      </c>
      <c r="D118" s="237">
        <v>978368</v>
      </c>
      <c r="E118" s="237">
        <f t="shared" ref="E118:E128" si="16">D118-C118</f>
        <v>690572</v>
      </c>
      <c r="F118" s="238">
        <f t="shared" ref="F118:F128" si="17">IF(C118=0,0,E118/C118)</f>
        <v>2.3995191038096428</v>
      </c>
    </row>
    <row r="119" spans="1:6" ht="20.25" customHeight="1" x14ac:dyDescent="0.3">
      <c r="A119" s="235">
        <v>2</v>
      </c>
      <c r="B119" s="236" t="s">
        <v>435</v>
      </c>
      <c r="C119" s="237">
        <v>67857</v>
      </c>
      <c r="D119" s="237">
        <v>318231</v>
      </c>
      <c r="E119" s="237">
        <f t="shared" si="16"/>
        <v>250374</v>
      </c>
      <c r="F119" s="238">
        <f t="shared" si="17"/>
        <v>3.6897298731155224</v>
      </c>
    </row>
    <row r="120" spans="1:6" ht="20.25" customHeight="1" x14ac:dyDescent="0.3">
      <c r="A120" s="235">
        <v>3</v>
      </c>
      <c r="B120" s="236" t="s">
        <v>436</v>
      </c>
      <c r="C120" s="237">
        <v>334693</v>
      </c>
      <c r="D120" s="237">
        <v>789509</v>
      </c>
      <c r="E120" s="237">
        <f t="shared" si="16"/>
        <v>454816</v>
      </c>
      <c r="F120" s="238">
        <f t="shared" si="17"/>
        <v>1.3589050263973252</v>
      </c>
    </row>
    <row r="121" spans="1:6" ht="20.25" customHeight="1" x14ac:dyDescent="0.3">
      <c r="A121" s="235">
        <v>4</v>
      </c>
      <c r="B121" s="236" t="s">
        <v>437</v>
      </c>
      <c r="C121" s="237">
        <v>58880</v>
      </c>
      <c r="D121" s="237">
        <v>131592</v>
      </c>
      <c r="E121" s="237">
        <f t="shared" si="16"/>
        <v>72712</v>
      </c>
      <c r="F121" s="238">
        <f t="shared" si="17"/>
        <v>1.2349184782608695</v>
      </c>
    </row>
    <row r="122" spans="1:6" ht="20.25" customHeight="1" x14ac:dyDescent="0.3">
      <c r="A122" s="235">
        <v>5</v>
      </c>
      <c r="B122" s="236" t="s">
        <v>373</v>
      </c>
      <c r="C122" s="239">
        <v>9</v>
      </c>
      <c r="D122" s="239">
        <v>33</v>
      </c>
      <c r="E122" s="239">
        <f t="shared" si="16"/>
        <v>24</v>
      </c>
      <c r="F122" s="238">
        <f t="shared" si="17"/>
        <v>2.6666666666666665</v>
      </c>
    </row>
    <row r="123" spans="1:6" ht="20.25" customHeight="1" x14ac:dyDescent="0.3">
      <c r="A123" s="235">
        <v>6</v>
      </c>
      <c r="B123" s="236" t="s">
        <v>372</v>
      </c>
      <c r="C123" s="239">
        <v>46</v>
      </c>
      <c r="D123" s="239">
        <v>109</v>
      </c>
      <c r="E123" s="239">
        <f t="shared" si="16"/>
        <v>63</v>
      </c>
      <c r="F123" s="238">
        <f t="shared" si="17"/>
        <v>1.3695652173913044</v>
      </c>
    </row>
    <row r="124" spans="1:6" ht="20.25" customHeight="1" x14ac:dyDescent="0.3">
      <c r="A124" s="235">
        <v>7</v>
      </c>
      <c r="B124" s="236" t="s">
        <v>438</v>
      </c>
      <c r="C124" s="239">
        <v>196</v>
      </c>
      <c r="D124" s="239">
        <v>451</v>
      </c>
      <c r="E124" s="239">
        <f t="shared" si="16"/>
        <v>255</v>
      </c>
      <c r="F124" s="238">
        <f t="shared" si="17"/>
        <v>1.3010204081632653</v>
      </c>
    </row>
    <row r="125" spans="1:6" ht="20.25" customHeight="1" x14ac:dyDescent="0.3">
      <c r="A125" s="235">
        <v>8</v>
      </c>
      <c r="B125" s="236" t="s">
        <v>439</v>
      </c>
      <c r="C125" s="239">
        <v>31</v>
      </c>
      <c r="D125" s="239">
        <v>50</v>
      </c>
      <c r="E125" s="239">
        <f t="shared" si="16"/>
        <v>19</v>
      </c>
      <c r="F125" s="238">
        <f t="shared" si="17"/>
        <v>0.61290322580645162</v>
      </c>
    </row>
    <row r="126" spans="1:6" ht="20.25" customHeight="1" x14ac:dyDescent="0.3">
      <c r="A126" s="235">
        <v>9</v>
      </c>
      <c r="B126" s="236" t="s">
        <v>440</v>
      </c>
      <c r="C126" s="239">
        <v>7</v>
      </c>
      <c r="D126" s="239">
        <v>23</v>
      </c>
      <c r="E126" s="239">
        <f t="shared" si="16"/>
        <v>16</v>
      </c>
      <c r="F126" s="238">
        <f t="shared" si="17"/>
        <v>2.2857142857142856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622489</v>
      </c>
      <c r="D127" s="243">
        <f>+D118+D120</f>
        <v>1767877</v>
      </c>
      <c r="E127" s="243">
        <f t="shared" si="16"/>
        <v>1145388</v>
      </c>
      <c r="F127" s="244">
        <f t="shared" si="17"/>
        <v>1.8400132371817013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126737</v>
      </c>
      <c r="D128" s="243">
        <f>+D119+D121</f>
        <v>449823</v>
      </c>
      <c r="E128" s="243">
        <f t="shared" si="16"/>
        <v>323086</v>
      </c>
      <c r="F128" s="244">
        <f t="shared" si="17"/>
        <v>2.549263435303029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0</v>
      </c>
      <c r="D131" s="237">
        <v>451320</v>
      </c>
      <c r="E131" s="237">
        <f t="shared" ref="E131:E141" si="18">D131-C131</f>
        <v>451320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435</v>
      </c>
      <c r="C132" s="237">
        <v>0</v>
      </c>
      <c r="D132" s="237">
        <v>451320</v>
      </c>
      <c r="E132" s="237">
        <f t="shared" si="18"/>
        <v>451320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436</v>
      </c>
      <c r="C133" s="237">
        <v>0</v>
      </c>
      <c r="D133" s="237">
        <v>45001</v>
      </c>
      <c r="E133" s="237">
        <f t="shared" si="18"/>
        <v>45001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437</v>
      </c>
      <c r="C134" s="237">
        <v>0</v>
      </c>
      <c r="D134" s="237">
        <v>45001</v>
      </c>
      <c r="E134" s="237">
        <f t="shared" si="18"/>
        <v>45001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373</v>
      </c>
      <c r="C135" s="239">
        <v>0</v>
      </c>
      <c r="D135" s="239">
        <v>7</v>
      </c>
      <c r="E135" s="239">
        <f t="shared" si="18"/>
        <v>7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0</v>
      </c>
      <c r="D136" s="239">
        <v>59</v>
      </c>
      <c r="E136" s="239">
        <f t="shared" si="18"/>
        <v>59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0</v>
      </c>
      <c r="D137" s="239">
        <v>9</v>
      </c>
      <c r="E137" s="239">
        <f t="shared" si="18"/>
        <v>9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439</v>
      </c>
      <c r="C138" s="239">
        <v>0</v>
      </c>
      <c r="D138" s="239">
        <v>13</v>
      </c>
      <c r="E138" s="239">
        <f t="shared" si="18"/>
        <v>13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7</v>
      </c>
      <c r="E139" s="239">
        <f t="shared" si="18"/>
        <v>7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0</v>
      </c>
      <c r="D140" s="243">
        <f>+D131+D133</f>
        <v>496321</v>
      </c>
      <c r="E140" s="243">
        <f t="shared" si="18"/>
        <v>496321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0</v>
      </c>
      <c r="D141" s="243">
        <f>+D132+D134</f>
        <v>496321</v>
      </c>
      <c r="E141" s="243">
        <f t="shared" si="18"/>
        <v>496321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0</v>
      </c>
      <c r="D183" s="237">
        <v>840408</v>
      </c>
      <c r="E183" s="237">
        <f t="shared" ref="E183:E193" si="26">D183-C183</f>
        <v>840408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435</v>
      </c>
      <c r="C184" s="237">
        <v>0</v>
      </c>
      <c r="D184" s="237">
        <v>200123</v>
      </c>
      <c r="E184" s="237">
        <f t="shared" si="26"/>
        <v>200123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436</v>
      </c>
      <c r="C185" s="237">
        <v>0</v>
      </c>
      <c r="D185" s="237">
        <v>764517</v>
      </c>
      <c r="E185" s="237">
        <f t="shared" si="26"/>
        <v>764517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437</v>
      </c>
      <c r="C186" s="237">
        <v>0</v>
      </c>
      <c r="D186" s="237">
        <v>124361</v>
      </c>
      <c r="E186" s="237">
        <f t="shared" si="26"/>
        <v>124361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373</v>
      </c>
      <c r="C187" s="239">
        <v>0</v>
      </c>
      <c r="D187" s="239">
        <v>29</v>
      </c>
      <c r="E187" s="239">
        <f t="shared" si="26"/>
        <v>29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372</v>
      </c>
      <c r="C188" s="239">
        <v>0</v>
      </c>
      <c r="D188" s="239">
        <v>128</v>
      </c>
      <c r="E188" s="239">
        <f t="shared" si="26"/>
        <v>128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438</v>
      </c>
      <c r="C189" s="239">
        <v>0</v>
      </c>
      <c r="D189" s="239">
        <v>374</v>
      </c>
      <c r="E189" s="239">
        <f t="shared" si="26"/>
        <v>374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439</v>
      </c>
      <c r="C190" s="239">
        <v>0</v>
      </c>
      <c r="D190" s="239">
        <v>65</v>
      </c>
      <c r="E190" s="239">
        <f t="shared" si="26"/>
        <v>65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440</v>
      </c>
      <c r="C191" s="239">
        <v>0</v>
      </c>
      <c r="D191" s="239">
        <v>27</v>
      </c>
      <c r="E191" s="239">
        <f t="shared" si="26"/>
        <v>27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0</v>
      </c>
      <c r="D192" s="243">
        <f>+D183+D185</f>
        <v>1604925</v>
      </c>
      <c r="E192" s="243">
        <f t="shared" si="26"/>
        <v>1604925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0</v>
      </c>
      <c r="D193" s="243">
        <f>+D184+D186</f>
        <v>324484</v>
      </c>
      <c r="E193" s="243">
        <f t="shared" si="26"/>
        <v>324484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9" t="s">
        <v>44</v>
      </c>
      <c r="B195" s="690" t="s">
        <v>459</v>
      </c>
      <c r="C195" s="692"/>
      <c r="D195" s="693"/>
      <c r="E195" s="693"/>
      <c r="F195" s="694"/>
      <c r="G195" s="674"/>
      <c r="H195" s="674"/>
      <c r="I195" s="674"/>
    </row>
    <row r="196" spans="1:9" ht="20.25" customHeight="1" x14ac:dyDescent="0.3">
      <c r="A196" s="680"/>
      <c r="B196" s="691"/>
      <c r="C196" s="686"/>
      <c r="D196" s="687"/>
      <c r="E196" s="687"/>
      <c r="F196" s="688"/>
      <c r="G196" s="674"/>
      <c r="H196" s="674"/>
      <c r="I196" s="67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29549653</v>
      </c>
      <c r="D198" s="243">
        <f t="shared" si="28"/>
        <v>30619898</v>
      </c>
      <c r="E198" s="243">
        <f t="shared" ref="E198:E208" si="29">D198-C198</f>
        <v>1070245</v>
      </c>
      <c r="F198" s="251">
        <f t="shared" ref="F198:F208" si="30">IF(C198=0,0,E198/C198)</f>
        <v>3.6218530214212667E-2</v>
      </c>
    </row>
    <row r="199" spans="1:9" ht="20.25" customHeight="1" x14ac:dyDescent="0.3">
      <c r="A199" s="249"/>
      <c r="B199" s="250" t="s">
        <v>461</v>
      </c>
      <c r="C199" s="243">
        <f t="shared" si="28"/>
        <v>9522970</v>
      </c>
      <c r="D199" s="243">
        <f t="shared" si="28"/>
        <v>9063248</v>
      </c>
      <c r="E199" s="243">
        <f t="shared" si="29"/>
        <v>-459722</v>
      </c>
      <c r="F199" s="251">
        <f t="shared" si="30"/>
        <v>-4.8275065447019157E-2</v>
      </c>
    </row>
    <row r="200" spans="1:9" ht="20.25" customHeight="1" x14ac:dyDescent="0.3">
      <c r="A200" s="249"/>
      <c r="B200" s="250" t="s">
        <v>462</v>
      </c>
      <c r="C200" s="243">
        <f t="shared" si="28"/>
        <v>17213295</v>
      </c>
      <c r="D200" s="243">
        <f t="shared" si="28"/>
        <v>20193889</v>
      </c>
      <c r="E200" s="243">
        <f t="shared" si="29"/>
        <v>2980594</v>
      </c>
      <c r="F200" s="251">
        <f t="shared" si="30"/>
        <v>0.17315650489926537</v>
      </c>
    </row>
    <row r="201" spans="1:9" ht="20.25" customHeight="1" x14ac:dyDescent="0.3">
      <c r="A201" s="249"/>
      <c r="B201" s="250" t="s">
        <v>463</v>
      </c>
      <c r="C201" s="243">
        <f t="shared" si="28"/>
        <v>3983051</v>
      </c>
      <c r="D201" s="243">
        <f t="shared" si="28"/>
        <v>4199489</v>
      </c>
      <c r="E201" s="243">
        <f t="shared" si="29"/>
        <v>216438</v>
      </c>
      <c r="F201" s="251">
        <f t="shared" si="30"/>
        <v>5.4339751110392513E-2</v>
      </c>
    </row>
    <row r="202" spans="1:9" ht="20.25" customHeight="1" x14ac:dyDescent="0.3">
      <c r="A202" s="249"/>
      <c r="B202" s="250" t="s">
        <v>464</v>
      </c>
      <c r="C202" s="252">
        <f t="shared" si="28"/>
        <v>987</v>
      </c>
      <c r="D202" s="252">
        <f t="shared" si="28"/>
        <v>1014</v>
      </c>
      <c r="E202" s="252">
        <f t="shared" si="29"/>
        <v>27</v>
      </c>
      <c r="F202" s="251">
        <f t="shared" si="30"/>
        <v>2.7355623100303952E-2</v>
      </c>
    </row>
    <row r="203" spans="1:9" ht="20.25" customHeight="1" x14ac:dyDescent="0.3">
      <c r="A203" s="249"/>
      <c r="B203" s="250" t="s">
        <v>465</v>
      </c>
      <c r="C203" s="252">
        <f t="shared" si="28"/>
        <v>5078</v>
      </c>
      <c r="D203" s="252">
        <f t="shared" si="28"/>
        <v>4777</v>
      </c>
      <c r="E203" s="252">
        <f t="shared" si="29"/>
        <v>-301</v>
      </c>
      <c r="F203" s="251">
        <f t="shared" si="30"/>
        <v>-5.927530523828279E-2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9659</v>
      </c>
      <c r="D204" s="252">
        <f t="shared" si="28"/>
        <v>11526</v>
      </c>
      <c r="E204" s="252">
        <f t="shared" si="29"/>
        <v>1867</v>
      </c>
      <c r="F204" s="251">
        <f t="shared" si="30"/>
        <v>0.19329123097629153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1390</v>
      </c>
      <c r="D205" s="252">
        <f t="shared" si="28"/>
        <v>1509</v>
      </c>
      <c r="E205" s="252">
        <f t="shared" si="29"/>
        <v>119</v>
      </c>
      <c r="F205" s="251">
        <f t="shared" si="30"/>
        <v>8.5611510791366904E-2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876</v>
      </c>
      <c r="D206" s="252">
        <f t="shared" si="28"/>
        <v>904</v>
      </c>
      <c r="E206" s="252">
        <f t="shared" si="29"/>
        <v>28</v>
      </c>
      <c r="F206" s="251">
        <f t="shared" si="30"/>
        <v>3.1963470319634701E-2</v>
      </c>
    </row>
    <row r="207" spans="1:9" ht="20.25" customHeight="1" x14ac:dyDescent="0.3">
      <c r="A207" s="249"/>
      <c r="B207" s="242" t="s">
        <v>469</v>
      </c>
      <c r="C207" s="243">
        <f>+C198+C200</f>
        <v>46762948</v>
      </c>
      <c r="D207" s="243">
        <f>+D198+D200</f>
        <v>50813787</v>
      </c>
      <c r="E207" s="243">
        <f t="shared" si="29"/>
        <v>4050839</v>
      </c>
      <c r="F207" s="251">
        <f t="shared" si="30"/>
        <v>8.6624970692609035E-2</v>
      </c>
    </row>
    <row r="208" spans="1:9" ht="20.25" customHeight="1" x14ac:dyDescent="0.3">
      <c r="A208" s="249"/>
      <c r="B208" s="242" t="s">
        <v>470</v>
      </c>
      <c r="C208" s="243">
        <f>+C199+C201</f>
        <v>13506021</v>
      </c>
      <c r="D208" s="243">
        <f>+D199+D201</f>
        <v>13262737</v>
      </c>
      <c r="E208" s="243">
        <f t="shared" si="29"/>
        <v>-243284</v>
      </c>
      <c r="F208" s="251">
        <f t="shared" si="30"/>
        <v>-1.801300323759307E-2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2" orientation="portrait" r:id="rId1"/>
  <headerFooter>
    <oddHeader>&amp;LOFFICE OF HEALTH CARE ACCESS&amp;CTWELVE MONTHS ACTUAL FILING&amp;RGRIFFIN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5" t="s">
        <v>0</v>
      </c>
      <c r="B2" s="675"/>
      <c r="C2" s="675"/>
      <c r="D2" s="675"/>
      <c r="E2" s="675"/>
      <c r="F2" s="675"/>
    </row>
    <row r="3" spans="1:7" ht="20.25" customHeight="1" x14ac:dyDescent="0.3">
      <c r="A3" s="675" t="s">
        <v>1</v>
      </c>
      <c r="B3" s="675"/>
      <c r="C3" s="675"/>
      <c r="D3" s="675"/>
      <c r="E3" s="675"/>
      <c r="F3" s="675"/>
    </row>
    <row r="4" spans="1:7" ht="20.25" customHeight="1" x14ac:dyDescent="0.3">
      <c r="A4" s="675" t="s">
        <v>2</v>
      </c>
      <c r="B4" s="675"/>
      <c r="C4" s="675"/>
      <c r="D4" s="675"/>
      <c r="E4" s="675"/>
      <c r="F4" s="675"/>
    </row>
    <row r="5" spans="1:7" ht="20.25" customHeight="1" x14ac:dyDescent="0.3">
      <c r="A5" s="675" t="s">
        <v>471</v>
      </c>
      <c r="B5" s="675"/>
      <c r="C5" s="675"/>
      <c r="D5" s="675"/>
      <c r="E5" s="675"/>
      <c r="F5" s="67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9" t="s">
        <v>12</v>
      </c>
      <c r="B10" s="690" t="s">
        <v>115</v>
      </c>
      <c r="C10" s="692"/>
      <c r="D10" s="693"/>
      <c r="E10" s="693"/>
      <c r="F10" s="694"/>
    </row>
    <row r="11" spans="1:7" ht="20.25" customHeight="1" x14ac:dyDescent="0.3">
      <c r="A11" s="680"/>
      <c r="B11" s="691"/>
      <c r="C11" s="686"/>
      <c r="D11" s="687"/>
      <c r="E11" s="687"/>
      <c r="F11" s="688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967214</v>
      </c>
      <c r="D14" s="237">
        <v>0</v>
      </c>
      <c r="E14" s="237">
        <f t="shared" ref="E14:E24" si="0">D14-C14</f>
        <v>-967214</v>
      </c>
      <c r="F14" s="238">
        <f t="shared" ref="F14:F24" si="1">IF(C14=0,0,E14/C14)</f>
        <v>-1</v>
      </c>
    </row>
    <row r="15" spans="1:7" ht="20.25" customHeight="1" x14ac:dyDescent="0.3">
      <c r="A15" s="235">
        <v>2</v>
      </c>
      <c r="B15" s="236" t="s">
        <v>435</v>
      </c>
      <c r="C15" s="237">
        <v>324017</v>
      </c>
      <c r="D15" s="237">
        <v>0</v>
      </c>
      <c r="E15" s="237">
        <f t="shared" si="0"/>
        <v>-324017</v>
      </c>
      <c r="F15" s="238">
        <f t="shared" si="1"/>
        <v>-1</v>
      </c>
    </row>
    <row r="16" spans="1:7" ht="20.25" customHeight="1" x14ac:dyDescent="0.3">
      <c r="A16" s="235">
        <v>3</v>
      </c>
      <c r="B16" s="236" t="s">
        <v>436</v>
      </c>
      <c r="C16" s="237">
        <v>1663328</v>
      </c>
      <c r="D16" s="237">
        <v>0</v>
      </c>
      <c r="E16" s="237">
        <f t="shared" si="0"/>
        <v>-1663328</v>
      </c>
      <c r="F16" s="238">
        <f t="shared" si="1"/>
        <v>-1</v>
      </c>
    </row>
    <row r="17" spans="1:6" ht="20.25" customHeight="1" x14ac:dyDescent="0.3">
      <c r="A17" s="235">
        <v>4</v>
      </c>
      <c r="B17" s="236" t="s">
        <v>437</v>
      </c>
      <c r="C17" s="237">
        <v>396532</v>
      </c>
      <c r="D17" s="237">
        <v>0</v>
      </c>
      <c r="E17" s="237">
        <f t="shared" si="0"/>
        <v>-396532</v>
      </c>
      <c r="F17" s="238">
        <f t="shared" si="1"/>
        <v>-1</v>
      </c>
    </row>
    <row r="18" spans="1:6" ht="20.25" customHeight="1" x14ac:dyDescent="0.3">
      <c r="A18" s="235">
        <v>5</v>
      </c>
      <c r="B18" s="236" t="s">
        <v>373</v>
      </c>
      <c r="C18" s="239">
        <v>98</v>
      </c>
      <c r="D18" s="239">
        <v>0</v>
      </c>
      <c r="E18" s="239">
        <f t="shared" si="0"/>
        <v>-98</v>
      </c>
      <c r="F18" s="238">
        <f t="shared" si="1"/>
        <v>-1</v>
      </c>
    </row>
    <row r="19" spans="1:6" ht="20.25" customHeight="1" x14ac:dyDescent="0.3">
      <c r="A19" s="235">
        <v>6</v>
      </c>
      <c r="B19" s="236" t="s">
        <v>372</v>
      </c>
      <c r="C19" s="239">
        <v>255</v>
      </c>
      <c r="D19" s="239">
        <v>0</v>
      </c>
      <c r="E19" s="239">
        <f t="shared" si="0"/>
        <v>-255</v>
      </c>
      <c r="F19" s="238">
        <f t="shared" si="1"/>
        <v>-1</v>
      </c>
    </row>
    <row r="20" spans="1:6" ht="20.25" customHeight="1" x14ac:dyDescent="0.3">
      <c r="A20" s="235">
        <v>7</v>
      </c>
      <c r="B20" s="236" t="s">
        <v>438</v>
      </c>
      <c r="C20" s="239">
        <v>525</v>
      </c>
      <c r="D20" s="239">
        <v>0</v>
      </c>
      <c r="E20" s="239">
        <f t="shared" si="0"/>
        <v>-525</v>
      </c>
      <c r="F20" s="238">
        <f t="shared" si="1"/>
        <v>-1</v>
      </c>
    </row>
    <row r="21" spans="1:6" ht="20.25" customHeight="1" x14ac:dyDescent="0.3">
      <c r="A21" s="235">
        <v>8</v>
      </c>
      <c r="B21" s="236" t="s">
        <v>439</v>
      </c>
      <c r="C21" s="239">
        <v>832</v>
      </c>
      <c r="D21" s="239">
        <v>0</v>
      </c>
      <c r="E21" s="239">
        <f t="shared" si="0"/>
        <v>-832</v>
      </c>
      <c r="F21" s="238">
        <f t="shared" si="1"/>
        <v>-1</v>
      </c>
    </row>
    <row r="22" spans="1:6" ht="20.25" customHeight="1" x14ac:dyDescent="0.3">
      <c r="A22" s="235">
        <v>9</v>
      </c>
      <c r="B22" s="236" t="s">
        <v>440</v>
      </c>
      <c r="C22" s="239">
        <v>19</v>
      </c>
      <c r="D22" s="239">
        <v>0</v>
      </c>
      <c r="E22" s="239">
        <f t="shared" si="0"/>
        <v>-19</v>
      </c>
      <c r="F22" s="238">
        <f t="shared" si="1"/>
        <v>-1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2630542</v>
      </c>
      <c r="D23" s="243">
        <f>+D14+D16</f>
        <v>0</v>
      </c>
      <c r="E23" s="243">
        <f t="shared" si="0"/>
        <v>-2630542</v>
      </c>
      <c r="F23" s="244">
        <f t="shared" si="1"/>
        <v>-1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720549</v>
      </c>
      <c r="D24" s="243">
        <f>+D15+D17</f>
        <v>0</v>
      </c>
      <c r="E24" s="243">
        <f t="shared" si="0"/>
        <v>-720549</v>
      </c>
      <c r="F24" s="244">
        <f t="shared" si="1"/>
        <v>-1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3832742</v>
      </c>
      <c r="D26" s="237">
        <v>4587322</v>
      </c>
      <c r="E26" s="237">
        <f t="shared" ref="E26:E36" si="2">D26-C26</f>
        <v>754580</v>
      </c>
      <c r="F26" s="238">
        <f t="shared" ref="F26:F36" si="3">IF(C26=0,0,E26/C26)</f>
        <v>0.19687732698939819</v>
      </c>
    </row>
    <row r="27" spans="1:6" ht="20.25" customHeight="1" x14ac:dyDescent="0.3">
      <c r="A27" s="235">
        <v>2</v>
      </c>
      <c r="B27" s="236" t="s">
        <v>435</v>
      </c>
      <c r="C27" s="237">
        <v>1283970</v>
      </c>
      <c r="D27" s="237">
        <v>1115480</v>
      </c>
      <c r="E27" s="237">
        <f t="shared" si="2"/>
        <v>-168490</v>
      </c>
      <c r="F27" s="238">
        <f t="shared" si="3"/>
        <v>-0.13122580745656051</v>
      </c>
    </row>
    <row r="28" spans="1:6" ht="20.25" customHeight="1" x14ac:dyDescent="0.3">
      <c r="A28" s="235">
        <v>3</v>
      </c>
      <c r="B28" s="236" t="s">
        <v>436</v>
      </c>
      <c r="C28" s="237">
        <v>5356251</v>
      </c>
      <c r="D28" s="237">
        <v>7864691</v>
      </c>
      <c r="E28" s="237">
        <f t="shared" si="2"/>
        <v>2508440</v>
      </c>
      <c r="F28" s="238">
        <f t="shared" si="3"/>
        <v>0.46832009926345869</v>
      </c>
    </row>
    <row r="29" spans="1:6" ht="20.25" customHeight="1" x14ac:dyDescent="0.3">
      <c r="A29" s="235">
        <v>4</v>
      </c>
      <c r="B29" s="236" t="s">
        <v>437</v>
      </c>
      <c r="C29" s="237">
        <v>1276913</v>
      </c>
      <c r="D29" s="237">
        <v>1780669</v>
      </c>
      <c r="E29" s="237">
        <f t="shared" si="2"/>
        <v>503756</v>
      </c>
      <c r="F29" s="238">
        <f t="shared" si="3"/>
        <v>0.39451082415168459</v>
      </c>
    </row>
    <row r="30" spans="1:6" ht="20.25" customHeight="1" x14ac:dyDescent="0.3">
      <c r="A30" s="235">
        <v>5</v>
      </c>
      <c r="B30" s="236" t="s">
        <v>373</v>
      </c>
      <c r="C30" s="239">
        <v>339</v>
      </c>
      <c r="D30" s="239">
        <v>404</v>
      </c>
      <c r="E30" s="239">
        <f t="shared" si="2"/>
        <v>65</v>
      </c>
      <c r="F30" s="238">
        <f t="shared" si="3"/>
        <v>0.19174041297935104</v>
      </c>
    </row>
    <row r="31" spans="1:6" ht="20.25" customHeight="1" x14ac:dyDescent="0.3">
      <c r="A31" s="235">
        <v>6</v>
      </c>
      <c r="B31" s="236" t="s">
        <v>372</v>
      </c>
      <c r="C31" s="239">
        <v>1131</v>
      </c>
      <c r="D31" s="239">
        <v>1266</v>
      </c>
      <c r="E31" s="239">
        <f t="shared" si="2"/>
        <v>135</v>
      </c>
      <c r="F31" s="238">
        <f t="shared" si="3"/>
        <v>0.11936339522546419</v>
      </c>
    </row>
    <row r="32" spans="1:6" ht="20.25" customHeight="1" x14ac:dyDescent="0.3">
      <c r="A32" s="235">
        <v>7</v>
      </c>
      <c r="B32" s="236" t="s">
        <v>438</v>
      </c>
      <c r="C32" s="239">
        <v>2744</v>
      </c>
      <c r="D32" s="239">
        <v>2708</v>
      </c>
      <c r="E32" s="239">
        <f t="shared" si="2"/>
        <v>-36</v>
      </c>
      <c r="F32" s="238">
        <f t="shared" si="3"/>
        <v>-1.3119533527696793E-2</v>
      </c>
    </row>
    <row r="33" spans="1:6" ht="20.25" customHeight="1" x14ac:dyDescent="0.3">
      <c r="A33" s="235">
        <v>8</v>
      </c>
      <c r="B33" s="236" t="s">
        <v>439</v>
      </c>
      <c r="C33" s="239">
        <v>3094</v>
      </c>
      <c r="D33" s="239">
        <v>3513</v>
      </c>
      <c r="E33" s="239">
        <f t="shared" si="2"/>
        <v>419</v>
      </c>
      <c r="F33" s="238">
        <f t="shared" si="3"/>
        <v>0.13542340012928247</v>
      </c>
    </row>
    <row r="34" spans="1:6" ht="20.25" customHeight="1" x14ac:dyDescent="0.3">
      <c r="A34" s="235">
        <v>9</v>
      </c>
      <c r="B34" s="236" t="s">
        <v>440</v>
      </c>
      <c r="C34" s="239">
        <v>140</v>
      </c>
      <c r="D34" s="239">
        <v>85</v>
      </c>
      <c r="E34" s="239">
        <f t="shared" si="2"/>
        <v>-55</v>
      </c>
      <c r="F34" s="238">
        <f t="shared" si="3"/>
        <v>-0.39285714285714285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9188993</v>
      </c>
      <c r="D35" s="243">
        <f>+D26+D28</f>
        <v>12452013</v>
      </c>
      <c r="E35" s="243">
        <f t="shared" si="2"/>
        <v>3263020</v>
      </c>
      <c r="F35" s="244">
        <f t="shared" si="3"/>
        <v>0.35510093434612477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2560883</v>
      </c>
      <c r="D36" s="243">
        <f>+D27+D29</f>
        <v>2896149</v>
      </c>
      <c r="E36" s="243">
        <f t="shared" si="2"/>
        <v>335266</v>
      </c>
      <c r="F36" s="244">
        <f t="shared" si="3"/>
        <v>0.13091812472494838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0</v>
      </c>
      <c r="D50" s="237">
        <v>0</v>
      </c>
      <c r="E50" s="237">
        <f t="shared" ref="E50:E60" si="6">D50-C50</f>
        <v>0</v>
      </c>
      <c r="F50" s="238">
        <f t="shared" ref="F50:F60" si="7">IF(C50=0,0,E50/C50)</f>
        <v>0</v>
      </c>
    </row>
    <row r="51" spans="1:6" ht="20.25" customHeight="1" x14ac:dyDescent="0.3">
      <c r="A51" s="235">
        <v>2</v>
      </c>
      <c r="B51" s="236" t="s">
        <v>435</v>
      </c>
      <c r="C51" s="237">
        <v>0</v>
      </c>
      <c r="D51" s="237">
        <v>0</v>
      </c>
      <c r="E51" s="237">
        <f t="shared" si="6"/>
        <v>0</v>
      </c>
      <c r="F51" s="238">
        <f t="shared" si="7"/>
        <v>0</v>
      </c>
    </row>
    <row r="52" spans="1:6" ht="20.25" customHeight="1" x14ac:dyDescent="0.3">
      <c r="A52" s="235">
        <v>3</v>
      </c>
      <c r="B52" s="236" t="s">
        <v>436</v>
      </c>
      <c r="C52" s="237">
        <v>0</v>
      </c>
      <c r="D52" s="237">
        <v>0</v>
      </c>
      <c r="E52" s="237">
        <f t="shared" si="6"/>
        <v>0</v>
      </c>
      <c r="F52" s="238">
        <f t="shared" si="7"/>
        <v>0</v>
      </c>
    </row>
    <row r="53" spans="1:6" ht="20.25" customHeight="1" x14ac:dyDescent="0.3">
      <c r="A53" s="235">
        <v>4</v>
      </c>
      <c r="B53" s="236" t="s">
        <v>437</v>
      </c>
      <c r="C53" s="237">
        <v>0</v>
      </c>
      <c r="D53" s="237">
        <v>0</v>
      </c>
      <c r="E53" s="237">
        <f t="shared" si="6"/>
        <v>0</v>
      </c>
      <c r="F53" s="238">
        <f t="shared" si="7"/>
        <v>0</v>
      </c>
    </row>
    <row r="54" spans="1:6" ht="20.25" customHeight="1" x14ac:dyDescent="0.3">
      <c r="A54" s="235">
        <v>5</v>
      </c>
      <c r="B54" s="236" t="s">
        <v>373</v>
      </c>
      <c r="C54" s="239">
        <v>0</v>
      </c>
      <c r="D54" s="239">
        <v>0</v>
      </c>
      <c r="E54" s="239">
        <f t="shared" si="6"/>
        <v>0</v>
      </c>
      <c r="F54" s="238">
        <f t="shared" si="7"/>
        <v>0</v>
      </c>
    </row>
    <row r="55" spans="1:6" ht="20.25" customHeight="1" x14ac:dyDescent="0.3">
      <c r="A55" s="235">
        <v>6</v>
      </c>
      <c r="B55" s="236" t="s">
        <v>372</v>
      </c>
      <c r="C55" s="239">
        <v>0</v>
      </c>
      <c r="D55" s="239">
        <v>0</v>
      </c>
      <c r="E55" s="239">
        <f t="shared" si="6"/>
        <v>0</v>
      </c>
      <c r="F55" s="238">
        <f t="shared" si="7"/>
        <v>0</v>
      </c>
    </row>
    <row r="56" spans="1:6" ht="20.25" customHeight="1" x14ac:dyDescent="0.3">
      <c r="A56" s="235">
        <v>7</v>
      </c>
      <c r="B56" s="236" t="s">
        <v>438</v>
      </c>
      <c r="C56" s="239">
        <v>0</v>
      </c>
      <c r="D56" s="239">
        <v>0</v>
      </c>
      <c r="E56" s="239">
        <f t="shared" si="6"/>
        <v>0</v>
      </c>
      <c r="F56" s="238">
        <f t="shared" si="7"/>
        <v>0</v>
      </c>
    </row>
    <row r="57" spans="1:6" ht="20.25" customHeight="1" x14ac:dyDescent="0.3">
      <c r="A57" s="235">
        <v>8</v>
      </c>
      <c r="B57" s="236" t="s">
        <v>439</v>
      </c>
      <c r="C57" s="239">
        <v>0</v>
      </c>
      <c r="D57" s="239">
        <v>0</v>
      </c>
      <c r="E57" s="239">
        <f t="shared" si="6"/>
        <v>0</v>
      </c>
      <c r="F57" s="238">
        <f t="shared" si="7"/>
        <v>0</v>
      </c>
    </row>
    <row r="58" spans="1:6" ht="20.25" customHeight="1" x14ac:dyDescent="0.3">
      <c r="A58" s="235">
        <v>9</v>
      </c>
      <c r="B58" s="236" t="s">
        <v>440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0</v>
      </c>
      <c r="D59" s="243">
        <f>+D50+D52</f>
        <v>0</v>
      </c>
      <c r="E59" s="243">
        <f t="shared" si="6"/>
        <v>0</v>
      </c>
      <c r="F59" s="244">
        <f t="shared" si="7"/>
        <v>0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0</v>
      </c>
      <c r="D60" s="243">
        <f>+D51+D53</f>
        <v>0</v>
      </c>
      <c r="E60" s="243">
        <f t="shared" si="6"/>
        <v>0</v>
      </c>
      <c r="F60" s="244">
        <f t="shared" si="7"/>
        <v>0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710269</v>
      </c>
      <c r="D86" s="237">
        <v>1511773</v>
      </c>
      <c r="E86" s="237">
        <f t="shared" ref="E86:E96" si="12">D86-C86</f>
        <v>801504</v>
      </c>
      <c r="F86" s="238">
        <f t="shared" ref="F86:F96" si="13">IF(C86=0,0,E86/C86)</f>
        <v>1.1284513332272703</v>
      </c>
    </row>
    <row r="87" spans="1:6" ht="20.25" customHeight="1" x14ac:dyDescent="0.3">
      <c r="A87" s="235">
        <v>2</v>
      </c>
      <c r="B87" s="236" t="s">
        <v>435</v>
      </c>
      <c r="C87" s="237">
        <v>237940</v>
      </c>
      <c r="D87" s="237">
        <v>367612</v>
      </c>
      <c r="E87" s="237">
        <f t="shared" si="12"/>
        <v>129672</v>
      </c>
      <c r="F87" s="238">
        <f t="shared" si="13"/>
        <v>0.54497772547701107</v>
      </c>
    </row>
    <row r="88" spans="1:6" ht="20.25" customHeight="1" x14ac:dyDescent="0.3">
      <c r="A88" s="235">
        <v>3</v>
      </c>
      <c r="B88" s="236" t="s">
        <v>436</v>
      </c>
      <c r="C88" s="237">
        <v>1391373</v>
      </c>
      <c r="D88" s="237">
        <v>2803636</v>
      </c>
      <c r="E88" s="237">
        <f t="shared" si="12"/>
        <v>1412263</v>
      </c>
      <c r="F88" s="238">
        <f t="shared" si="13"/>
        <v>1.0150139466555697</v>
      </c>
    </row>
    <row r="89" spans="1:6" ht="20.25" customHeight="1" x14ac:dyDescent="0.3">
      <c r="A89" s="235">
        <v>4</v>
      </c>
      <c r="B89" s="236" t="s">
        <v>437</v>
      </c>
      <c r="C89" s="237">
        <v>331699</v>
      </c>
      <c r="D89" s="237">
        <v>634780</v>
      </c>
      <c r="E89" s="237">
        <f t="shared" si="12"/>
        <v>303081</v>
      </c>
      <c r="F89" s="238">
        <f t="shared" si="13"/>
        <v>0.91372298378951999</v>
      </c>
    </row>
    <row r="90" spans="1:6" ht="20.25" customHeight="1" x14ac:dyDescent="0.3">
      <c r="A90" s="235">
        <v>5</v>
      </c>
      <c r="B90" s="236" t="s">
        <v>373</v>
      </c>
      <c r="C90" s="239">
        <v>53</v>
      </c>
      <c r="D90" s="239">
        <v>156</v>
      </c>
      <c r="E90" s="239">
        <f t="shared" si="12"/>
        <v>103</v>
      </c>
      <c r="F90" s="238">
        <f t="shared" si="13"/>
        <v>1.9433962264150944</v>
      </c>
    </row>
    <row r="91" spans="1:6" ht="20.25" customHeight="1" x14ac:dyDescent="0.3">
      <c r="A91" s="235">
        <v>6</v>
      </c>
      <c r="B91" s="236" t="s">
        <v>372</v>
      </c>
      <c r="C91" s="239">
        <v>139</v>
      </c>
      <c r="D91" s="239">
        <v>362</v>
      </c>
      <c r="E91" s="239">
        <f t="shared" si="12"/>
        <v>223</v>
      </c>
      <c r="F91" s="238">
        <f t="shared" si="13"/>
        <v>1.6043165467625899</v>
      </c>
    </row>
    <row r="92" spans="1:6" ht="20.25" customHeight="1" x14ac:dyDescent="0.3">
      <c r="A92" s="235">
        <v>7</v>
      </c>
      <c r="B92" s="236" t="s">
        <v>438</v>
      </c>
      <c r="C92" s="239">
        <v>386</v>
      </c>
      <c r="D92" s="239">
        <v>773</v>
      </c>
      <c r="E92" s="239">
        <f t="shared" si="12"/>
        <v>387</v>
      </c>
      <c r="F92" s="238">
        <f t="shared" si="13"/>
        <v>1.0025906735751295</v>
      </c>
    </row>
    <row r="93" spans="1:6" ht="20.25" customHeight="1" x14ac:dyDescent="0.3">
      <c r="A93" s="235">
        <v>8</v>
      </c>
      <c r="B93" s="236" t="s">
        <v>439</v>
      </c>
      <c r="C93" s="239">
        <v>842</v>
      </c>
      <c r="D93" s="239">
        <v>1314</v>
      </c>
      <c r="E93" s="239">
        <f t="shared" si="12"/>
        <v>472</v>
      </c>
      <c r="F93" s="238">
        <f t="shared" si="13"/>
        <v>0.56057007125890734</v>
      </c>
    </row>
    <row r="94" spans="1:6" ht="20.25" customHeight="1" x14ac:dyDescent="0.3">
      <c r="A94" s="235">
        <v>9</v>
      </c>
      <c r="B94" s="236" t="s">
        <v>440</v>
      </c>
      <c r="C94" s="239">
        <v>14</v>
      </c>
      <c r="D94" s="239">
        <v>22</v>
      </c>
      <c r="E94" s="239">
        <f t="shared" si="12"/>
        <v>8</v>
      </c>
      <c r="F94" s="238">
        <f t="shared" si="13"/>
        <v>0.5714285714285714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2101642</v>
      </c>
      <c r="D95" s="243">
        <f>+D86+D88</f>
        <v>4315409</v>
      </c>
      <c r="E95" s="243">
        <f t="shared" si="12"/>
        <v>2213767</v>
      </c>
      <c r="F95" s="244">
        <f t="shared" si="13"/>
        <v>1.0533511416311627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569639</v>
      </c>
      <c r="D96" s="243">
        <f>+D87+D89</f>
        <v>1002392</v>
      </c>
      <c r="E96" s="243">
        <f t="shared" si="12"/>
        <v>432753</v>
      </c>
      <c r="F96" s="244">
        <f t="shared" si="13"/>
        <v>0.75969693086323087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1763077</v>
      </c>
      <c r="D98" s="237">
        <v>2479937</v>
      </c>
      <c r="E98" s="237">
        <f t="shared" ref="E98:E108" si="14">D98-C98</f>
        <v>716860</v>
      </c>
      <c r="F98" s="238">
        <f t="shared" ref="F98:F108" si="15">IF(C98=0,0,E98/C98)</f>
        <v>0.40659596829860523</v>
      </c>
    </row>
    <row r="99" spans="1:7" ht="20.25" customHeight="1" x14ac:dyDescent="0.3">
      <c r="A99" s="235">
        <v>2</v>
      </c>
      <c r="B99" s="236" t="s">
        <v>435</v>
      </c>
      <c r="C99" s="237">
        <v>590632</v>
      </c>
      <c r="D99" s="237">
        <v>603036</v>
      </c>
      <c r="E99" s="237">
        <f t="shared" si="14"/>
        <v>12404</v>
      </c>
      <c r="F99" s="238">
        <f t="shared" si="15"/>
        <v>2.1001232577984259E-2</v>
      </c>
    </row>
    <row r="100" spans="1:7" ht="20.25" customHeight="1" x14ac:dyDescent="0.3">
      <c r="A100" s="235">
        <v>3</v>
      </c>
      <c r="B100" s="236" t="s">
        <v>436</v>
      </c>
      <c r="C100" s="237">
        <v>3516005</v>
      </c>
      <c r="D100" s="237">
        <v>4114091</v>
      </c>
      <c r="E100" s="237">
        <f t="shared" si="14"/>
        <v>598086</v>
      </c>
      <c r="F100" s="238">
        <f t="shared" si="15"/>
        <v>0.17010385366346178</v>
      </c>
    </row>
    <row r="101" spans="1:7" ht="20.25" customHeight="1" x14ac:dyDescent="0.3">
      <c r="A101" s="235">
        <v>4</v>
      </c>
      <c r="B101" s="236" t="s">
        <v>437</v>
      </c>
      <c r="C101" s="237">
        <v>838205</v>
      </c>
      <c r="D101" s="237">
        <v>931484</v>
      </c>
      <c r="E101" s="237">
        <f t="shared" si="14"/>
        <v>93279</v>
      </c>
      <c r="F101" s="238">
        <f t="shared" si="15"/>
        <v>0.11128423237752101</v>
      </c>
    </row>
    <row r="102" spans="1:7" ht="20.25" customHeight="1" x14ac:dyDescent="0.3">
      <c r="A102" s="235">
        <v>5</v>
      </c>
      <c r="B102" s="236" t="s">
        <v>373</v>
      </c>
      <c r="C102" s="239">
        <v>149</v>
      </c>
      <c r="D102" s="239">
        <v>128</v>
      </c>
      <c r="E102" s="239">
        <f t="shared" si="14"/>
        <v>-21</v>
      </c>
      <c r="F102" s="238">
        <f t="shared" si="15"/>
        <v>-0.14093959731543623</v>
      </c>
    </row>
    <row r="103" spans="1:7" ht="20.25" customHeight="1" x14ac:dyDescent="0.3">
      <c r="A103" s="235">
        <v>6</v>
      </c>
      <c r="B103" s="236" t="s">
        <v>372</v>
      </c>
      <c r="C103" s="239">
        <v>639</v>
      </c>
      <c r="D103" s="239">
        <v>414</v>
      </c>
      <c r="E103" s="239">
        <f t="shared" si="14"/>
        <v>-225</v>
      </c>
      <c r="F103" s="238">
        <f t="shared" si="15"/>
        <v>-0.352112676056338</v>
      </c>
    </row>
    <row r="104" spans="1:7" ht="20.25" customHeight="1" x14ac:dyDescent="0.3">
      <c r="A104" s="235">
        <v>7</v>
      </c>
      <c r="B104" s="236" t="s">
        <v>438</v>
      </c>
      <c r="C104" s="239">
        <v>645</v>
      </c>
      <c r="D104" s="239">
        <v>1282</v>
      </c>
      <c r="E104" s="239">
        <f t="shared" si="14"/>
        <v>637</v>
      </c>
      <c r="F104" s="238">
        <f t="shared" si="15"/>
        <v>0.9875968992248062</v>
      </c>
    </row>
    <row r="105" spans="1:7" ht="20.25" customHeight="1" x14ac:dyDescent="0.3">
      <c r="A105" s="235">
        <v>8</v>
      </c>
      <c r="B105" s="236" t="s">
        <v>439</v>
      </c>
      <c r="C105" s="239">
        <v>1421</v>
      </c>
      <c r="D105" s="239">
        <v>1882</v>
      </c>
      <c r="E105" s="239">
        <f t="shared" si="14"/>
        <v>461</v>
      </c>
      <c r="F105" s="238">
        <f t="shared" si="15"/>
        <v>0.32441942294159043</v>
      </c>
    </row>
    <row r="106" spans="1:7" ht="20.25" customHeight="1" x14ac:dyDescent="0.3">
      <c r="A106" s="235">
        <v>9</v>
      </c>
      <c r="B106" s="236" t="s">
        <v>440</v>
      </c>
      <c r="C106" s="239">
        <v>19</v>
      </c>
      <c r="D106" s="239">
        <v>32</v>
      </c>
      <c r="E106" s="239">
        <f t="shared" si="14"/>
        <v>13</v>
      </c>
      <c r="F106" s="238">
        <f t="shared" si="15"/>
        <v>0.68421052631578949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5279082</v>
      </c>
      <c r="D107" s="243">
        <f>+D98+D100</f>
        <v>6594028</v>
      </c>
      <c r="E107" s="243">
        <f t="shared" si="14"/>
        <v>1314946</v>
      </c>
      <c r="F107" s="244">
        <f t="shared" si="15"/>
        <v>0.24908611004716349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1428837</v>
      </c>
      <c r="D108" s="243">
        <f>+D99+D101</f>
        <v>1534520</v>
      </c>
      <c r="E108" s="243">
        <f t="shared" si="14"/>
        <v>105683</v>
      </c>
      <c r="F108" s="244">
        <f t="shared" si="15"/>
        <v>7.3964350027329914E-2</v>
      </c>
    </row>
    <row r="109" spans="1:7" s="240" customFormat="1" ht="20.25" customHeight="1" x14ac:dyDescent="0.3">
      <c r="A109" s="689" t="s">
        <v>44</v>
      </c>
      <c r="B109" s="690" t="s">
        <v>478</v>
      </c>
      <c r="C109" s="692"/>
      <c r="D109" s="693"/>
      <c r="E109" s="693"/>
      <c r="F109" s="694"/>
      <c r="G109" s="212"/>
    </row>
    <row r="110" spans="1:7" ht="20.25" customHeight="1" x14ac:dyDescent="0.3">
      <c r="A110" s="680"/>
      <c r="B110" s="691"/>
      <c r="C110" s="686"/>
      <c r="D110" s="687"/>
      <c r="E110" s="687"/>
      <c r="F110" s="688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7273302</v>
      </c>
      <c r="D112" s="243">
        <f t="shared" si="16"/>
        <v>8579032</v>
      </c>
      <c r="E112" s="243">
        <f t="shared" ref="E112:E122" si="17">D112-C112</f>
        <v>1305730</v>
      </c>
      <c r="F112" s="244">
        <f t="shared" ref="F112:F122" si="18">IF(C112=0,0,E112/C112)</f>
        <v>0.1795236881405447</v>
      </c>
    </row>
    <row r="113" spans="1:6" ht="20.25" customHeight="1" x14ac:dyDescent="0.3">
      <c r="A113" s="249"/>
      <c r="B113" s="250" t="s">
        <v>461</v>
      </c>
      <c r="C113" s="243">
        <f t="shared" si="16"/>
        <v>2436559</v>
      </c>
      <c r="D113" s="243">
        <f t="shared" si="16"/>
        <v>2086128</v>
      </c>
      <c r="E113" s="243">
        <f t="shared" si="17"/>
        <v>-350431</v>
      </c>
      <c r="F113" s="244">
        <f t="shared" si="18"/>
        <v>-0.1438220868035619</v>
      </c>
    </row>
    <row r="114" spans="1:6" ht="20.25" customHeight="1" x14ac:dyDescent="0.3">
      <c r="A114" s="249"/>
      <c r="B114" s="250" t="s">
        <v>462</v>
      </c>
      <c r="C114" s="243">
        <f t="shared" si="16"/>
        <v>11926957</v>
      </c>
      <c r="D114" s="243">
        <f t="shared" si="16"/>
        <v>14782418</v>
      </c>
      <c r="E114" s="243">
        <f t="shared" si="17"/>
        <v>2855461</v>
      </c>
      <c r="F114" s="244">
        <f t="shared" si="18"/>
        <v>0.2394123664569261</v>
      </c>
    </row>
    <row r="115" spans="1:6" ht="20.25" customHeight="1" x14ac:dyDescent="0.3">
      <c r="A115" s="249"/>
      <c r="B115" s="250" t="s">
        <v>463</v>
      </c>
      <c r="C115" s="243">
        <f t="shared" si="16"/>
        <v>2843349</v>
      </c>
      <c r="D115" s="243">
        <f t="shared" si="16"/>
        <v>3346933</v>
      </c>
      <c r="E115" s="243">
        <f t="shared" si="17"/>
        <v>503584</v>
      </c>
      <c r="F115" s="244">
        <f t="shared" si="18"/>
        <v>0.17710945789630467</v>
      </c>
    </row>
    <row r="116" spans="1:6" ht="20.25" customHeight="1" x14ac:dyDescent="0.3">
      <c r="A116" s="249"/>
      <c r="B116" s="250" t="s">
        <v>464</v>
      </c>
      <c r="C116" s="252">
        <f t="shared" si="16"/>
        <v>639</v>
      </c>
      <c r="D116" s="252">
        <f t="shared" si="16"/>
        <v>688</v>
      </c>
      <c r="E116" s="252">
        <f t="shared" si="17"/>
        <v>49</v>
      </c>
      <c r="F116" s="244">
        <f t="shared" si="18"/>
        <v>7.6682316118935834E-2</v>
      </c>
    </row>
    <row r="117" spans="1:6" ht="20.25" customHeight="1" x14ac:dyDescent="0.3">
      <c r="A117" s="249"/>
      <c r="B117" s="250" t="s">
        <v>465</v>
      </c>
      <c r="C117" s="252">
        <f t="shared" si="16"/>
        <v>2164</v>
      </c>
      <c r="D117" s="252">
        <f t="shared" si="16"/>
        <v>2042</v>
      </c>
      <c r="E117" s="252">
        <f t="shared" si="17"/>
        <v>-122</v>
      </c>
      <c r="F117" s="244">
        <f t="shared" si="18"/>
        <v>-5.6377079482439925E-2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4300</v>
      </c>
      <c r="D118" s="252">
        <f t="shared" si="16"/>
        <v>4763</v>
      </c>
      <c r="E118" s="252">
        <f t="shared" si="17"/>
        <v>463</v>
      </c>
      <c r="F118" s="244">
        <f t="shared" si="18"/>
        <v>0.10767441860465116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6189</v>
      </c>
      <c r="D119" s="252">
        <f t="shared" si="16"/>
        <v>6709</v>
      </c>
      <c r="E119" s="252">
        <f t="shared" si="17"/>
        <v>520</v>
      </c>
      <c r="F119" s="244">
        <f t="shared" si="18"/>
        <v>8.4020035546938113E-2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192</v>
      </c>
      <c r="D120" s="252">
        <f t="shared" si="16"/>
        <v>139</v>
      </c>
      <c r="E120" s="252">
        <f t="shared" si="17"/>
        <v>-53</v>
      </c>
      <c r="F120" s="244">
        <f t="shared" si="18"/>
        <v>-0.27604166666666669</v>
      </c>
    </row>
    <row r="121" spans="1:6" ht="39.950000000000003" customHeight="1" x14ac:dyDescent="0.3">
      <c r="A121" s="249"/>
      <c r="B121" s="242" t="s">
        <v>441</v>
      </c>
      <c r="C121" s="243">
        <f>+C112+C114</f>
        <v>19200259</v>
      </c>
      <c r="D121" s="243">
        <f>+D112+D114</f>
        <v>23361450</v>
      </c>
      <c r="E121" s="243">
        <f t="shared" si="17"/>
        <v>4161191</v>
      </c>
      <c r="F121" s="244">
        <f t="shared" si="18"/>
        <v>0.21672577437627275</v>
      </c>
    </row>
    <row r="122" spans="1:6" ht="39.950000000000003" customHeight="1" x14ac:dyDescent="0.3">
      <c r="A122" s="249"/>
      <c r="B122" s="242" t="s">
        <v>470</v>
      </c>
      <c r="C122" s="243">
        <f>+C113+C115</f>
        <v>5279908</v>
      </c>
      <c r="D122" s="243">
        <f>+D113+D115</f>
        <v>5433061</v>
      </c>
      <c r="E122" s="243">
        <f t="shared" si="17"/>
        <v>153153</v>
      </c>
      <c r="F122" s="244">
        <f t="shared" si="18"/>
        <v>2.9006755420738391E-2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r:id="rId1"/>
  <headerFooter>
    <oddHeader>&amp;LOFFICE OF HEALTH CARE ACCESS&amp;CTWELVE MONTHS ACTUAL FILING&amp;RGRIFFIN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9064634</v>
      </c>
      <c r="D13" s="23">
        <v>9021743</v>
      </c>
      <c r="E13" s="23">
        <f t="shared" ref="E13:E22" si="0">D13-C13</f>
        <v>-42891</v>
      </c>
      <c r="F13" s="24">
        <f t="shared" ref="F13:F22" si="1">IF(C13=0,0,E13/C13)</f>
        <v>-4.7316858022066859E-3</v>
      </c>
    </row>
    <row r="14" spans="1:8" ht="24" customHeight="1" x14ac:dyDescent="0.2">
      <c r="A14" s="21">
        <v>2</v>
      </c>
      <c r="B14" s="22" t="s">
        <v>17</v>
      </c>
      <c r="C14" s="23">
        <v>33771653</v>
      </c>
      <c r="D14" s="23">
        <v>38040516</v>
      </c>
      <c r="E14" s="23">
        <f t="shared" si="0"/>
        <v>4268863</v>
      </c>
      <c r="F14" s="24">
        <f t="shared" si="1"/>
        <v>0.12640373273999944</v>
      </c>
    </row>
    <row r="15" spans="1:8" ht="35.1" customHeight="1" x14ac:dyDescent="0.2">
      <c r="A15" s="21">
        <v>3</v>
      </c>
      <c r="B15" s="22" t="s">
        <v>18</v>
      </c>
      <c r="C15" s="23">
        <v>17201535</v>
      </c>
      <c r="D15" s="23">
        <v>15556957</v>
      </c>
      <c r="E15" s="23">
        <f t="shared" si="0"/>
        <v>-1644578</v>
      </c>
      <c r="F15" s="24">
        <f t="shared" si="1"/>
        <v>-9.5606467678611237E-2</v>
      </c>
    </row>
    <row r="16" spans="1:8" ht="35.1" customHeight="1" x14ac:dyDescent="0.2">
      <c r="A16" s="21">
        <v>4</v>
      </c>
      <c r="B16" s="22" t="s">
        <v>19</v>
      </c>
      <c r="C16" s="23">
        <v>617399</v>
      </c>
      <c r="D16" s="23">
        <v>522512</v>
      </c>
      <c r="E16" s="23">
        <f t="shared" si="0"/>
        <v>-94887</v>
      </c>
      <c r="F16" s="24">
        <f t="shared" si="1"/>
        <v>-0.15368829557547065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196080</v>
      </c>
      <c r="D18" s="23">
        <v>0</v>
      </c>
      <c r="E18" s="23">
        <f t="shared" si="0"/>
        <v>-196080</v>
      </c>
      <c r="F18" s="24">
        <f t="shared" si="1"/>
        <v>-1</v>
      </c>
    </row>
    <row r="19" spans="1:11" ht="24" customHeight="1" x14ac:dyDescent="0.2">
      <c r="A19" s="21">
        <v>7</v>
      </c>
      <c r="B19" s="22" t="s">
        <v>22</v>
      </c>
      <c r="C19" s="23">
        <v>0</v>
      </c>
      <c r="D19" s="23">
        <v>0</v>
      </c>
      <c r="E19" s="23">
        <f t="shared" si="0"/>
        <v>0</v>
      </c>
      <c r="F19" s="24">
        <f t="shared" si="1"/>
        <v>0</v>
      </c>
    </row>
    <row r="20" spans="1:11" ht="24" customHeight="1" x14ac:dyDescent="0.2">
      <c r="A20" s="21">
        <v>8</v>
      </c>
      <c r="B20" s="22" t="s">
        <v>23</v>
      </c>
      <c r="C20" s="23">
        <v>0</v>
      </c>
      <c r="D20" s="23">
        <v>0</v>
      </c>
      <c r="E20" s="23">
        <f t="shared" si="0"/>
        <v>0</v>
      </c>
      <c r="F20" s="24">
        <f t="shared" si="1"/>
        <v>0</v>
      </c>
    </row>
    <row r="21" spans="1:11" ht="24" customHeight="1" x14ac:dyDescent="0.2">
      <c r="A21" s="21">
        <v>9</v>
      </c>
      <c r="B21" s="22" t="s">
        <v>24</v>
      </c>
      <c r="C21" s="23">
        <v>5303584</v>
      </c>
      <c r="D21" s="23">
        <v>7346270</v>
      </c>
      <c r="E21" s="23">
        <f t="shared" si="0"/>
        <v>2042686</v>
      </c>
      <c r="F21" s="24">
        <f t="shared" si="1"/>
        <v>0.38515200287202012</v>
      </c>
    </row>
    <row r="22" spans="1:11" ht="24" customHeight="1" x14ac:dyDescent="0.25">
      <c r="A22" s="25"/>
      <c r="B22" s="26" t="s">
        <v>25</v>
      </c>
      <c r="C22" s="27">
        <f>SUM(C13:C21)</f>
        <v>66154885</v>
      </c>
      <c r="D22" s="27">
        <f>SUM(D13:D21)</f>
        <v>70487998</v>
      </c>
      <c r="E22" s="27">
        <f t="shared" si="0"/>
        <v>4333113</v>
      </c>
      <c r="F22" s="28">
        <f t="shared" si="1"/>
        <v>6.5499516777937111E-2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3518834</v>
      </c>
      <c r="D25" s="23">
        <v>3644228</v>
      </c>
      <c r="E25" s="23">
        <f>D25-C25</f>
        <v>125394</v>
      </c>
      <c r="F25" s="24">
        <f>IF(C25=0,0,E25/C25)</f>
        <v>3.5635099581281755E-2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1301469</v>
      </c>
      <c r="D26" s="23">
        <v>1634527</v>
      </c>
      <c r="E26" s="23">
        <f>D26-C26</f>
        <v>333058</v>
      </c>
      <c r="F26" s="24">
        <f>IF(C26=0,0,E26/C26)</f>
        <v>0.25590928404748786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8806083</v>
      </c>
      <c r="D28" s="23">
        <v>4477576</v>
      </c>
      <c r="E28" s="23">
        <f>D28-C28</f>
        <v>-4328507</v>
      </c>
      <c r="F28" s="24">
        <f>IF(C28=0,0,E28/C28)</f>
        <v>-0.49153602117990486</v>
      </c>
    </row>
    <row r="29" spans="1:11" ht="35.1" customHeight="1" x14ac:dyDescent="0.25">
      <c r="A29" s="25"/>
      <c r="B29" s="26" t="s">
        <v>32</v>
      </c>
      <c r="C29" s="27">
        <f>SUM(C25:C28)</f>
        <v>13626386</v>
      </c>
      <c r="D29" s="27">
        <f>SUM(D25:D28)</f>
        <v>9756331</v>
      </c>
      <c r="E29" s="27">
        <f>D29-C29</f>
        <v>-3870055</v>
      </c>
      <c r="F29" s="28">
        <f>IF(C29=0,0,E29/C29)</f>
        <v>-0.2840118429053749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2269873</v>
      </c>
      <c r="D32" s="23">
        <v>2482019</v>
      </c>
      <c r="E32" s="23">
        <f>D32-C32</f>
        <v>212146</v>
      </c>
      <c r="F32" s="24">
        <f>IF(C32=0,0,E32/C32)</f>
        <v>9.3461616575024248E-2</v>
      </c>
    </row>
    <row r="33" spans="1:8" ht="24" customHeight="1" x14ac:dyDescent="0.2">
      <c r="A33" s="21">
        <v>7</v>
      </c>
      <c r="B33" s="22" t="s">
        <v>35</v>
      </c>
      <c r="C33" s="23">
        <v>10970768</v>
      </c>
      <c r="D33" s="23">
        <v>12165117</v>
      </c>
      <c r="E33" s="23">
        <f>D33-C33</f>
        <v>1194349</v>
      </c>
      <c r="F33" s="24">
        <f>IF(C33=0,0,E33/C33)</f>
        <v>0.10886648956572594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133421910</v>
      </c>
      <c r="D36" s="23">
        <v>148122419</v>
      </c>
      <c r="E36" s="23">
        <f>D36-C36</f>
        <v>14700509</v>
      </c>
      <c r="F36" s="24">
        <f>IF(C36=0,0,E36/C36)</f>
        <v>0.11018062175845032</v>
      </c>
    </row>
    <row r="37" spans="1:8" ht="24" customHeight="1" x14ac:dyDescent="0.2">
      <c r="A37" s="21">
        <v>2</v>
      </c>
      <c r="B37" s="22" t="s">
        <v>39</v>
      </c>
      <c r="C37" s="23">
        <v>73686871</v>
      </c>
      <c r="D37" s="23">
        <v>80185854</v>
      </c>
      <c r="E37" s="23">
        <f>D37-C37</f>
        <v>6498983</v>
      </c>
      <c r="F37" s="23">
        <f>IF(C37=0,0,E37/C37)</f>
        <v>8.8197299081949079E-2</v>
      </c>
    </row>
    <row r="38" spans="1:8" ht="24" customHeight="1" x14ac:dyDescent="0.25">
      <c r="A38" s="25"/>
      <c r="B38" s="26" t="s">
        <v>40</v>
      </c>
      <c r="C38" s="27">
        <f>C36-C37</f>
        <v>59735039</v>
      </c>
      <c r="D38" s="27">
        <f>D36-D37</f>
        <v>67936565</v>
      </c>
      <c r="E38" s="27">
        <f>D38-C38</f>
        <v>8201526</v>
      </c>
      <c r="F38" s="28">
        <f>IF(C38=0,0,E38/C38)</f>
        <v>0.13729841207603463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7410646</v>
      </c>
      <c r="D40" s="23">
        <v>645569</v>
      </c>
      <c r="E40" s="23">
        <f>D40-C40</f>
        <v>-6765077</v>
      </c>
      <c r="F40" s="24">
        <f>IF(C40=0,0,E40/C40)</f>
        <v>-0.91288627199302197</v>
      </c>
    </row>
    <row r="41" spans="1:8" ht="24" customHeight="1" x14ac:dyDescent="0.25">
      <c r="A41" s="25"/>
      <c r="B41" s="26" t="s">
        <v>42</v>
      </c>
      <c r="C41" s="27">
        <f>+C38+C40</f>
        <v>67145685</v>
      </c>
      <c r="D41" s="27">
        <f>+D38+D40</f>
        <v>68582134</v>
      </c>
      <c r="E41" s="27">
        <f>D41-C41</f>
        <v>1436449</v>
      </c>
      <c r="F41" s="28">
        <f>IF(C41=0,0,E41/C41)</f>
        <v>2.1393020266306018E-2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160167597</v>
      </c>
      <c r="D43" s="27">
        <f>D22+D29+D31+D32+D33+D41</f>
        <v>163473599</v>
      </c>
      <c r="E43" s="27">
        <f>D43-C43</f>
        <v>3306002</v>
      </c>
      <c r="F43" s="28">
        <f>IF(C43=0,0,E43/C43)</f>
        <v>2.064089155311483E-2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18636239</v>
      </c>
      <c r="D49" s="23">
        <v>20039824</v>
      </c>
      <c r="E49" s="23">
        <f t="shared" ref="E49:E56" si="2">D49-C49</f>
        <v>1403585</v>
      </c>
      <c r="F49" s="24">
        <f t="shared" ref="F49:F56" si="3">IF(C49=0,0,E49/C49)</f>
        <v>7.5314820763996426E-2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0</v>
      </c>
      <c r="D50" s="23">
        <v>0</v>
      </c>
      <c r="E50" s="23">
        <f t="shared" si="2"/>
        <v>0</v>
      </c>
      <c r="F50" s="24">
        <f t="shared" si="3"/>
        <v>0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0</v>
      </c>
      <c r="D51" s="23">
        <v>0</v>
      </c>
      <c r="E51" s="23">
        <f t="shared" si="2"/>
        <v>0</v>
      </c>
      <c r="F51" s="24">
        <f t="shared" si="3"/>
        <v>0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5594145</v>
      </c>
      <c r="D53" s="23">
        <v>6372994</v>
      </c>
      <c r="E53" s="23">
        <f t="shared" si="2"/>
        <v>778849</v>
      </c>
      <c r="F53" s="24">
        <f t="shared" si="3"/>
        <v>0.13922574405919047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11055709</v>
      </c>
      <c r="D55" s="23">
        <v>9601441</v>
      </c>
      <c r="E55" s="23">
        <f t="shared" si="2"/>
        <v>-1454268</v>
      </c>
      <c r="F55" s="24">
        <f t="shared" si="3"/>
        <v>-0.13154000344980135</v>
      </c>
    </row>
    <row r="56" spans="1:6" ht="24" customHeight="1" x14ac:dyDescent="0.25">
      <c r="A56" s="25"/>
      <c r="B56" s="26" t="s">
        <v>54</v>
      </c>
      <c r="C56" s="27">
        <f>SUM(C49:C55)</f>
        <v>35286093</v>
      </c>
      <c r="D56" s="27">
        <f>SUM(D49:D55)</f>
        <v>36014259</v>
      </c>
      <c r="E56" s="27">
        <f t="shared" si="2"/>
        <v>728166</v>
      </c>
      <c r="F56" s="28">
        <f t="shared" si="3"/>
        <v>2.0636061918218037E-2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54070257</v>
      </c>
      <c r="D59" s="23">
        <v>52830526</v>
      </c>
      <c r="E59" s="23">
        <f>D59-C59</f>
        <v>-1239731</v>
      </c>
      <c r="F59" s="24">
        <f>IF(C59=0,0,E59/C59)</f>
        <v>-2.2928150683655897E-2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54070257</v>
      </c>
      <c r="D61" s="27">
        <f>SUM(D59:D60)</f>
        <v>52830526</v>
      </c>
      <c r="E61" s="27">
        <f>D61-C61</f>
        <v>-1239731</v>
      </c>
      <c r="F61" s="28">
        <f>IF(C61=0,0,E61/C61)</f>
        <v>-2.2928150683655897E-2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31533528</v>
      </c>
      <c r="D63" s="23">
        <v>36275269</v>
      </c>
      <c r="E63" s="23">
        <f>D63-C63</f>
        <v>4741741</v>
      </c>
      <c r="F63" s="24">
        <f>IF(C63=0,0,E63/C63)</f>
        <v>0.15037140785515657</v>
      </c>
    </row>
    <row r="64" spans="1:6" ht="24" customHeight="1" x14ac:dyDescent="0.2">
      <c r="A64" s="21">
        <v>4</v>
      </c>
      <c r="B64" s="22" t="s">
        <v>60</v>
      </c>
      <c r="C64" s="23">
        <v>48260281</v>
      </c>
      <c r="D64" s="23">
        <v>53975488</v>
      </c>
      <c r="E64" s="23">
        <f>D64-C64</f>
        <v>5715207</v>
      </c>
      <c r="F64" s="24">
        <f>IF(C64=0,0,E64/C64)</f>
        <v>0.11842465235542246</v>
      </c>
    </row>
    <row r="65" spans="1:6" ht="24" customHeight="1" x14ac:dyDescent="0.25">
      <c r="A65" s="25"/>
      <c r="B65" s="26" t="s">
        <v>61</v>
      </c>
      <c r="C65" s="27">
        <f>SUM(C61:C64)</f>
        <v>133864066</v>
      </c>
      <c r="D65" s="27">
        <f>SUM(D61:D64)</f>
        <v>143081283</v>
      </c>
      <c r="E65" s="27">
        <f>D65-C65</f>
        <v>9217217</v>
      </c>
      <c r="F65" s="28">
        <f>IF(C65=0,0,E65/C65)</f>
        <v>6.885505031649046E-2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434394</v>
      </c>
      <c r="D67" s="23">
        <v>592664</v>
      </c>
      <c r="E67" s="23">
        <f>D67-C67</f>
        <v>158270</v>
      </c>
      <c r="F67" s="46">
        <f>IF(C67=0,0,E67/C67)</f>
        <v>0.36434665303848579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-17448476</v>
      </c>
      <c r="D70" s="23">
        <v>-24116314</v>
      </c>
      <c r="E70" s="23">
        <f>D70-C70</f>
        <v>-6667838</v>
      </c>
      <c r="F70" s="24">
        <f>IF(C70=0,0,E70/C70)</f>
        <v>0.38214443484920974</v>
      </c>
    </row>
    <row r="71" spans="1:6" ht="24" customHeight="1" x14ac:dyDescent="0.2">
      <c r="A71" s="21">
        <v>2</v>
      </c>
      <c r="B71" s="22" t="s">
        <v>65</v>
      </c>
      <c r="C71" s="23">
        <v>2352425</v>
      </c>
      <c r="D71" s="23">
        <v>2097218</v>
      </c>
      <c r="E71" s="23">
        <f>D71-C71</f>
        <v>-255207</v>
      </c>
      <c r="F71" s="24">
        <f>IF(C71=0,0,E71/C71)</f>
        <v>-0.10848677428610902</v>
      </c>
    </row>
    <row r="72" spans="1:6" ht="24" customHeight="1" x14ac:dyDescent="0.2">
      <c r="A72" s="21">
        <v>3</v>
      </c>
      <c r="B72" s="22" t="s">
        <v>66</v>
      </c>
      <c r="C72" s="23">
        <v>5679095</v>
      </c>
      <c r="D72" s="23">
        <v>5804489</v>
      </c>
      <c r="E72" s="23">
        <f>D72-C72</f>
        <v>125394</v>
      </c>
      <c r="F72" s="24">
        <f>IF(C72=0,0,E72/C72)</f>
        <v>2.2079926467157181E-2</v>
      </c>
    </row>
    <row r="73" spans="1:6" ht="24" customHeight="1" x14ac:dyDescent="0.25">
      <c r="A73" s="21"/>
      <c r="B73" s="26" t="s">
        <v>67</v>
      </c>
      <c r="C73" s="27">
        <f>SUM(C70:C72)</f>
        <v>-9416956</v>
      </c>
      <c r="D73" s="27">
        <f>SUM(D70:D72)</f>
        <v>-16214607</v>
      </c>
      <c r="E73" s="27">
        <f>D73-C73</f>
        <v>-6797651</v>
      </c>
      <c r="F73" s="28">
        <f>IF(C73=0,0,E73/C73)</f>
        <v>0.72185226308798722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160167597</v>
      </c>
      <c r="D75" s="27">
        <f>D56+D65+D67+D73</f>
        <v>163473599</v>
      </c>
      <c r="E75" s="27">
        <f>D75-C75</f>
        <v>3306002</v>
      </c>
      <c r="F75" s="28">
        <f>IF(C75=0,0,E75/C75)</f>
        <v>2.064089155311483E-2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r:id="rId1"/>
  <headerFooter>
    <oddHeader>&amp;LOFFICE OF HEALTH CARE ACCESS&amp;CTWELVE MONTHS ACTUAL FILING&amp;RGRIFFIN HEALTH SERVICES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358002884</v>
      </c>
      <c r="D12" s="51">
        <v>387591273</v>
      </c>
      <c r="E12" s="51">
        <f t="shared" ref="E12:E19" si="0">D12-C12</f>
        <v>29588389</v>
      </c>
      <c r="F12" s="70">
        <f t="shared" ref="F12:F19" si="1">IF(C12=0,0,E12/C12)</f>
        <v>8.264846547995966E-2</v>
      </c>
    </row>
    <row r="13" spans="1:8" ht="23.1" customHeight="1" x14ac:dyDescent="0.2">
      <c r="A13" s="25">
        <v>2</v>
      </c>
      <c r="B13" s="48" t="s">
        <v>72</v>
      </c>
      <c r="C13" s="51">
        <v>230660534</v>
      </c>
      <c r="D13" s="51">
        <v>257846088</v>
      </c>
      <c r="E13" s="51">
        <f t="shared" si="0"/>
        <v>27185554</v>
      </c>
      <c r="F13" s="70">
        <f t="shared" si="1"/>
        <v>0.11785958147482656</v>
      </c>
    </row>
    <row r="14" spans="1:8" ht="23.1" customHeight="1" x14ac:dyDescent="0.2">
      <c r="A14" s="25">
        <v>3</v>
      </c>
      <c r="B14" s="48" t="s">
        <v>73</v>
      </c>
      <c r="C14" s="51">
        <v>5752621</v>
      </c>
      <c r="D14" s="51">
        <v>8959000</v>
      </c>
      <c r="E14" s="51">
        <f t="shared" si="0"/>
        <v>3206379</v>
      </c>
      <c r="F14" s="70">
        <f t="shared" si="1"/>
        <v>0.5573770634290004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121589729</v>
      </c>
      <c r="D16" s="27">
        <f>D12-D13-D14-D15</f>
        <v>120786185</v>
      </c>
      <c r="E16" s="27">
        <f t="shared" si="0"/>
        <v>-803544</v>
      </c>
      <c r="F16" s="28">
        <f t="shared" si="1"/>
        <v>-6.6086503079548766E-3</v>
      </c>
    </row>
    <row r="17" spans="1:7" ht="23.1" customHeight="1" x14ac:dyDescent="0.2">
      <c r="A17" s="25">
        <v>5</v>
      </c>
      <c r="B17" s="48" t="s">
        <v>76</v>
      </c>
      <c r="C17" s="51">
        <v>13516375</v>
      </c>
      <c r="D17" s="51">
        <v>14240073</v>
      </c>
      <c r="E17" s="51">
        <f t="shared" si="0"/>
        <v>723698</v>
      </c>
      <c r="F17" s="70">
        <f t="shared" si="1"/>
        <v>5.3542314414922638E-2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399666</v>
      </c>
      <c r="D18" s="51">
        <v>317227</v>
      </c>
      <c r="E18" s="51">
        <f t="shared" si="0"/>
        <v>-82439</v>
      </c>
      <c r="F18" s="70">
        <f t="shared" si="1"/>
        <v>-0.20626973522891615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135505770</v>
      </c>
      <c r="D19" s="27">
        <f>SUM(D16:D18)</f>
        <v>135343485</v>
      </c>
      <c r="E19" s="27">
        <f t="shared" si="0"/>
        <v>-162285</v>
      </c>
      <c r="F19" s="28">
        <f t="shared" si="1"/>
        <v>-1.1976242782871904E-3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57326998</v>
      </c>
      <c r="D22" s="51">
        <v>58564101</v>
      </c>
      <c r="E22" s="51">
        <f t="shared" ref="E22:E31" si="2">D22-C22</f>
        <v>1237103</v>
      </c>
      <c r="F22" s="70">
        <f t="shared" ref="F22:F31" si="3">IF(C22=0,0,E22/C22)</f>
        <v>2.157976247072976E-2</v>
      </c>
    </row>
    <row r="23" spans="1:7" ht="23.1" customHeight="1" x14ac:dyDescent="0.2">
      <c r="A23" s="25">
        <v>2</v>
      </c>
      <c r="B23" s="48" t="s">
        <v>81</v>
      </c>
      <c r="C23" s="51">
        <v>15049653</v>
      </c>
      <c r="D23" s="51">
        <v>13222009</v>
      </c>
      <c r="E23" s="51">
        <f t="shared" si="2"/>
        <v>-1827644</v>
      </c>
      <c r="F23" s="70">
        <f t="shared" si="3"/>
        <v>-0.12144093953528363</v>
      </c>
    </row>
    <row r="24" spans="1:7" ht="23.1" customHeight="1" x14ac:dyDescent="0.2">
      <c r="A24" s="25">
        <v>3</v>
      </c>
      <c r="B24" s="48" t="s">
        <v>82</v>
      </c>
      <c r="C24" s="51">
        <v>3046267</v>
      </c>
      <c r="D24" s="51">
        <v>3414543</v>
      </c>
      <c r="E24" s="51">
        <f t="shared" si="2"/>
        <v>368276</v>
      </c>
      <c r="F24" s="70">
        <f t="shared" si="3"/>
        <v>0.12089419607670635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16410526</v>
      </c>
      <c r="D25" s="51">
        <v>17987578</v>
      </c>
      <c r="E25" s="51">
        <f t="shared" si="2"/>
        <v>1577052</v>
      </c>
      <c r="F25" s="70">
        <f t="shared" si="3"/>
        <v>9.6100027506735616E-2</v>
      </c>
    </row>
    <row r="26" spans="1:7" ht="23.1" customHeight="1" x14ac:dyDescent="0.2">
      <c r="A26" s="25">
        <v>5</v>
      </c>
      <c r="B26" s="48" t="s">
        <v>84</v>
      </c>
      <c r="C26" s="51">
        <v>5148785</v>
      </c>
      <c r="D26" s="51">
        <v>6533158</v>
      </c>
      <c r="E26" s="51">
        <f t="shared" si="2"/>
        <v>1384373</v>
      </c>
      <c r="F26" s="70">
        <f t="shared" si="3"/>
        <v>0.26887372457774017</v>
      </c>
    </row>
    <row r="27" spans="1:7" ht="23.1" customHeight="1" x14ac:dyDescent="0.2">
      <c r="A27" s="25">
        <v>6</v>
      </c>
      <c r="B27" s="48" t="s">
        <v>85</v>
      </c>
      <c r="C27" s="51">
        <v>6428103</v>
      </c>
      <c r="D27" s="51">
        <v>1431870</v>
      </c>
      <c r="E27" s="51">
        <f t="shared" si="2"/>
        <v>-4996233</v>
      </c>
      <c r="F27" s="70">
        <f t="shared" si="3"/>
        <v>-0.77724843550266698</v>
      </c>
    </row>
    <row r="28" spans="1:7" ht="23.1" customHeight="1" x14ac:dyDescent="0.2">
      <c r="A28" s="25">
        <v>7</v>
      </c>
      <c r="B28" s="48" t="s">
        <v>86</v>
      </c>
      <c r="C28" s="51">
        <v>2727005</v>
      </c>
      <c r="D28" s="51">
        <v>2792860</v>
      </c>
      <c r="E28" s="51">
        <f t="shared" si="2"/>
        <v>65855</v>
      </c>
      <c r="F28" s="70">
        <f t="shared" si="3"/>
        <v>2.4149203980190721E-2</v>
      </c>
    </row>
    <row r="29" spans="1:7" ht="23.1" customHeight="1" x14ac:dyDescent="0.2">
      <c r="A29" s="25">
        <v>8</v>
      </c>
      <c r="B29" s="48" t="s">
        <v>87</v>
      </c>
      <c r="C29" s="51">
        <v>3339970</v>
      </c>
      <c r="D29" s="51">
        <v>1495789</v>
      </c>
      <c r="E29" s="51">
        <f t="shared" si="2"/>
        <v>-1844181</v>
      </c>
      <c r="F29" s="70">
        <f t="shared" si="3"/>
        <v>-0.55215495947568394</v>
      </c>
    </row>
    <row r="30" spans="1:7" ht="23.1" customHeight="1" x14ac:dyDescent="0.2">
      <c r="A30" s="25">
        <v>9</v>
      </c>
      <c r="B30" s="48" t="s">
        <v>88</v>
      </c>
      <c r="C30" s="51">
        <v>25862349</v>
      </c>
      <c r="D30" s="51">
        <v>31153276</v>
      </c>
      <c r="E30" s="51">
        <f t="shared" si="2"/>
        <v>5290927</v>
      </c>
      <c r="F30" s="70">
        <f t="shared" si="3"/>
        <v>0.2045802954712273</v>
      </c>
    </row>
    <row r="31" spans="1:7" ht="23.1" customHeight="1" x14ac:dyDescent="0.25">
      <c r="A31" s="29"/>
      <c r="B31" s="71" t="s">
        <v>89</v>
      </c>
      <c r="C31" s="27">
        <f>SUM(C22:C30)</f>
        <v>135339656</v>
      </c>
      <c r="D31" s="27">
        <f>SUM(D22:D30)</f>
        <v>136595184</v>
      </c>
      <c r="E31" s="27">
        <f t="shared" si="2"/>
        <v>1255528</v>
      </c>
      <c r="F31" s="28">
        <f t="shared" si="3"/>
        <v>9.2768670846924573E-3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166114</v>
      </c>
      <c r="D33" s="27">
        <f>+D19-D31</f>
        <v>-1251699</v>
      </c>
      <c r="E33" s="27">
        <f>D33-C33</f>
        <v>-1417813</v>
      </c>
      <c r="F33" s="28">
        <f>IF(C33=0,0,E33/C33)</f>
        <v>-8.5351806590654604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1507706</v>
      </c>
      <c r="D36" s="51">
        <v>2155938</v>
      </c>
      <c r="E36" s="51">
        <f>D36-C36</f>
        <v>648232</v>
      </c>
      <c r="F36" s="70">
        <f>IF(C36=0,0,E36/C36)</f>
        <v>0.42994589130772182</v>
      </c>
    </row>
    <row r="37" spans="1:6" ht="23.1" customHeight="1" x14ac:dyDescent="0.2">
      <c r="A37" s="44">
        <v>2</v>
      </c>
      <c r="B37" s="48" t="s">
        <v>93</v>
      </c>
      <c r="C37" s="51">
        <v>265932</v>
      </c>
      <c r="D37" s="51">
        <v>289794</v>
      </c>
      <c r="E37" s="51">
        <f>D37-C37</f>
        <v>23862</v>
      </c>
      <c r="F37" s="70">
        <f>IF(C37=0,0,E37/C37)</f>
        <v>8.9729705338206761E-2</v>
      </c>
    </row>
    <row r="38" spans="1:6" ht="23.1" customHeight="1" x14ac:dyDescent="0.2">
      <c r="A38" s="44">
        <v>3</v>
      </c>
      <c r="B38" s="48" t="s">
        <v>94</v>
      </c>
      <c r="C38" s="51">
        <v>-188227</v>
      </c>
      <c r="D38" s="51">
        <v>-328633</v>
      </c>
      <c r="E38" s="51">
        <f>D38-C38</f>
        <v>-140406</v>
      </c>
      <c r="F38" s="70">
        <f>IF(C38=0,0,E38/C38)</f>
        <v>0.7459397429699246</v>
      </c>
    </row>
    <row r="39" spans="1:6" ht="23.1" customHeight="1" x14ac:dyDescent="0.25">
      <c r="A39" s="20"/>
      <c r="B39" s="71" t="s">
        <v>95</v>
      </c>
      <c r="C39" s="27">
        <f>SUM(C36:C38)</f>
        <v>1585411</v>
      </c>
      <c r="D39" s="27">
        <f>SUM(D36:D38)</f>
        <v>2117099</v>
      </c>
      <c r="E39" s="27">
        <f>D39-C39</f>
        <v>531688</v>
      </c>
      <c r="F39" s="28">
        <f>IF(C39=0,0,E39/C39)</f>
        <v>0.33536288066627518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1751525</v>
      </c>
      <c r="D41" s="27">
        <f>D33+D39</f>
        <v>865400</v>
      </c>
      <c r="E41" s="27">
        <f>D41-C41</f>
        <v>-886125</v>
      </c>
      <c r="F41" s="28">
        <f>IF(C41=0,0,E41/C41)</f>
        <v>-0.50591627296213304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-5856428</v>
      </c>
      <c r="D45" s="51">
        <v>-3623975</v>
      </c>
      <c r="E45" s="51">
        <f>D45-C45</f>
        <v>2232453</v>
      </c>
      <c r="F45" s="70">
        <f>IF(C45=0,0,E45/C45)</f>
        <v>-0.38119703682859246</v>
      </c>
    </row>
    <row r="46" spans="1:6" ht="23.1" customHeight="1" x14ac:dyDescent="0.25">
      <c r="A46" s="20"/>
      <c r="B46" s="74" t="s">
        <v>100</v>
      </c>
      <c r="C46" s="27">
        <f>SUM(C44:C45)</f>
        <v>-5856428</v>
      </c>
      <c r="D46" s="27">
        <f>SUM(D44:D45)</f>
        <v>-3623975</v>
      </c>
      <c r="E46" s="27">
        <f>D46-C46</f>
        <v>2232453</v>
      </c>
      <c r="F46" s="28">
        <f>IF(C46=0,0,E46/C46)</f>
        <v>-0.38119703682859246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-4104903</v>
      </c>
      <c r="D48" s="27">
        <f>D41+D46</f>
        <v>-2758575</v>
      </c>
      <c r="E48" s="27">
        <f>D48-C48</f>
        <v>1346328</v>
      </c>
      <c r="F48" s="28">
        <f>IF(C48=0,0,E48/C48)</f>
        <v>-0.32798046628629229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r:id="rId1"/>
  <headerFooter>
    <oddHeader>&amp;L&amp;8OFFICE OF HEALTH CARE ACCESS&amp;C&amp;8TWELVE MONTHS ACTUAL FILING&amp;R&amp;8GRIFFIN HEALTH SERVICES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197</vt:i4>
      </vt:variant>
    </vt:vector>
  </HeadingPairs>
  <TitlesOfParts>
    <vt:vector size="217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Sheet1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2011-08-08T12:35:13Z</cp:lastPrinted>
  <dcterms:created xsi:type="dcterms:W3CDTF">2006-08-03T13:49:12Z</dcterms:created>
  <dcterms:modified xsi:type="dcterms:W3CDTF">2011-08-08T12:35:55Z</dcterms:modified>
</cp:coreProperties>
</file>